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6AE05120-60DC-3E4D-A214-3B87954186A2}"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T39" i="1"/>
  <c r="BT40" i="1"/>
  <c r="BT41" i="1"/>
  <c r="BT42" i="1"/>
  <c r="BT43" i="1"/>
  <c r="BT44" i="1"/>
  <c r="BT45"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T280" i="1"/>
  <c r="BT281" i="1"/>
  <c r="BT282" i="1"/>
  <c r="BT283"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T313" i="1"/>
  <c r="BT314"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T329" i="1"/>
  <c r="BT330" i="1"/>
  <c r="BT331" i="1"/>
  <c r="BT332" i="1"/>
  <c r="BT333" i="1"/>
  <c r="BT334" i="1"/>
  <c r="BT335" i="1"/>
  <c r="BT336" i="1"/>
  <c r="BT337" i="1"/>
  <c r="BT338" i="1"/>
  <c r="BT339"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T1000" i="1"/>
  <c r="BF1001" i="1"/>
  <c r="BT1001" i="1"/>
</calcChain>
</file>

<file path=xl/sharedStrings.xml><?xml version="1.0" encoding="utf-8"?>
<sst xmlns="http://schemas.openxmlformats.org/spreadsheetml/2006/main" count="59894" uniqueCount="19237">
  <si>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</si>
  <si>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</si>
  <si>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</si>
  <si>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</si>
  <si>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</si>
  <si>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</si>
  <si>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</si>
  <si>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</si>
  <si>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</si>
  <si>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</si>
  <si>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</si>
  <si>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</si>
  <si>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</si>
  <si>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</si>
  <si>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</si>
  <si>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</si>
  <si>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</si>
  <si>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</si>
  <si>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</si>
  <si>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</si>
  <si>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</si>
  <si>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</si>
  <si>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</si>
  <si>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</si>
  <si>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</si>
  <si>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</si>
  <si>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</si>
  <si>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</si>
  <si>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</si>
  <si>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</si>
  <si>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</si>
  <si>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</si>
  <si>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</si>
  <si>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</si>
  <si>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</si>
  <si>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</si>
  <si>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</si>
  <si>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</si>
  <si>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</si>
  <si>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</si>
  <si>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</si>
  <si>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</si>
  <si>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</si>
  <si>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</si>
  <si>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</si>
  <si>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</si>
  <si>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</si>
  <si>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</si>
  <si>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</si>
  <si>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</si>
  <si>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</si>
  <si>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</si>
  <si>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</si>
  <si>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</si>
  <si>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</si>
  <si>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</si>
  <si>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</si>
  <si>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</si>
  <si>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</si>
  <si>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</si>
  <si>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</si>
  <si>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</si>
  <si>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</si>
  <si>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</si>
  <si>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</si>
  <si>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</si>
  <si>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</si>
  <si>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</si>
  <si>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</si>
  <si>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</si>
  <si>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</si>
  <si>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</si>
  <si>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</si>
  <si>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Stacy, B; Burch, P; Ziegler, PE; Cresswell, KA; Hartmann, K; Hillary, RM</t>
  </si>
  <si>
    <t/>
  </si>
  <si>
    <t>Stacy, Brett; Burch, Paul; Ziegler, Philippe E.; Cresswell, Katherine A.; Hartmann, Klaas; Hillary, Richard M.</t>
  </si>
  <si>
    <t>Are tag-based integrated stock assessments robust to IUU fishing?</t>
  </si>
  <si>
    <t>FISHERIES RESEARCH</t>
  </si>
  <si>
    <t>English</t>
  </si>
  <si>
    <t>Article</t>
  </si>
  <si>
    <t>Integrated stock assessment; IUU fishing; Tag-recapture; Patagonian toothfish; Catch bias</t>
  </si>
  <si>
    <t>TOOTHFISH DISSOSTICHUS-ELEGINOIDES; REPORTING RATE ESTIMATION; ASSESSMENT MODEL; ESTIMATING ILLEGAL; LONGLINE FISHERY; TAGGING PROGRAM; SPERM-WHALES; CATCH; AGE; DEPREDATION</t>
  </si>
  <si>
    <t>Integrated stock assessments depend on reliable catch and observational data to produce unbiased estimates of fish stock biomass and productivity. However, biases in catch data due to unreported catch are common among many of the world's fisheries, especially those that are high value and therefore more vulnerable to illegal fishing. Some of these fisheries rely on tag-recapture data to support the estimation of biomass in integrated assessments and set precautionary catch limits intended to safeguard the fish stocks from overexploitation. Tag-recapture data is generally considered to be a more powerful indicator of stock abundance than survey data if the underlying assumptions are met. The effect of unreported catches that include tagged fish on biomass estimates in tag-based integrated assessments is unclear. We used a simulation analysis to determine the impact of under-reported catch on a hypothetical Patagonian toothfish (Dissostichus eleginoides) stock. Several catch scenarios are presented that cover different magnitudes and trend types of under-reported catch. We used the CASAL model (commonly employed to assess toothfish stocks) as both the operating model and the estimation model to evaluate how the various scenarios affected estimation performance of biomass depletion. Biomass depletion was increasingly underestimated as the magnitude of under-reporting increased, regardless of trend in catch. When unreported catch exceeds twice the amount reported combined with unreported tag returns, the estimation model will fail to detect biomass has been depleted below a target reference point of 50 % within 20 years of fishing. The lack of detection will falsely indicate current catch limits are sustainable when in reality they are not. Importantly, these estimates remained largely unchanged among different trends in under-reported catch. For assessments reliant on tag-recapture data, this suggests that it is more critical to estimate the overall quantity of unreported catch and the number of unreported tagged fish than the trend.</t>
  </si>
  <si>
    <t>[Stacy, Brett; Burch, Paul; Cresswell, Katherine A.; Hillary, Richard M.] CSIRO Marine &amp; Atmospher Res, GPO Box 1538, Hobart, Tas 7001, Australia; [Stacy, Brett; Cresswell, Katherine A.; Hartmann, Klaas] Univ Tasmania, Inst Marine &amp; Antarctic Studies, Private Bag 49, Hobart, Tas 7001, Australia; [Ziegler, Philippe E.] Australian Antarctic Div, Dept Environm, 203 Channel Highway, Kingston, Tas 7050, Australia</t>
  </si>
  <si>
    <t>Commonwealth Scientific &amp; Industrial Research Organisation (CSIRO); University of Tasmania; Australian Antarctic Division</t>
  </si>
  <si>
    <t>Stacy, B (corresponding author), CSIRO Marine &amp; Atmospher Res, GPO Box 1538, Hobart, Tas 7001, Australia.</t>
  </si>
  <si>
    <t>brett.stacy@utas.edu.au</t>
  </si>
  <si>
    <t>Hartmann, Klaas/B-3991-2008; Burch, Paul/GLU-8548-2022</t>
  </si>
  <si>
    <t>Stacy, Brett/0000-0001-6268-9235; Cresswell, Katherine/0000-0003-1692-4964</t>
  </si>
  <si>
    <t>ELSEVIER</t>
  </si>
  <si>
    <t>AMSTERDAM</t>
  </si>
  <si>
    <t>RADARWEG 29, 1043 NX AMSTERDAM, NETHERLANDS</t>
  </si>
  <si>
    <t>0165-7836</t>
  </si>
  <si>
    <t>1872-6763</t>
  </si>
  <si>
    <t>FISH RES</t>
  </si>
  <si>
    <t>Fish Res.</t>
  </si>
  <si>
    <t>NOV</t>
  </si>
  <si>
    <t>10.1016/j.fishres.2021.106098</t>
  </si>
  <si>
    <t>AUG 2021</t>
  </si>
  <si>
    <t>Fisheries</t>
  </si>
  <si>
    <t>Science Citation Index Expanded (SCI-EXPANDED); Social Science Citation Index (SSCI)</t>
  </si>
  <si>
    <t>UI8RL</t>
  </si>
  <si>
    <t>2024-04-21</t>
  </si>
  <si>
    <t>WOS:000690866800011</t>
  </si>
  <si>
    <t>Rowlands, E; Galloway, T; Cole, M; Lewis, C; Peck, V; Thorpe, S; Manno, C</t>
  </si>
  <si>
    <t>Rowlands, Emily; Galloway, Tamara; Cole, Matthew; Lewis, Ceri; Peck, Victoria; Thorpe, Sally; Manno, Clara</t>
  </si>
  <si>
    <t>The Effects of Combined Ocean Acidification and Nanoplastic Exposures on the Embryonic Development of Antarctic Krill</t>
  </si>
  <si>
    <t>FRONTIERS IN MARINE SCIENCE</t>
  </si>
  <si>
    <t>nanoparticle; plastic pollution; multi-stressor; Antarctic krill; Scotia Sea; embryonic development; egg abnormality</t>
  </si>
  <si>
    <t>EUPHAUSIA-SUPERBA DANA; POLYSTYRENE NANOPARTICLES; LARVAL DEVELOPMENT; DEVELOPMENT TIME; SURFACE WATERS; CARBONIC-ACID; SEA-WATER; ROSS SEA; MICROPLASTICS; TEMPERATURE</t>
  </si>
  <si>
    <t>In aquatic environments, plastic pollution occurs concomitantly with anthropogenic climate stressors such as ocean acidification. Within the Southern Ocean, Antarctic krill (Euphausia Superba) support many marine predators and play a key role in the biogeochemical cycle. Ocean acidification and plastic pollution have been acknowledged to hinder Antarctic krill development and physiology in singularity, however potential multi-stressor effects of plastic particulates coupled with ocean acidification are unexplored. Furthermore, Antarctic krill may be especially vulnerable to plastic pollution due to their close association with sea-ice, a known plastic sink. Here, we investigate the behaviour of nanoplastic [spherical, aminated (NH2), and yellow-green fluorescent polystyrene nanoparticles] in Antarctic seawater and explore the single and combined effects of nanoplastic (160 nm radius, at a concentration of 2.5 mu g ml(-1)) and ocean acidification (pCO(2) similar to 900, pH(T) 7.7) on the embryonic development of Antarctic krill. Gravid female krill were collected in the Atlantic sector of the Southern Ocean (North Scotia Sea). Produced eggs were incubated at 0.5 degrees C in four treatments (control, nanoplastic, ocean acidification and the multi-stressor scenario of nanoplastic presence, and ocean acidification) and their embryonic development after 6 days, at the incubation endpoint, was determined. We observed that negatively charged nanoplastic particles suspended in seawater from the Scotia Sea aggregated to sizes exceeding the nanoscale after 24 h (1054.13 +/- 53.49 nm). Further, we found that the proportion of embryos developing through the early stages to reach at least the limb bud stage was highest in the control treatment (21.84%) and lowest in the multi-stressor treatment (13.17%). Since the biological thresholds to any stressors can be altered by the presence of additional stressors, we propose that future nanoplastic ecotoxicology studies should consider the changing global ocean under future climate scenarios for assessments of their impact and highlight that determining the behaviour of nanoplastic particles used in incubation studies is critical to determining their toxicity.</t>
  </si>
  <si>
    <t>[Rowlands, Emily; Peck, Victoria; Thorpe, Sally; Manno, Clara] British Antarctic Survey, Cambridge, England; [Rowlands, Emily; Galloway, Tamara; Lewis, Ceri] Univ Exeter, Coll Life &amp; Environm Sci, Exeter, Devon, England; [Cole, Matthew] Plymouth Marine Lab, Plymouth, Devon, England</t>
  </si>
  <si>
    <t>UK Research &amp; Innovation (UKRI); Natural Environment Research Council (NERC); NERC British Antarctic Survey; University of Exeter; Plymouth Marine Laboratory</t>
  </si>
  <si>
    <t>Rowlands, E; Manno, C (corresponding author), British Antarctic Survey, Cambridge, England.;Rowlands, E (corresponding author), Univ Exeter, Coll Life &amp; Environm Sci, Exeter, Devon, England.</t>
  </si>
  <si>
    <t>emirow@bas.ac.uk; clanno@bas.ac.uk</t>
  </si>
  <si>
    <t>Cole, Matthew/0000-0001-5910-1189</t>
  </si>
  <si>
    <t>NERC GW4 C scholarship [NE/L002434/1]; NERC; [NE/N006178]; [NE/S003975/1]</t>
  </si>
  <si>
    <t>NERC GW4 C scholarship(UK Research &amp; Innovation (UKRI)Natural Environment Research Council (NERC)); NERC(UK Research &amp; Innovation (UKRI)Natural Environment Research Council (NERC)); ;</t>
  </si>
  <si>
    <t>ER was funded by a NERC GW4 C scholarship NE/L002434/1. TG was supported by grants NE/N006178 and NE/S003975/1. CM, VP, and ST were supported by NERC funding to the British Antarctic Survey Ecosystems and Paleo Environments, Ice Sheets and Climate Change science programmes.</t>
  </si>
  <si>
    <t>FRONTIERS MEDIA SA</t>
  </si>
  <si>
    <t>LAUSANNE</t>
  </si>
  <si>
    <t>AVENUE DU TRIBUNAL FEDERAL 34, LAUSANNE, CH-1015, SWITZERLAND</t>
  </si>
  <si>
    <t>2296-7745</t>
  </si>
  <si>
    <t>FRONT MAR SCI</t>
  </si>
  <si>
    <t>Front. Mar. Sci.</t>
  </si>
  <si>
    <t>AUG 3</t>
  </si>
  <si>
    <t>10.3389/fmars.2021.709763</t>
  </si>
  <si>
    <t>Environmental Sciences; Marine &amp; Freshwater Biology</t>
  </si>
  <si>
    <t>Science Citation Index Expanded (SCI-EXPANDED)</t>
  </si>
  <si>
    <t>Environmental Sciences &amp; Ecology; Marine &amp; Freshwater Biology</t>
  </si>
  <si>
    <t>UB9FE</t>
  </si>
  <si>
    <t>gold, Green Accepted, Green Published</t>
  </si>
  <si>
    <t>WOS:000686142500001</t>
  </si>
  <si>
    <t>Seguinot, J; Delaney, I</t>
  </si>
  <si>
    <t>Seguinot, Julien; Delaney, Ian</t>
  </si>
  <si>
    <t>Last-glacial-cycle glacier erosion potential in the Alps</t>
  </si>
  <si>
    <t>EARTH SURFACE DYNAMICS</t>
  </si>
  <si>
    <t>ANTARCTIC ICE-SHEET; NUMERICAL SIMULATIONS; SEDIMENT EXPORT; WEST ANTARCTICA; SHALULI SHAN; SWISS-ALPS; MODEL PISM; CLIMATE; PATTERNS; EVOLUTION</t>
  </si>
  <si>
    <t>The glacial landscape of the Alps has fascinated generations of explorers, artists, mountaineers, and scientists with its diversity, including erosional features of all scales from high-mountain cirques to steep glacial valleys and large overdeepened basins. Using previous glacier modelling results and empirical inferences of bedrock erosion under modern glaciers, we compute a distribution of potential glacier erosion in the Alps over the last glacial cycle from 120 000 years ago to the present. Despite large uncertainties pertaining to the climate history of the Alps and unconstrained glacier erosion processes, the resulting modelled patterns of glacier erosion include persistent features. The cumulative imprint of the last glacial cycle shows a very strong localization of erosion potential with local maxima at the mouths of major Alpine valleys and some other upstream sections where glaciers are modelled to have flowed with the highest velocity. The potential erosion rates vary significantly through the glacial cycle but show paradoxically little relation to the total glacier volume. Phases of glacier advance and maximum extension see a localization of rapid potential erosion rates at low elevation, while glacier erosion at higher elevation is modelled to date from phases of less extensive glaciation. The modelled erosion rates peak during deglaciation phases, when frontal retreat results in steeper glacier surface slopes, implying that climatic conditions that result in rapid glacier erosion might be quite transient and specific. Our results depict the Alpine glacier erosion landscape as a time-transgressive patchwork, with different parts of the range corresponding to different glaciation stages and time periods.</t>
  </si>
  <si>
    <t>[Delaney, Ian] Univ Lausanne, Inst Earth Surface Dynam, Lausanne, Switzerland</t>
  </si>
  <si>
    <t>University of Lausanne</t>
  </si>
  <si>
    <t>Julien-alps-erosion@posteo.eu</t>
  </si>
  <si>
    <t>Seguinot, Julien/0000-0002-5315-0761; Delaney, Ian/0000-0003-1722-0600</t>
  </si>
  <si>
    <t>COPERNICUS GESELLSCHAFT MBH</t>
  </si>
  <si>
    <t>GOTTINGEN</t>
  </si>
  <si>
    <t>BAHNHOFSALLEE 1E, GOTTINGEN, 37081, GERMANY</t>
  </si>
  <si>
    <t>2196-6311</t>
  </si>
  <si>
    <t>2196-632X</t>
  </si>
  <si>
    <t>EARTH SURF DYNAM</t>
  </si>
  <si>
    <t>Earth Surf. Dyn.</t>
  </si>
  <si>
    <t>10.5194/esurf-9-923-2021</t>
  </si>
  <si>
    <t>Geography, Physical; Geosciences, Multidisciplinary</t>
  </si>
  <si>
    <t>Physical Geography; Geology</t>
  </si>
  <si>
    <t>TV4JS</t>
  </si>
  <si>
    <t>gold, Green Submitted</t>
  </si>
  <si>
    <t>WOS:000681689100003</t>
  </si>
  <si>
    <t>Schmidely, L; Nehrbass-Ahles, C; Schmitt, J; Han, J; Silva, L; Shin, J; Joos, F; Chappellaz, J; Fischer, H; Stocker, TF</t>
  </si>
  <si>
    <t>Schmidely, Loic; Nehrbass-Ahles, Christoph; Schmitt, Jochen; Han, Juhyeong; Silva, Lucas; Shin, Jinwha; Joos, Fortunat; Chappellaz, Jerome; Fischer, Hubertus; Stocker, Thomas F.</t>
  </si>
  <si>
    <t>CH4 and N2O fluctuations during the penultimate deglaciation</t>
  </si>
  <si>
    <t>CLIMATE OF THE PAST</t>
  </si>
  <si>
    <t>ATMOSPHERIC NITROUS-OXIDE; ICE CORE; ANTARCTIC ICE; CHRONOLOGY AICC2012; GLOBAL CLIMATE; METHANE; EMISSIONS; CO2; CONSTRAINTS; RECORD</t>
  </si>
  <si>
    <t>Deglaciations are characterized by the largest natural changes in methane (CH4) and nitrous oxide (N2O) concentrations of the past 800 000 years. Reconstructions of millennial- to centennial-scale variability within these periods are mostly restricted to the last deglaciation. In this study, we present composite records of CH4 and N2O concentrations from the EPICA Dome C ice core covering the penultimate deglaciation at temporal resolutions of similar to 100 years. Our data permit the identification of centennial-scale fluctuations during the transition from glacial to interglacial levels. At similar to 134000 and similar to 129000 years before present (hereafter ka), both CH4 and N2O increased on centennial timescales. These abrupt rises are similar to the fluctuations associated with the Dansgaard-Oeschger events identified in the last glacial period. In addition, gradually rising N2O levels at similar to 130 ka resemble a pattern of increasing N2O concentrations on millennial timescales characterizing the later part of Heinrich stadials. Overall, the events in CH4 and N2O during the penultimate deglaciation exhibit modes of variability that are also found during the last deglaciation and glacial cycle, suggesting that the processes leading to changes in emission during the transitions were similar but their timing differed.</t>
  </si>
  <si>
    <t>[Schmidely, Loic; Schmitt, Jochen; Han, Juhyeong; Silva, Lucas; Joos, Fortunat; Fischer, Hubertus; Stocker, Thomas F.] Univ Bern, Phys Inst, Climate &amp; Environm Phys, CH-3012 Bern, Switzerland; [Schmidely, Loic; Schmitt, Jochen; Han, Juhyeong; Silva, Lucas; Joos, Fortunat; Fischer, Hubertus; Stocker, Thomas F.] Univ Bern, Oeschger Ctr Climate Change Res, CH-3012 Bern, Switzerland; [Nehrbass-Ahles, Christoph] Univ Cambridge, Dept Earth Sci, Cambridge, England; [Shin, Jinwha; Chappellaz, Jerome] Univ Grenoble Alpes, Inst Geosci Environm IGE, CNRS, Grenoble, France; [Shin, Jinwha] Univ Alberta, Dept Earth &amp; Atmospher Sci, Edmonton, AB T6G 2E3, Canada</t>
  </si>
  <si>
    <t>University of Bern; University of Bern; University of Cambridge; Centre National de la Recherche Scientifique (CNRS); Communaute Universite Grenoble Alpes; Universite Grenoble Alpes (UGA); University of Alberta</t>
  </si>
  <si>
    <t>Stocker, TF (corresponding author), Univ Bern, Phys Inst, Climate &amp; Environm Phys, CH-3012 Bern, Switzerland.;Stocker, TF (corresponding author), Univ Bern, Oeschger Ctr Climate Change Res, CH-3012 Bern, Switzerland.</t>
  </si>
  <si>
    <t>thomas.stocker@climate.unibe.ch</t>
  </si>
  <si>
    <t>Fischer, Hubertus/A-1211-2014; Schmitt, Jochen/B-7893-2009; Joos, Fortunat/B-4118-2018</t>
  </si>
  <si>
    <t>Schmitt, Jochen/0000-0003-4695-3029; Joos, Fortunat/0000-0002-9483-6030; Silva, Lucas/0000-0003-3623-213X</t>
  </si>
  <si>
    <t>Swiss National Science Foundation (SNF) [200020_172745, 200020_172506, 200020_159563, 200020_200492, 200020_200511]; European Union's Horizon 2020 research and innovation programme [820970]; Swiss National Science Foundation (SNF) [200020_159563, 200020_200492, 200020_172506, 200020_172745] Funding Source: Swiss National Science Foundation (SNF)</t>
  </si>
  <si>
    <t>Swiss National Science Foundation (SNF)(Swiss National Science Foundation (SNSF)); European Union's Horizon 2020 research and innovation programme; Swiss National Science Foundation (SNF)(Swiss National Science Foundation (SNSF))</t>
  </si>
  <si>
    <t>This research has been supported by the Swiss National Science Foundation (SNF project numbers 200020_172745, 200020_172506, 200020_159563, 200020_200492 and 200020_200511) and by the European Union's Horizon 2020 research and innovation programme (grant no. 820970).</t>
  </si>
  <si>
    <t>1814-9324</t>
  </si>
  <si>
    <t>1814-9332</t>
  </si>
  <si>
    <t>CLIM PAST</t>
  </si>
  <si>
    <t>Clim. Past.</t>
  </si>
  <si>
    <t>10.5194/cp-17-1627-2021</t>
  </si>
  <si>
    <t>Geosciences, Multidisciplinary; Meteorology &amp; Atmospheric Sciences</t>
  </si>
  <si>
    <t>Geology; Meteorology &amp; Atmospheric Sciences</t>
  </si>
  <si>
    <t>TV4IQ</t>
  </si>
  <si>
    <t>Green Submitted, gold, Green Published</t>
  </si>
  <si>
    <t>WOS:000681686200002</t>
  </si>
  <si>
    <t>Jenouvrier, S; Judy, CC; Wolf, S; Holland, M; Labrousse, S; LaRue, M; Wienecke, B; Fretwell, P; Barbraud, C; Greenwald, N; Stroeve, J; Trathan, PN</t>
  </si>
  <si>
    <t>Jenouvrier, Stephanie; Judy, Che-Castaldo; Wolf, Shaye; Holland, Marika; Labrousse, Sara; LaRue, Michelle; Wienecke, Barbara; Fretwell, Peter; Barbraud, Christophe; Greenwald, Noah; Stroeve, Julienne; Trathan, Philip N.</t>
  </si>
  <si>
    <t>The call of the emperor penguin: Legal responses to species threatened by climate change</t>
  </si>
  <si>
    <t>GLOBAL CHANGE BIOLOGY</t>
  </si>
  <si>
    <t>climate risk assessments; Endangered Species Act; foreseeable future; population projections; resiliency; redundancy and representation (3Rs); sea ice projections; species distribution; treatment of scientific uncertainty</t>
  </si>
  <si>
    <t>SEA-ICE EXTENT; ROSS SEA; PLEURAGRAMMA-ANTARCTICUM; APTENODYTES FORSTERI; HABITAT; MODEL; IMPACTS; CONSERVATION; EXTINCTION; MANAGEMENT</t>
  </si>
  <si>
    <t>Species extinction risk is accelerating due to anthropogenic climate change, making it urgent to protect vulnerable species through legal frameworks in order to facilitate conservation actions that help mitigate risk. Here, we discuss fundamental concepts for assessing climate change risks to species using the example of the emperor penguin (Aptenodytes forsteri), currently being considered for protection under the US Endangered Species Act (ESA). This species forms colonies on Antarctic sea ice, which is projected to significantly decline due to ongoing greenhouse gas (GHG) emissions. We project the dynamics of all known emperor penguin colonies under different GHG emission scenarios using a climate-dependent meta-population model including the effects of extreme climate events based on the observational satellite record of colonies. Assessments for listing species under the ESA require information about how species resiliency, redundancy and representation (3Rs) will be affected by threats within the foreseeable future. Our results show that if sea ice declines at the rate projected by climate models under current energy system trends and policies, the 3Rs would be dramatically reduced and almost all colonies would become quasi-extinct by 2100. We conclude that the species should be listed as threatened under the ESA.</t>
  </si>
  <si>
    <t>[Jenouvrier, Stephanie] Woods Hole Oceanog Inst, Dept Biol, Woods Hole, MA 02543 USA; [Judy, Che-Castaldo] Alexander Ctr Appl Populat Biol, Conservat &amp; Sci Dept, Lincoln Pk Zoo, Chicago, IL USA; [Wolf, Shaye] Ctr Biol Divers, Climate Law Inst, Oakland, CA USA; [Holland, Marika] Natl Ctr Atmospher Res, POB 3000, Boulder, CO 80307 USA; [Labrousse, Sara] UPMC Univ, Sorbonne Univ, Paris, France; [LaRue, Michelle] Univ Canterbury, Sch Earth &amp; Environm, Christchurch, New Zealand; [LaRue, Michelle] Univ Minnesota, Dept Earth &amp; Environm Sci, Minneapolis, MN USA; [Wienecke, Barbara] Australian Antarctic Div, Kingston, Tas, Australia; [Fretwell, Peter; Trathan, Philip N.] British Antarctic Survey, Cambridge, England; [Barbraud, Christophe] Ctr Etud Biol Chize, CNRS, UMR7372, Villiers En Bois, France; [Greenwald, Noah] Ctr Biol Divers, Endangered Species Program, Portland, OR USA; [Stroeve, Julienne] Univ Manitoba, Ctr Earth Observat Sci, Winnipeg, MB, Canada; [Stroeve, Julienne] Univ Colorado, Natl Snow &amp; Ice Data Ctr, USA Cooperat Inst Res Environm Sci, Boulder, CO 80309 USA; [Stroeve, Julienne] UCL, Earth Sci Dept, London, England</t>
  </si>
  <si>
    <t>Woods Hole Oceanographic Institution; National Center Atmospheric Research (NCAR) - USA; Sorbonne Universite; University of Canterbury; University of Minnesota System; University of Minnesota Twin Cities; Australian Antarctic Division; UK Research &amp; Innovation (UKRI); Natural Environment Research Council (NERC); NERC British Antarctic Survey; Centre National de la Recherche Scientifique (CNRS); CNRS - Institute of Ecology &amp; Environment (INEE); University of Manitoba; University of Colorado System; University of Colorado Boulder; University of London; University College London</t>
  </si>
  <si>
    <t>Jenouvrier, S (corresponding author), Woods Hole Oceanog Inst, Dept Biol, Woods Hole, MA 02543 USA.</t>
  </si>
  <si>
    <t>sjenouvrier@whoi.edu</t>
  </si>
  <si>
    <t>Barbraud, Christophe/A-5870-2012</t>
  </si>
  <si>
    <t>Barbraud, Christophe/0000-0003-0146-212X; Che-Castaldo, Judy/0000-0002-9118-9202; Labrousse, Sara/0000-0002-8099-3254; jenouvrier, stephanie/0000-0003-3324-2383</t>
  </si>
  <si>
    <t>National Science Foundation [OPP 1744794]; National Aeronautics and Space Administration [80NSSC20K1289]; NERC [bas0100035] Funding Source: UKRI</t>
  </si>
  <si>
    <t>National Science Foundation(National Science Foundation (NSF)); National Aeronautics and Space Administration(National Aeronautics &amp; Space Administration (NASA)); NERC(UK Research &amp; Innovation (UKRI)Natural Environment Research Council (NERC))</t>
  </si>
  <si>
    <t>National Science Foundation, Grant/Award Number: OPP 1744794; National Aeronautics and Space Administration, Grant/Award Number: 80NSSC20K1289</t>
  </si>
  <si>
    <t>WILEY</t>
  </si>
  <si>
    <t>HOBOKEN</t>
  </si>
  <si>
    <t>111 RIVER ST, HOBOKEN 07030-5774, NJ USA</t>
  </si>
  <si>
    <t>1354-1013</t>
  </si>
  <si>
    <t>1365-2486</t>
  </si>
  <si>
    <t>GLOBAL CHANGE BIOL</t>
  </si>
  <si>
    <t>Glob. Change Biol.</t>
  </si>
  <si>
    <t>OCT</t>
  </si>
  <si>
    <t>10.1111/gcb.15806</t>
  </si>
  <si>
    <t>Biodiversity Conservation; Ecology; Environmental Sciences</t>
  </si>
  <si>
    <t>Biodiversity &amp; Conservation; Environmental Sciences &amp; Ecology</t>
  </si>
  <si>
    <t>UQ4CT</t>
  </si>
  <si>
    <t>Green Published, hybrid, Green Accepted</t>
  </si>
  <si>
    <t>WOS:000680499900001</t>
  </si>
  <si>
    <t>Cvitanovic, C; Mackay, M; Kelly, R; Wilson, SK; Waples, K; Nash, KL; van Putten, EI; Field, S; Botterill-James, T; Austin, BJ; Beckley, LE; Boschetti, F; Depczynski, M; Dobbs, RJ; Evans, RD; Feng, M; Goater, RK; Halford, AR; Kendrick, A; Kendrick, GA; Lincoln, GDB; Ludgerus, LJ; Lowe, RJ; McMahon, K; Munro, JK; Newman, SJ; Nutt, C; Pearson, L; O'Leary, MJ; Richards, ZT; Robbins, WD; Rogers, DI; Kent, CPS; Schoepf, V; Travers, MJ; Thums, M; Tucker, AD; Underwood, JN; Whiting, S; Mathews, D</t>
  </si>
  <si>
    <t>Cvitanovic, C.; Mackay, M.; Kelly, R.; Wilson, S. K.; Waples, K.; Nash, K. L.; van Putten, E., I; Field, S.; Botterill-James, T.; Austin, B. J.; Beckley, L. E.; Boschetti, F.; Depczynski, M.; Dobbs, R. J.; Evans, R. D.; Feng, M.; Goater, R. K.; Halford, A. R.; Kendrick, A.; Kendrick, G. A.; Lincoln, G. D. B.; Ludgerus, L. J.; Lowe, R. J.; McMahon, K.; Munro, J. K.; Newman, S. J.; Nutt, C.; Pearson, L.; O'Leary, M. J.; Richards, Z. T.; Robbins, W. D.; Rogers, D., I; Kent, C. P. Salgado; Schoepf, V; Travers, M. J.; Thums, M.; Tucker, A. D.; Underwood, J. N.; Whiting, S.; Mathews, D.</t>
  </si>
  <si>
    <t>Dambimangari Aboriginal Corp</t>
  </si>
  <si>
    <t>Thirty critical research needs for managing an ecologically and culturally unique remote marine environment: The Kimberley region of Western Australia</t>
  </si>
  <si>
    <t>OCEAN &amp; COASTAL MANAGEMENT</t>
  </si>
  <si>
    <t>Coastal management; Horizon scanning; Research priorities; Collaboration; Australia</t>
  </si>
  <si>
    <t>KNOWLEDGE EXCHANGE; CONSERVATION; SCIENCE; MANAGEMENT; PERSPECTIVES; SCIENTISTS; QUESTIONS; RESOURCES; POLICY; MODEL</t>
  </si>
  <si>
    <t>The Kimberley marine environment in Western Australia is widely recognised for its outstanding natural features, vast and remote sea and landscapes, and Indigenous cultural significance. To ensure that adequate baseline information is available to understand, monitor and manage this remote and relatively understudied region, scientific exploration was undertaken between 2012 and 2018 as part of the Kimberley Marine Research Program (KMRP). Whilst this program generated significant amounts of new knowledge about the region, important research gaps remain, that if answered, should improve the capacity of managers to conserve the region's values more effectively. Here, we apply established participatory horizon scanning methods to draw on the expertise and understanding of 24 scientists and 18 managers (12 natural resource managers and 6 healthy country managers) involved in the KMRP, and assess their most essential remaining research needs for informing management of the region. Through this process, we identify a total of 184 research questions spanning seven themes: (i) habitats, (ii) fauna, (iii) ecological processes, (iv) pressures, (v) management, (vi) oceanography, and (vii) geomorphology. Of the 184 questions that formed the basis of this study, 29% related to the theme of 'management', followed by questions relating to 'fauna' (21%) and 'pressures' (20%). Questions assigned to the theme of 'habitats' (13%), 'ecological processes' (10%), and 'oceanography' (6%) were less common, whilst questions that related to 'geomorphology' only constituted 1% of all questions provided by study participants. Subtle differences in the types of questions posed by the scientist and manager groups were also evident, with questions relating to 'ecological process' and 'oceanography' overwhelmingly provided by scientists; questions in the themes 'fauna' and 'management' were mainly provided by Healthy Country Managers; and questions posed by natural resource managers were distributed evenly among all categories. Quantitative scoring of these questions by participants against set criteria of (i) achievability, (ii) importance, and (iii) the extent to which it represented an actual knowledge gap led to the identification of 30 research questions that if answered, will help to inform the management of the Kimberley marine environment. The majority of these questions (22) were related to 'management' though there were also high priority questions on 'pressures' (12), 'habitats' (11), 'fauna' (11) and 'ecological processes' (7). These questions can be used to inform and guide research effort and future funding investment in the Kimberley region.</t>
  </si>
  <si>
    <t>[Cvitanovic, C.] Australian Natl Univ, Australian Natl Ctr Publ Awareness Sci, Canberra, ACT, Australia; [Cvitanovic, C.; Mackay, M.; Kelly, R.; Nash, K. L.; van Putten, E., I] Univ Tasmania, Ctr Marine Socioecol, Hobart, Tas 7005, Australia; [Mackay, M.; Kelly, R.; van Putten, E., I] CSIRO Oceans &amp; Atmosphere, Hobart, Tas 7000, Australia; [Kelly, R.] Mem Univ Newfoundland, Future Ocean &amp; Coastal Infrastruct Consortium, St John, NF A1C 5S7, Canada; [Wilson, S. K.; Waples, K.; Evans, R. D.; Goater, R. K.; Halford, A. R.; Kendrick, A.; Ludgerus, L. J.; Munro, J. K.; Nutt, C.; Pearson, L.; Robbins, W. D.; Tucker, A. D.; Whiting, S.] Dept Biodivers Conservat &amp; Attract, Perth, WA, Australia; [Wilson, S. K.; Field, S.; Depczynski, M.; Evans, R. D.; Lowe, R. J.; O'Leary, M. J.] Univ Western Australia, Oceans Inst, Crawley, WA, Australia; [Kelly, R.; Nash, K. L.] Univ Tasmania, Inst Marine &amp; Antarctic Studies, Hobart, Tas 7005, Australia; [Botterill-James, T.] Univ Tasmania, Sch Biol Sci, Hobart, Tas, Australia; [Austin, B. J.] Charles Darwin Univ, Darwin, NT, Australia; [Beckley, L. E.] Murdoch Univ, Environm &amp; Conservat Sci, Murdoch, WA, Australia; [Dambimangari Aboriginal Corp] Dambimangari Aboriginal Corp, Derby, WA, Australia; [Boschetti, F.; Feng, M.] CSIRO Oceans &amp; Atmosphere, Crawley, WA, Australia; [Depczynski, M.; Thums, M.; Underwood, J. N.] Univ Western Australia, Indian Ocean Marine Res Ctr, Australian Inst Marine Sci, Crawley, WA, Australia; [Dobbs, R. J.] Univ Western Australia, Sch Biol Sci, Nedlands, WA, Australia; [Halford, A. R.] Pacific Community, CPS BP D5, Noumea 98848, New Caledonia; [Lincoln, G. D. B.] Mosa Environm, Kimberley Indigenous Saltwater Advisory Grp, Broome, WA, Australia; [McMahon, K.] Edith Cowan Univ, Sch Sci &amp; Ctr Marine Ecosyst Res, Churchlands, WA, Australia; [Newman, S. J.; Travers, M. J.] Govt Western Australia, Dept Primary Ind &amp; Reg Dev, Western Australian Fisheries &amp; Marine Res Labs, Dumas House, WA, Australia; [O'Leary, M. J.] Univ Western Australia, Sch Earth Sci, 35 Stirling Highway, Perth, WA, Australia; [Richards, Z. T.] Curtin Univ, Sch Mol &amp; Life Sci, Trace &amp; Environm DNA Lab, Coral Conservat &amp; Res Grp, Kent St, Bentley, WA, Australia; [Richards, Z. T.] Western Australian Museum, Dept Aquat Zool, Welshpool, WA, Australia; [Rogers, D., I] Arthur Rylah Inst Environm Res, Dept Environm Land Water &amp; Planning, Heidelberg, Vic, Australia; [Rogers, D., I] Australasian Wader Studies Grp, Curtin, ACT, Australia; [Kent, C. P. Salgado] Edith Cowan Univ, Ctr Marine Ecosyst Res, Joondalup, WA, Australia; [Kent, C. P. Salgado] Oceans Blueprint, Coogee, WA, Australia; [Lowe, R. J.; Schoepf, V] Univ Western Australia, ARC Ctr Excellence Coral Reef Studies, Oceans Grad Sch, Perth, WA, Australia; [Lowe, R. J.; Schoepf, V] Univ Western Australia, UWA Oceans Inst, Perth, WA, Australia; [Schoepf, V] Univ Amsterdam, Inst Biodivers &amp; Ecosyst Dynam, Dept Freshwater &amp; Marine Ecol, Amsterdam, Netherlands; [Mathews, D.] Nyamba Buru Yawuru Ltd, Cable Beach, WA, Australia; [Robbins, W. D.] Curtin Univ, Dept Environm &amp; Agr, Perth, WA 6102, Australia; [Robbins, W. D.] Univ Technol Sydney, Sch Life Sci, Sydney, NSW 2007, Australia; [Waples, K.] Western Australian Marine Sci Inst, Perth, WA, Australia; [Kendrick, G. A.] Univ Western Australia, Sch Biol Sci &amp; Oceans Inst, Crawley, WA 6009, Australia</t>
  </si>
  <si>
    <t>Australian National University; University of Tasmania; Commonwealth Scientific &amp; Industrial Research Organisation (CSIRO); Memorial University Newfoundland; University of Western Australia; University of Tasmania; University of Tasmania; Charles Darwin University; Murdoch University; Commonwealth Scientific &amp; Industrial Research Organisation (CSIRO); University of Western Australia; Australian Institute of Marine Science; University of Western Australia; Edith Cowan University; Western Australian Fisheries &amp; Marine Research Laboratories; University of Western Australia; Curtin University; Western Australian Museum; Arthur Rylah Institute for Environmental Research (ARI); Edith Cowan University; University of Western Australia; University of Western Australia; University of Amsterdam; Curtin University; University of Technology Sydney; Western Australian Marine Science Institution (WAMSI); University of Western Australia</t>
  </si>
  <si>
    <t>Cvitanovic, C (corresponding author), Australian Natl Univ, Australian Natl Ctr Publ Awareness Sci, Canberra, ACT, Australia.</t>
  </si>
  <si>
    <t>christopher.cvitanovic@anu.edu.au</t>
  </si>
  <si>
    <t>Thums, Michele/A-3850-2013; Wilson, Shaun/K-8597-2019; Nash, Kirsty L/B-5456-2015; Waples, Kelly/JXO-0148-2024; Feng, Ming/F-5411-2010; Salgado Kent, Chandra/HHZ-2367-2022; Lowe, Ryan/A-5032-2012; Schoepf, Verena/H-5786-2014; depczynski, martial/B-7689-2008; McMahon, Kathryn/A-6619-2008; Boschetti, Fabio/A-1607-2015</t>
  </si>
  <si>
    <t>Wilson, Shaun/0000-0002-4590-0948; Nash, Kirsty L/0000-0003-0976-3197; Salgado Kent, Chandra/0000-0002-3460-609X; Lowe, Ryan/0000-0002-7080-8406; Dobbs, Rebecca J/0009-0006-2522-1047; Schoepf, Verena/0000-0002-9467-1088; O'Leary, Michael/0000-0001-7040-3137; Cvitanovic, Christopher/0000-0002-2565-3396; Whiting, Scott/0000-0003-3339-9559; Kendrick, Gary/0000-0002-0276-6064; Mackay, Mary/0000-0003-0175-4237; depczynski, martial/0000-0001-8723-0076; McMahon, Kathryn/0000-0003-4355-6247; Boschetti, Fabio/0000-0001-8999-6913</t>
  </si>
  <si>
    <t>Western Australian Department of Biodiversity, Conservation and Attractions; Western Australian Marine Science Institution</t>
  </si>
  <si>
    <t>We thank the Western Australian Department of Biodiversity, Conservation and Attractions and Western Australian Marine Science Institution for their support and guidance in undertaking this work. We also thank three anonymous reviewers' for constructive comments that helped to improve this manuscript.</t>
  </si>
  <si>
    <t>ELSEVIER SCI LTD</t>
  </si>
  <si>
    <t>OXFORD</t>
  </si>
  <si>
    <t>THE BOULEVARD, LANGFORD LANE, KIDLINGTON, OXFORD OX5 1GB, OXON, ENGLAND</t>
  </si>
  <si>
    <t>0964-5691</t>
  </si>
  <si>
    <t>1873-524X</t>
  </si>
  <si>
    <t>OCEAN COAST MANAGE</t>
  </si>
  <si>
    <t>Ocean Coastal Manage.</t>
  </si>
  <si>
    <t>OCT 15</t>
  </si>
  <si>
    <t>10.1016/j.ocecoaman.2021.105771</t>
  </si>
  <si>
    <t>Oceanography; Water Resources</t>
  </si>
  <si>
    <t>WB3XO</t>
  </si>
  <si>
    <t>Green Published</t>
  </si>
  <si>
    <t>WOS:000703509000006</t>
  </si>
  <si>
    <t>Ma, Y; Xu, TW; Mao, Q; Zhou, XM; Wang, R; Sun, JQ; Zhang, AP; Zhou, SS</t>
  </si>
  <si>
    <t>Ma, Yun; Xu, Tianwei; Mao, Qiao; Zhou, Xinmei; Wang, Rui; Sun, Jianqiang; Zhang, Anping; Zhou, Shanshan</t>
  </si>
  <si>
    <t>Distribution and flux of organochlorine pesticides in sediment from Prydz Bay, Antarctic: Implication of sources and trends</t>
  </si>
  <si>
    <t>SCIENCE OF THE TOTAL ENVIRONMENT</t>
  </si>
  <si>
    <t>Organochlorine pesticides; Sediment; Eastern Antarctica; Flux</t>
  </si>
  <si>
    <t>PERSISTENT ORGANIC POLLUTANTS; PEARL RIVER ESTUARY; KING GEORGE ISLAND; SURFACE SEDIMENTS; POLYCHLORINATED-BIPHENYLS; COASTAL SEDIMENTS; MELTING GLACIERS; CHUKCHI SEA; BERING-SEA; TRANSPORT</t>
  </si>
  <si>
    <t>Surface sediments were collected from Prydz Bay, Antarctica to investigate the distribution patterns, origins, annual fluxes, and trends of organochlorine pesticides (OCPs) in the marginal sea of polar areas. The concentrations of OCPs ranged from 0.80 to 7.90 ng/g dry weight, with dichlorodiphenytrichloroethanes (DDTs) as the main components. Levels of hexachlorocydohexanes (HCHs) and DDTs in sediment from Prydz Bay were comparable to the majority of marine sediment worldwide. The distributions of OCPs were characterized by a distinct quasiconcentric circle pattern, which has significantly positive relationship with total organic carbon (TOC) of sediment and controlled by the local hydrodynamic conditions and sources of organic matter. Source apportionment demonstrated that HCHs and chlordanes in Prydz Bay were mainly derived from the long range atmospheric transport (LRAT) of these compounds from off regions. However, current inputs of DDT-based compounds and lindane are suggested to exist either as a result of the LART from the neighbouring countries or re-emission from melting glacier. The annual sedimentary fluxes of OCPs were 0.007 to 7.12 pg/cm(2)/yr, about one to three orders of magnitude lower than some data from the Arctic areas. Based on a rough calculation of r-HCH, only 0.3-1.5% of the air-seawater net deposition would be buried in sediment, implying a long active lifetime of OCPs in Antarctica. We preliminarily indicate an increase of OCP contamination in Antarctic environment afterwards when considering the possible occurrence of fresh sources and low proportion of sedimentary sink. (C) 2021 Elsevier B.V. All rights reserved.</t>
  </si>
  <si>
    <t>[Ma, Yun; Xu, Tianwei; Mao, Qiao; Zhou, Xinmei; Wang, Rui; Sun, Jianqiang; Zhang, Anping; Zhou, Shanshan] Zhejiang Univ Technol, Coll Environm, 18 Chaowang Load, Hangzhou 310014, Peoples R China</t>
  </si>
  <si>
    <t>Zhejiang University of Technology</t>
  </si>
  <si>
    <t>Zhou, SS (corresponding author), Zhejiang Univ Technol, Coll Environm, 18 Chaowang Load, Hangzhou 310014, Peoples R China.</t>
  </si>
  <si>
    <t>sszhou@zjut.edu.cn</t>
  </si>
  <si>
    <t>Xu, Tianwei/AAS-3412-2020; Zhang, Anping/C-4904-2011</t>
  </si>
  <si>
    <t>Xu, Tianwei/0000-0003-4048-4743;</t>
  </si>
  <si>
    <t>National Natural Science Founda-tion of China [41877494, 21976160]; Zhejiang Province Public Welfare Technology Application Research Project [LGF21B070006]</t>
  </si>
  <si>
    <t>National Natural Science Founda-tion of China(National Natural Science Foundation of China (NSFC)); Zhejiang Province Public Welfare Technology Application Research Project</t>
  </si>
  <si>
    <t>This research was supported by the National Natural Science Founda-tion of China (No. 41877494, 21976160) , and Zhejiang Province Public Welfare Technology Application Research Project (LGF21B070006) .</t>
  </si>
  <si>
    <t>0048-9697</t>
  </si>
  <si>
    <t>1879-1026</t>
  </si>
  <si>
    <t>SCI TOTAL ENVIRON</t>
  </si>
  <si>
    <t>Sci. Total Environ.</t>
  </si>
  <si>
    <t>DEC 10</t>
  </si>
  <si>
    <t>10.1016/j.scitotenv.2021.149380</t>
  </si>
  <si>
    <t>Environmental Sciences</t>
  </si>
  <si>
    <t>Environmental Sciences &amp; Ecology</t>
  </si>
  <si>
    <t>UY1BL</t>
  </si>
  <si>
    <t>WOS:000701266700005</t>
  </si>
  <si>
    <t>Guo, HC; Zeitler, PK; Idleman, BD; Fayon, AK; Fitzgerald, PG; McDannell, KT</t>
  </si>
  <si>
    <t>Guo, Hongcheng; Zeitler, Peter K.; Idleman, Bruce D.; Fayon, Annia K.; Fitzgerald, Paul G.; McDannell, Kalin T.</t>
  </si>
  <si>
    <t>Helium diffusion systematics inferred from continuous ramped heating analysis of Transantarctic Mountains apatites showing age overdispersion</t>
  </si>
  <si>
    <t>GEOCHIMICA ET COSMOCHIMICA ACTA</t>
  </si>
  <si>
    <t>Apatite; (U-Th)/He; Thermochronology; Age dispersion; Helium; Diffusion; Transantarctic Mountains</t>
  </si>
  <si>
    <t>SOUTHERN VICTORIA LAND; DRY VALLEYS AREA; LOW-TEMPERATURE THERMOCHRONOMETRY; FISSION-TRACK ANALYSIS; RADIATION-DAMAGE; (U-TH)/HE THERMOCHRONOMETRY; STOPPING DISTANCES; UPLIFT HISTORY; ANTARCTICA; KINETICS</t>
  </si>
  <si>
    <t>Application of apatite (U-Th)/He thermochronology has been hindered by incomplete understanding of diffusion systematics that leads to the single-grain age dispersion often displayed by samples, particularly those from older, slowly cooled settings. We applied the continuous ramped heating (CRH) method to an apatite suite from Cathedral Rocks in the Transantarctic Mountains (TAM) that have high age dispersion in order to explain processes that complicate He-4 diffusion in apatite. Examining 132 apatite grains from a total of six samples, we confirmed earlier apatite (U-Th)/He results showing that measured AHe ages have at least three-fold intra-sample dispersion with no obvious relationships between ages and effective uranium concentration (eU) or grain size. CRH results on these apatites yielded two groups. Those with younger ages, characterized by unimodal incremental He-4 gas-release curves, displayed simple volume diffusion behavior. In contrast, grains with older ages generally show complex gas release in the form of sharp spikes and/or extended gas-release at high temperatures (i.e., &gt;= 800 degrees C). Simply-behaved apatites still show considerable age dispersion that exceeds what grain size, radiation damage, and analytical uncertainty can explain, but this dispersion appears to be related to variations in He-4 diffusion kinetics. The screened AHe ages from simply-behaved younger apatite grains together with kinetic information from these grains suggest that the sampled region experienced slow cooling prior to rapid cooling (rock exhumation) beginning ca. 35 Ma. This interpretation is consistent with other studies indicative of an increase in exhumation rates at this time, possibly related to the initiation of glaciation at the Eocene-Oligocene climate transition. An attempt to correct older apatite ages by simply removing extraneous gas-release components yielded some ages that are too young for the samples' geologic setting, suggesting that the factors that lead to complex laboratory release behavior can impact both the expected radiogenic component as well as those that are apparently extraneous. From our observations, we infer that many apatite grains contain imperfections of varying kinds that contribute significantly to kinetic variability beyond that associated with radiation damage and conclude that: (1) CRH analysis can serve as a routine screening tool for AHe dating and offers opportunities to reveal first-order kinetic variations; (2) model-dependent age correction may be possible but would require some means of estimating the broad proportions of He-4 components incorporated into grains before and after closure to diffusion, and (3) interpretation of highly dispersed AHe ages requires assessment of individual-grain diffusion kinetics beyond that predicted by radiation-damage models. (C) 2021 Elsevier Ltd. All rights reserved.</t>
  </si>
  <si>
    <t>[Guo, Hongcheng; Zeitler, Peter K.; Idleman, Bruce D.] Lehigh Univ, Dept Earth &amp; Environm Sci, Bethlehem, PA 18015 USA; [Fayon, Annia K.] Univ Minnesota, Dept Earth Sci, Minneapolis, MN 55455 USA; [Fitzgerald, Paul G.] Syracuse Univ, Dept Earth &amp; Environm Sci, Syracuse, NY 13244 USA; [McDannell, Kalin T.] Dartmouth Coll, Dept Earth Sci, Hanover, NH 03755 USA</t>
  </si>
  <si>
    <t>Lehigh University; University of Minnesota System; University of Minnesota Twin Cities; Syracuse University; Dartmouth College</t>
  </si>
  <si>
    <t>Guo, HC (corresponding author), Lehigh Univ, Dept Earth &amp; Environm Sci, Bethlehem, PA 18015 USA.</t>
  </si>
  <si>
    <t>hog217@lehigh.edu</t>
  </si>
  <si>
    <t>GUO, Hongcheng/0000-0003-4227-6331; Zeitler, Peter/0000-0002-6204-3159; Idleman, Bruce/0000-0002-1696-6841; McDannell, Kalin/0000-0002-3161-8124</t>
  </si>
  <si>
    <t>National Science Foundation [OPP-0002824, OPP-9615294, EAR-1726350]; NSF [EAR-1625422]</t>
  </si>
  <si>
    <t>National Science Foundation(National Science Foundation (NSF)); NSF(National Science Foundation (NSF))</t>
  </si>
  <si>
    <t>Both this work and part of HG's graduate study were supported by the National Science Foundation [grant EAR-1726350 to AKF, PKZ, and BDI]; PGF acknowledges support from the National Science Foundation [grants OPP-0002824 and OPP-9615294] for the original (U-Th)/He work along the TAM. The rock samples were originally collected as part of Antarctic fieldwork through the Antarctic Research Centre of Victoria University of Wellington with samples originally processed by Fitzgerald at the University of Melbourne, Australia. We thank Peter Reiners, Uttam Chowdhury, and the Arizona Radiogenic Dating Laboratory for U-Th-Sm-Ca measurements. Quantitative analyses were performed on a JEOL JXA-8530FPlus electron microprobe at the University of Minnesota. Funding for electron microprobe facility used in this research was provided by NSF grant EAR-1625422. Most of the graphs were created using Generic Mapping Tools (GMT) v. 6.0 (Wessel et al., 2019). We thank Ce ' cile Gautheron, Rich Ketcham, and an anonymous referee for helpful and constructive reviews. We thank Fred Jourdan for efficient editorial handling.</t>
  </si>
  <si>
    <t>PERGAMON-ELSEVIER SCIENCE LTD</t>
  </si>
  <si>
    <t>THE BOULEVARD, LANGFORD LANE, KIDLINGTON, OXFORD OX5 1GB, ENGLAND</t>
  </si>
  <si>
    <t>0016-7037</t>
  </si>
  <si>
    <t>1872-9533</t>
  </si>
  <si>
    <t>GEOCHIM COSMOCHIM AC</t>
  </si>
  <si>
    <t>Geochim. Cosmochim. Acta</t>
  </si>
  <si>
    <t>OCT 1</t>
  </si>
  <si>
    <t>10.1016/j.gca.2021.07.015</t>
  </si>
  <si>
    <t>Geochemistry &amp; Geophysics</t>
  </si>
  <si>
    <t>UG8TQ</t>
  </si>
  <si>
    <t>hybrid</t>
  </si>
  <si>
    <t>WOS:000689517700008</t>
  </si>
  <si>
    <t>Choi, HK; Jang, JE; Byeon, SY; Kim, YR; Maschette, D; Chung, S; Choi, SG; Kim, HW; Lee, HJ</t>
  </si>
  <si>
    <t>Choi, Hee-kyu; Jang, Ji Eun; Byeon, Seo Yeon; Kim, Yu Rim; Maschette, Dale; Chung, Sangdeok; Choi, Seok-Gwan; Kim, Hyun-Woo; Lee, Hyuk Je</t>
  </si>
  <si>
    <t>Genetic Diversity and Population Structure of the Antarctic Toothfish, Dissostichus mawsoni, Using Mitochondrial and Microsatellite DNA Markers</t>
  </si>
  <si>
    <t>Antarctic toothfish; CCAMLR; fishery management; genetic diversity; population connectivity; contemporary gene flow; genetic stock; phylogeographic break</t>
  </si>
  <si>
    <t>RE-IMPLEMENTATION; NUCLEAR-DNA; EVOLUTION; SOFTWARE; OCEAN; SIZE; PHYLOGENIES; ATLANTIC; GROWTH</t>
  </si>
  <si>
    <t>The Antarctic toothfish, Dissostichus mawsoni, serves as a valuable fishery resource around the Antarctic Continent since 1997, managed by the Commission for the Conservation of Antarctic Marine Living Resources (CCAMLR). Although delineating genetic or stock structure of populations is crucial for improving fishery management of this species, its number of genetic populations and genetic diversity levels remain ambiguous. In the present study, we assessed the population genetic and phylogeographic structure of the Antarctic toothfish across 20 geographic localities spanning from Subareas 88 (88.1, 88.2, and 88.3) to Subareas 58 (58.4 and 58.5) by using mitochondrial DNA (mtDNA) cytochrome oxidase I (COI) and 16S rRNA (16S) sequences and seven nuclear microsatellite loci. MtDNA revealed a low level of polymorphism (h = 0.571, pi = 0.0006) with 40 haplotypes in 392 individuals, connected only by 1-5 mutational steps, which is indicative of shallow evolutionary history. Microsatellites showed a range of allelic richness (AR) from 6.328 (88.3 RB3) to 7.274 (88.3 RB6) within populations. Overall genetic diversity was generally higher in Subareas 58 than in Subareas 88, suggesting that effective population size (N-E) is larger in Subareas 58. The results of population analyses using microsatellites suggest that the sampled populations are likely to comprise a well-admixed single gene pool (i.e., one genetic stock), perhaps due to high contemporary gene flow occurring during the prolonged larval phase of this fish. However, given weak, but significant microsatellite differentiation found in six population-pairs, the possibility of existence of multiple genetic populations could not be completely excluded. The mtDNA AMOVA suggests a genetic break between the Subareas 88 and 58 groups (F-CT = 0.011, P = 0.004). Moreover, mtDNA genetic distances (F-ST) between populations were proportionally greater as geographic distances increase. The patterns of isolation by distance (IBD) shown only in mtDNA, but not in microsatellites might suggest that population differentiation or divergence processes underwent faster in mtDNA than microsatellites, due to its N-E being only one-quarter of nuclear DNA. Temporal stability in the genetic structure of D. mawsoni is also indicated by the results of no genetic differentiation between juveniles and adults. The findings of this study will help to design effective stock management strategies for this valuable fishery resource. We suggest that a long-term genetic monitoring is needed to understand the population structure and dynamics of toothfish in response to ongoing climate changes.</t>
  </si>
  <si>
    <t>[Choi, Hee-kyu; Jang, Ji Eun; Byeon, Seo Yeon; Kim, Yu Rim; Lee, Hyuk Je] Sangji Univ, Dept Biol Sci, Mol Ecol &amp; Evolut Lab, Wonju, South Korea; [Maschette, Dale] Univ Tasmania, Fisheries &amp; Aquaculture Ctr, Inst Marine &amp; Antarctic Studies, Hobart, Tas, Australia; [Maschette, Dale] Australian Antarctic Div, Dept Agr Water &amp; Environm, Kingston, Tas, Australia; [Chung, Sangdeok; Choi, Seok-Gwan] Natl Inst Fisheries Sci, Distant Water Fisheries Resources Div, Busan, South Korea; [Kim, Hyun-Woo] Pukyong Natl Univ, Dept Marine Biol, Busan, South Korea</t>
  </si>
  <si>
    <t>Sangji University; University of Tasmania; Australian Antarctic Division; National Institute of Fisheries Science; Pukyong National University</t>
  </si>
  <si>
    <t>Lee, HJ (corresponding author), Sangji Univ, Dept Biol Sci, Mol Ecol &amp; Evolut Lab, Wonju, South Korea.</t>
  </si>
  <si>
    <t>hyukjelee@sangji.ac.kr</t>
  </si>
  <si>
    <t>Kim, Hyun-Woo/AFN-9184-2022</t>
  </si>
  <si>
    <t>Kim, Hyun-Woo/0000-0003-1357-5893; Maschette, Dale/0000-0003-2590-8544</t>
  </si>
  <si>
    <t>National Institute of Fisheries Science, South Korea (NIFS) [R2019021, R2020023, R2021029]</t>
  </si>
  <si>
    <t>National Institute of Fisheries Science, South Korea (NIFS)</t>
  </si>
  <si>
    <t>This work was supported by a grant from the National Institute of Fisheries Science, South Korea (NIFS; R2019021, R2020023, and R2021029).</t>
  </si>
  <si>
    <t>AUG 2</t>
  </si>
  <si>
    <t>10.3389/fmars.2021.666417</t>
  </si>
  <si>
    <t>UB0WP</t>
  </si>
  <si>
    <t>gold, Green Published</t>
  </si>
  <si>
    <t>WOS:000685573900001</t>
  </si>
  <si>
    <t>Bakkaloglu, S; Lowry, D; Fisher, RE; France, JL; Nisbet, EG</t>
  </si>
  <si>
    <t>Bakkaloglu, Semra; Lowry, Dave; Fisher, Rebecca E.; France, James L.; Nisbet, Euan G.</t>
  </si>
  <si>
    <t>Y Carbon isotopic characterisation and oxidation of UK landfill methane emissions by atmospheric measurements</t>
  </si>
  <si>
    <t>WASTE MANAGEMENT</t>
  </si>
  <si>
    <t>Carbon isotopic signature; Landfill methane emissions; Gas well isotopic signature; Oxidised proportion estimation</t>
  </si>
  <si>
    <t>DELTA-D; SIGNATURES; FRACTIONATION; DIOXIDE; COVERS; GROWTH; RATIO; SOIL</t>
  </si>
  <si>
    <t>Biological oxidation of methane in landfill cover material can be calculated from the carbon isotopic signature (delta C-13(CH4)) of emitted CH4. Enhanced microbial consumption of methane in the aerobic portion of the landfill cover is indicated by a shift to heavier (less depleted) isotopic values in the residual methane emitted to air. This study was conducted at four landfill sites in southwest England. Measurement of CH4 using a mobile vehicle mounted instrument at the four sites was coupled with Flexfoil bag sampling of ambient air for high-precision isotope analysis. Gas well collection systems were sampled to estimate landfill oxidised proportion. Closed or active status, seasonal variation, cap stripping and site closure impact on landfill isotopic signature were also assessed. The delta C-13(CH4) values ranged from-60 to-54 parts per thousand, with an average value of-57 +/- 2 parts per thousand. Methane emissions from active cells are more depleted in C-13 than closed sites. Methane oxidation, estimated from the isotope fractionation, ranged from 2.6 to 38.2%, with mean values of 9.5% for active and 16.2% for closed landfills, indicating that oxidised proportion is highly site specific.Y</t>
  </si>
  <si>
    <t>[Bakkaloglu, Semra; Lowry, Dave; Fisher, Rebecca E.; France, James L.; Nisbet, Euan G.] Royal Holloway Univ London, Dept Earth Sci, Egham TW20 0EX, Surrey, England; [Bakkaloglu, Semra] Imperial Coll London, Sustainable Gas Inst, London SW7 1NA, England; [France, James L.] British Antarctic Survey, Madingley Rd, Cambridge CB3 0ET, England</t>
  </si>
  <si>
    <t>University of London; Royal Holloway University London; Imperial College London; UK Research &amp; Innovation (UKRI); Natural Environment Research Council (NERC); NERC British Antarctic Survey</t>
  </si>
  <si>
    <t>Bakkaloglu, S (corresponding author), Royal Holloway Univ London, Dept Earth Sci, Egham TW20 0EX, Surrey, England.;Bakkaloglu, S (corresponding author), Imperial Coll London, Sustainable Gas Inst, London SW7 1NA, England.</t>
  </si>
  <si>
    <t>semra.bakkaloglu.2018@live.rhul.ac.uk</t>
  </si>
  <si>
    <t>Lowry, David/GXG-1235-2022; Lowry, David/JCE-0619-2023; Fisher, Rebecca/AAA-5352-2022; France, James/L-9719-2015</t>
  </si>
  <si>
    <t>France, James/0000-0002-8785-1240; Fisher, Rebecca/0000-0002-9262-5467; Bakkaloglu, semra/0000-0002-0476-1929; LOWRY, DAVID/0000-0002-8535-0346</t>
  </si>
  <si>
    <t>MEthane goes MObile: MEasurement and MOdeling (MEMO2) project from European Union [722479]; U.K. Natural Environment Research Council [NE/P019641/1, NE/N016238/1]; NERC [bas0100032, NE/N016238/1, NE/S003657/1, NE/T009268/1, NE/N016211/1, NE/P019641/1] Funding Source: UKRI</t>
  </si>
  <si>
    <t>MEthane goes MObile: MEasurement and MOdeling (MEMO2) project from European Union; U.K. Natural Environment Research Council(UK Research &amp; Innovation (UKRI)Natural Environment Research Council (NERC)); NERC(UK Research &amp; Innovation (UKRI)Natural Environment Research Council (NERC))</t>
  </si>
  <si>
    <t>We thank the collaborating landfill company for granting us access to the sites. We are obliged to them for their support during landfill surveys. This study is funded by MEthane goes MObile: MEasurement and MOdeling (MEMO2) project from the European Union's Horizon 2020 research and innovation programme under the Marie Sklodowska-Curie grant agreement No 722479, and also supported by U.K. Natural Environment Research Council grants NE/P019641/1, New methodologies for removal of methane, and NE/N016238/1 The Global Methane Budget. Landfill site isotopic data is available via the MEMO2 isotopic database at: https://doi.org/10.5281/zenodo.3975543.We are grateful to Jerry Morris for maintenance of the survey vehicle, and Mathias Lanoisell ' e for help with driving the vehicle for surveys. Special thanks go to colleagues in the Greenhouse Gas Research Group for supporting this study. Google Satellite (c) 2019 is used to create base maps for the figures.</t>
  </si>
  <si>
    <t>0956-053X</t>
  </si>
  <si>
    <t>1879-2456</t>
  </si>
  <si>
    <t>WASTE MANAGE</t>
  </si>
  <si>
    <t>Waste Manage.</t>
  </si>
  <si>
    <t>AUG 1</t>
  </si>
  <si>
    <t>10.1016/j.wasman.2021.07.012</t>
  </si>
  <si>
    <t>Engineering, Environmental; Environmental Sciences</t>
  </si>
  <si>
    <t>Engineering; Environmental Sciences &amp; Ecology</t>
  </si>
  <si>
    <t>UA7TO</t>
  </si>
  <si>
    <t>hybrid, Green Accepted</t>
  </si>
  <si>
    <t>WOS:000685361000004</t>
  </si>
  <si>
    <t>Lai, JT; Anders, AM</t>
  </si>
  <si>
    <t>Lai, Jingtao; Anders, Alison M.</t>
  </si>
  <si>
    <t>Climatic controls on mountain glacier basal thermal regimes dictate spatial patterns of glacial erosion</t>
  </si>
  <si>
    <t>ANTARCTIC ICE SHEETS; LANDSCAPE EVOLUTION; MODEL; DENUDATION; HYDROLOGY; INCISION; DYNAMICS; CIRQUES; HEIGHT; LIMITS</t>
  </si>
  <si>
    <t>Climate has been viewed as a primary control on the rates and patterns of glacial erosion, yet our understanding of the mechanisms by which climate influences glacial erosion is limited. We hypothesize that climate controls the patterns of glacial erosion by altering the basal thermal regime of glaciers. The basal thermal regime is a first-order control on the spatial patterns of glacial erosion. Polythermal glaciers contain both cold-based portions that protect bedrock from erosion and warm-based portions that actively erode bedrock. In this study, we model the impact of various climatic conditions on glacier basal thermal regimes and patterns of glacial erosion in mountainous regions. We couple a sliding-dependent glacial erosion model with the Parallel Ice Sheet Model (PISM) to simulate the evolution of the glacier basal thermal regime and glacial erosion in a synthetic landscape. We find that both basal thermal regimes and glacial erosion patterns are sensitive to climatic conditions, and glacial erosion patterns follow the patterns of the basal thermal regime. Cold temperature leads to limited glacial erosion at high elevations due to cold-based conditions. Increasing precipitation can overcome the impact of cold temperature on the basal thermal regime by accumulating thick ice and lowering the melting point of ice at the base of glaciers. High precipitation rates, therefore, tend to cause warm-based conditions at high elevations, resulting in intensive erosion near the peak of the mountain range. Previous studies often assessed the impact of climate on the spatial patterns of glacial erosion by integrating climatic conditions into the equilibrium line altitudes (ELAs) of glaciers, and glacial erosion is suggested to be maximal around the ELA. However, our results show that different climatic conditions produce glaciers with similar ELAs but different patterns of basal thermal regime and glacial erosion, suggesting that there might not be any direct correlation between ELAs and glacial erosion patterns.</t>
  </si>
  <si>
    <t>[Lai, Jingtao; Anders, Alison M.] Univ Illinois, Dept Geol, Urbana, IL 61801 USA; [Lai, Jingtao] GFZ German Res Ctr Geosci, D-14473 Potsdam, Germany</t>
  </si>
  <si>
    <t>University of Illinois System; University of Illinois Urbana-Champaign; Helmholtz Association; Helmholtz-Center Potsdam GFZ German Research Center for Geosciences</t>
  </si>
  <si>
    <t>Lai, JT (corresponding author), Univ Illinois, Dept Geol, Urbana, IL 61801 USA.;Lai, JT (corresponding author), GFZ German Res Ctr Geosci, D-14473 Potsdam, Germany.</t>
  </si>
  <si>
    <t>lai@gfz-potsdam.de</t>
  </si>
  <si>
    <t>; Anders, Alison/I-3635-2016</t>
  </si>
  <si>
    <t>Lai, Jingtao/0000-0001-9745-150X; Anders, Alison/0000-0002-7597-5465</t>
  </si>
  <si>
    <t>10.5194/esurf-9-845-2021</t>
  </si>
  <si>
    <t>TU1PS</t>
  </si>
  <si>
    <t>Green Submitted, gold</t>
  </si>
  <si>
    <t>WOS:000680812300002</t>
  </si>
  <si>
    <t>Yao, J</t>
  </si>
  <si>
    <t>Yao, Joanne</t>
  </si>
  <si>
    <t>An international hierarchy of science: conquest, cooperation, and the 1959 Antarctic Treaty System</t>
  </si>
  <si>
    <t>EUROPEAN JOURNAL OF INTERNATIONAL RELATIONS</t>
  </si>
  <si>
    <t>International order; international hierarchy; Antarctica; international institutions; science; environment</t>
  </si>
  <si>
    <t>AUTHORITY; CHINA; ANARCHY; ORGANIZATION; GOVERNANCE; POLITICS; STANDARD; INDIA; STATE</t>
  </si>
  <si>
    <t>The Antarctic Treaty System (ATS), created in 1959 to govern the southern continent, is often lauded as an illustration of science's potential to inspire peaceful and rational International Relations. This article critically examines this optimistic view of science's role in international politics by focusing on how science as a global hierarchical structure operated as a gatekeeper to an exclusive Antarctic club. I argue that in the early 20th century, the conduct of science in Antarctica was entwined with global and imperial hierarchies. As what Mattern and Zarakol call a broad hierarchy, science worked both as a civilized marker of international status as well as a social performance that legitimated actors' imperial interests in Antarctica. The 1959 ATS relied on science as an existing broad hierarchy to enable competing states to achieve a functional bargain and 'freeze' sovereignty claims, whilst at the same time institutionalizing and reinforcing the legitimacy of science in maintaining international inequalities. In making this argument, I stress the role of formal international institutions in bridging our analysis of broad and functional hierarchies while also highlighting the importance of scientific hierarchies in constituting the current international order.</t>
  </si>
  <si>
    <t>[Yao, Joanne] Queen Mary Univ London, Mile End Rd, London E1 4NS, England</t>
  </si>
  <si>
    <t>University of London; Queen Mary University London</t>
  </si>
  <si>
    <t>Yao, J (corresponding author), Queen Mary Univ London, Mile End Rd, London E1 4NS, England.</t>
  </si>
  <si>
    <t>joanne.yao@qmul.ac.uk</t>
  </si>
  <si>
    <t>Yao, Joanne/0000-0001-6550-8911</t>
  </si>
  <si>
    <t>SAGE PUBLICATIONS LTD</t>
  </si>
  <si>
    <t>LONDON</t>
  </si>
  <si>
    <t>1 OLIVERS YARD, 55 CITY ROAD, LONDON EC1Y 1SP, ENGLAND</t>
  </si>
  <si>
    <t>1354-0661</t>
  </si>
  <si>
    <t>1460-3713</t>
  </si>
  <si>
    <t>EUR J INT RELAT</t>
  </si>
  <si>
    <t>Eur. J. Int. Relat.</t>
  </si>
  <si>
    <t>DEC</t>
  </si>
  <si>
    <t>10.1177/13540661211033889</t>
  </si>
  <si>
    <t>International Relations</t>
  </si>
  <si>
    <t>Social Science Citation Index (SSCI)</t>
  </si>
  <si>
    <t>XA5CM</t>
  </si>
  <si>
    <t>WOS:000680154500001</t>
  </si>
  <si>
    <t>Lauretano, V; Kennedy-Asser, AT; Korasidis, VA; Wallace, MW; Valdes, PJ; Lunt, DJ; Pancost, RD; Naafs, BDA</t>
  </si>
  <si>
    <t>Lauretano, Vittoria; Kennedy-Asser, Alan T.; Korasidis, Vera A.; Wallace, Malcolm W.; Valdes, Paul J.; Lunt, Daniel J.; Pancost, Richard D.; Naafs, B. David A.</t>
  </si>
  <si>
    <t>Eocene to Oligocene terrestrial Southern Hemisphere cooling caused by declining pCO2</t>
  </si>
  <si>
    <t>NATURE GEOSCIENCE</t>
  </si>
  <si>
    <t>ANTARCTIC GLACIATION; CLIMATE; TEMPERATURE; TRANSITION; OCEAN; MODEL; PROXY; ONSET; EVOLUTION; RECORD</t>
  </si>
  <si>
    <t>The greenhouse-to-icehouse climate transition from the Eocene into the Oligocene is well documented by sea surface temperature records from the southwest Pacific and Antarctic margin, which show evidence of pronounced long-term cooling. However, identification of a driving mechanism depends on a better understanding of whether this cooling was also present in terrestrial settings. Here, we present a semi-continuous terrestrial temperature record spanning from the middle Eocene to the early Oligocene (similar to 41-33 million years ago), using bacterial molecular fossils (biomarkers) preserved in a sequence of southeast Australian lignites. Our results show that mean annual temperatures in southeast Australia gradually declined from similar to 27 degrees C (+/- 4.7 degrees C) during the middle Eocene to similar to 22-24 degrees C (+/- 4.7 degrees C) during the late Eocene, followed by a similar to 2.4 degrees C-step cooling across the Eocene/Oligocene boundary. This trend is comparable to other temperature records in the Southern Hemisphere, suggesting a common driving mechanism, likely pCO(2). We corroborate these results with a suite of climate model simulations demonstrating that only simulations including a decline in pCO(2) lead to a cooling in southeast Australia consistent with our proxy record. Our data form an important benchmark for testing climate model performance, sea-land interaction and climatic forcings at the onset of a major Antarctic glaciation.</t>
  </si>
  <si>
    <t>[Lauretano, Vittoria; Pancost, Richard D.; Naafs, B. David A.] Univ Bristol, Sch Chem, Sch Earth Sci, Organ Geochem Unit, Bristol, Avon, England; [Lauretano, Vittoria; Kennedy-Asser, Alan T.; Valdes, Paul J.; Lunt, Daniel J.; Pancost, Richard D.; Naafs, B. David A.] Univ Bristol, Cabot Inst Environm, Bristol, Avon, England; [Kennedy-Asser, Alan T.; Valdes, Paul J.; Lunt, Daniel J.] Univ Bristol, Sch Geog Sci, Bristol Res Initiat Dynam Global Environm, Bristol, Avon, England; [Korasidis, Vera A.; Wallace, Malcolm W.] Univ Melbourne, Sch Earth Sci, Melbourne, Vic, Australia; [Korasidis, Vera A.] Smithsonian Inst, Dept Paleobiol, Washington, DC 20560 USA</t>
  </si>
  <si>
    <t>University of Bristol; University of Bristol; University of Bristol; University of Melbourne; Melbourne Bioinformatics; Smithsonian Institution; Smithsonian National Museum of Natural History</t>
  </si>
  <si>
    <t>Lauretano, V; Naafs, BDA (corresponding author), Univ Bristol, Sch Chem, Sch Earth Sci, Organ Geochem Unit, Bristol, Avon, England.;Lauretano, V; Naafs, BDA (corresponding author), Univ Bristol, Cabot Inst Environm, Bristol, Avon, England.</t>
  </si>
  <si>
    <t>vittoria.lauretano@bristol.ac.uk; david.naafs@bristol.ac.uk</t>
  </si>
  <si>
    <t>Naafs, Bernhard David/AFV-1912-2022; Lunt, Daniel/G-9451-2011</t>
  </si>
  <si>
    <t>Naafs, Bernhard David/0000-0001-5125-6928; Lauretano, Vittoria/0000-0002-7869-6074; Korasidis, Vera/0000-0002-2921-5641; Lunt, Daniel/0000-0003-3585-6928; Kennedy-Asser, Alan/0000-0001-5143-8932; Valdes, Paul/0000-0002-1902-3283</t>
  </si>
  <si>
    <t>NERC [CC010, NE/L002434/1]; NEIF; European Research Council under the European Union; European Research Council [340923]; Royal Society as part of a Tata University Research Fellowship</t>
  </si>
  <si>
    <t>NERC(UK Research &amp; Innovation (UKRI)Natural Environment Research Council (NERC)); NEIF; European Research Council under the European Union(European Research Council (ERC)); European Research Council(European Research Council (ERC)); Royal Society as part of a Tata University Research Fellowship(Royal Society)</t>
  </si>
  <si>
    <t>We thank NERC (reference: CC010) and NEIF (www.isotopesuk.org) for funding and maintenance of the instrumentation used for this work. We thank S. Blackbird at the University of Liverpool for technical assistance with the TOC analyses. This research was carried out with funding from the European Research Council under the European Union's Seventh Framework Programme (FP/2007-2013) and European Research Council Grant Agreement number 340923 The greenhouse earth system T-GRES (awarded to R.D.P.). Further funding was provided by the Royal Society as part of a Tata University Research Fellowship to B.D.A.N. and the associated enhancement award that funded V.L. Climate model simulations were carried out using the computational facilities of the Advanced Computing Research Centre, University of Bristol, and were supported by NERC (grant number NE/L002434/1).</t>
  </si>
  <si>
    <t>NATURE PORTFOLIO</t>
  </si>
  <si>
    <t>BERLIN</t>
  </si>
  <si>
    <t>HEIDELBERGER PLATZ 3, BERLIN, 14197, GERMANY</t>
  </si>
  <si>
    <t>1752-0894</t>
  </si>
  <si>
    <t>1752-0908</t>
  </si>
  <si>
    <t>NAT GEOSCI</t>
  </si>
  <si>
    <t>Nat. Geosci.</t>
  </si>
  <si>
    <t>SEP</t>
  </si>
  <si>
    <t>+</t>
  </si>
  <si>
    <t>10.1038/s41561-021-00788-z</t>
  </si>
  <si>
    <t>Geosciences, Multidisciplinary</t>
  </si>
  <si>
    <t>Geology</t>
  </si>
  <si>
    <t>UN8KN</t>
  </si>
  <si>
    <t>Green Submitted</t>
  </si>
  <si>
    <t>WOS:000680330900004</t>
  </si>
  <si>
    <t>Lenz, M; Lebas, E; Lenz, MM; Fedorov, G; Gromig, R; Kolka, V; Krastel, S; Leicher, N; Melles, M; Wagner, B</t>
  </si>
  <si>
    <t>Lenz, Matthias; Lebas, Elodie; Lenz, Marlene M.; Fedorov, Grigory; Gromig, Raphael; Kolka, Vasili; Krastel, Sebastian; Leicher, Niklas; Melles, Martin; Wagner, Bernd</t>
  </si>
  <si>
    <t>Highly variable sediment deposition in Lake Imandra, NW Russia, since the Late Pleistocene</t>
  </si>
  <si>
    <t>JOURNAL OF QUATERNARY SCIENCE</t>
  </si>
  <si>
    <t>depositional history; Kola region; Lake Imandra; sediment cores; seismo-acoustic stratigraphy</t>
  </si>
  <si>
    <t>SCALE LACUSTRINE DRIFTS; TREE-LINE AREA; KOLA-PENINSULA; ICE-SHEET; HOLOCENE CLIMATE; LATE-QUATERNARY; SEISMIC STRATIGRAPHY; NORTHWESTERN RUSSIA; RECORD; DEGLACIATION</t>
  </si>
  <si>
    <t>To understand the dynamics of sediment deposition and the potential influences of complex current systems in large lakes, Lake Imandra (Kola Peninsula) has been investigated. Seismic and echo-sounder data of the central part of Bolshaya Imandra reveal the sediment architecture in unprecedented detail. In addition, the sediment core data indicate highly variable depositional processes since the Late Pleistocene. The complex morphology of the lacustrine basin favoured accumulation of sediment in depressions, where they were preserved from erosion. Three main stratigraphic units (SU I-III) were identified above the acoustic basement. The oldest SU III is best preserved along a tectonic trench and interpreted as glacial deposits partly eroded by the Scandinavian Ice Sheet during Marine Isotope Stage (MIS) 2. The overlying SU II deposits are regarded as a till related to MIS 2 glaciation. The youngest SU I represents glaciofluvial, glaciolacustrine and lacustrine sediment deposited after ice retreat. As the north-south-trending main axis of Bolshaya Imandra runs parallel to the predominant wind direction, the basin is subject to strong wind-induced surficial currents and compensatory subsurface currents. These currents occur in water depth of 0-15 and deeper than 30 m, respectively, and their velocity prevents sediment accumulation.</t>
  </si>
  <si>
    <t>[Lenz, Matthias; Lenz, Marlene M.; Gromig, Raphael; Leicher, Niklas; Melles, Martin; Wagner, Bernd] Univ Cologne, Inst Geol &amp; Mineral, Cologne, Germany; [Lebas, Elodie; Krastel, Sebastian] Univ Kiel, Inst Geosci, Kiel, Germany; [Lebas, Elodie] Univ Paris, Inst Phys Globe Paris, Paris, France; [Fedorov, Grigory] St Petersburg State Univ, St Petersburg, Russia; [Fedorov, Grigory] Arctic &amp; Antarctic Res Inst, St Petersburg, Russia; [Kolka, Vasili] Geol Inst Kola Sci Ctr RAS, Apatity, Russia</t>
  </si>
  <si>
    <t>University of Cologne; University of Kiel; Universite Paris Cite; Saint Petersburg State University; Arctic &amp; Antarctic Research Institute</t>
  </si>
  <si>
    <t>Lenz, M (corresponding author), Univ Cologne, Inst Geol &amp; Mineral, Cologne, Germany.</t>
  </si>
  <si>
    <t>matthias.lenz@uni-koeln.de</t>
  </si>
  <si>
    <t>Wagner, Bernd/J-4682-2012; Melles, Martin/J-4070-2012; Fedorov, Grigory/N-5788-2019; Krastel, Sebastian/C-2001-2017</t>
  </si>
  <si>
    <t>Wagner, Bernd/0000-0002-1369-7893; Melles, Martin/0000-0003-0977-9463; Fedorov, Grigory/0000-0003-2269-4501; Leicher, Niklas/0000-0002-3367-5982; Lenz (nee Baumer), Marlene Margit/0000-0002-5352-3900; Krastel, Sebastian/0000-0002-5899-9748; Lebas, Elodie/0000-0003-1617-143X; Gromig, Raphael/0000-0001-9217-4259</t>
  </si>
  <si>
    <t>German Research Foundation (DFG) [ME 1169/28]; St. Petersburg State University (SPBU) [18.65.39.2017]; German Federal Ministry of Education and Research (BMBF) [03G0859A]; Projekt DEAL</t>
  </si>
  <si>
    <t>German Research Foundation (DFG)(German Research Foundation (DFG)); St. Petersburg State University (SPBU); German Federal Ministry of Education and Research (BMBF)(Federal Ministry of Education &amp; Research (BMBF)); Projekt DEAL</t>
  </si>
  <si>
    <t>Financial support for this study was provided by the German Research Foundation (DFG - grant no. ME 1169/28), St. Petersburg State University (SPBU - grant no. 18.65.39.2017) and the German Federal Ministry of Education and Research (BMBF - grant no. 03G0859A). We are grateful to various colleagues from the Geological Institute of the Kola Science Centre of Russian Academy of Sciences (GI KSC RAS) in Apatity for their expertise and logistical help during fieldwork in summer 2017. We thank Nicole Mantke and Dorothea Klinghardt from the University of Cologne for assistance and help with the laboratory work. Free academic licences for the Kingdom (seismic interpretation) and VISTA Desktop Seismic Data Processing Software (seismic processing) were granted IHS Markit and Schlumberger, respectively. Data will be available via the PANGAEA repository after publication. The authors declare no conflicts of interest. Open access funding enabled and organized by Projekt DEAL.</t>
  </si>
  <si>
    <t>0267-8179</t>
  </si>
  <si>
    <t>1099-1417</t>
  </si>
  <si>
    <t>J QUATERNARY SCI</t>
  </si>
  <si>
    <t>J. Quat. Sci.</t>
  </si>
  <si>
    <t>JUL</t>
  </si>
  <si>
    <t>SI</t>
  </si>
  <si>
    <t>10.1002/jqs.3353</t>
  </si>
  <si>
    <t>3B0RA</t>
  </si>
  <si>
    <t>WOS:000680102500001</t>
  </si>
  <si>
    <t>Willis, KA; Serra-Goncalves, C; Richardson, K; Schuyler, QA; Pedersen, H; Anderson, K; Stark, JS; Vince, J; Hardesty, BD; Wilcox, C; Nowak, BF; Lavers, JL; Semmens, JM; Greeno, D; MacLeod, C; Frederiksen, NPO; Puskic, PS</t>
  </si>
  <si>
    <t>Willis, Kathryn A.; Serra-Goncalves, Catarina; Richardson, Kelsey; Schuyler, Qamar A.; Pedersen, Halfdan; Anderson, Kelli; Stark, Jonathan S.; Vince, Joanna; Hardesty, Britta D.; Wilcox, Chris; Nowak, Barbara F.; Lavers, Jennifer L.; Semmens, Jayson M.; Greeno, Dean; MacLeod, Catriona; Frederiksen, Nunnoq P. O.; Puskic, Peter S.</t>
  </si>
  <si>
    <t>Cleaner seas: reducing marine pollution</t>
  </si>
  <si>
    <t>REVIEWS IN FISH BIOLOGY AND FISHERIES</t>
  </si>
  <si>
    <t>Future scenario; Sustainable Development Goals (SDGs); Pollution; Ocean Decade; 2030; Sustainable solutions</t>
  </si>
  <si>
    <t>SUSTAINABLE CONSUMPTION; CIRCULAR ECONOMY; IMPACTS; FUTURE; RECYCLABILITY; ACCUMULATION; TECHNOLOGY; CHEMICALS; PATTERNS; TRACKING</t>
  </si>
  <si>
    <t>In the age of the Anthropocene, the ocean has typically been viewed as a sink for pollution. Pollution is varied, ranging from human-made plastics and pharmaceutical compounds, to human-altered abiotic factors, such as sediment and nutrient runoff. As global population, wealth and resource consumption continue to grow, so too does the amount of potential pollution produced. This presents us with a grand challenge which requires interdisciplinary knowledge to solve. There is sufficient data on the human health, social, economic, and environmental risks of marine pollution, resulting in increased awareness and motivation to address this global challenge, however a significant lag exists when implementing strategies to address this issue. This review draws upon the expertise of 17 experts from the fields of social sciences, marine science, visual arts, and Traditional and First Nations Knowledge Holders to present two futures; the Business-As-Usual, based on current trends and observations of growing marine pollution, and a More Sustainable Future, which imagines what our ocean could look like if we implemented current knowledge and technologies. We identify priority actions that governments, industry and consumers can implement at pollution sources, vectors and sinks, over the next decade to reduce marine pollution and steer us towards the More Sustainable Future. Graphic abstract</t>
  </si>
  <si>
    <t>[Willis, Kathryn A.; Serra-Goncalves, Catarina; Richardson, Kelsey; Schuyler, Qamar A.; Stark, Jonathan S.; Vince, Joanna; Hardesty, Britta D.; Wilcox, Chris; Nowak, Barbara F.; Greeno, Dean; MacLeod, Catriona; Puskic, Peter S.] Univ Tasmania, Ctr Marine Sociol, Hobart, Tas, Australia; [Willis, Kathryn A.; Richardson, Kelsey; Schuyler, Qamar A.; Hardesty, Britta D.; Wilcox, Chris] CSIRO Oceans &amp; Atmosphere, Hobart, Tas, Australia; [Willis, Kathryn A.; Richardson, Kelsey; Vince, Joanna] Univ Tasmania, Coll Arts Law &amp; Educ, Sch Social Sci, Hobart, Tas, Australia; [Serra-Goncalves, Catarina; Wilcox, Chris; Lavers, Jennifer L.; Semmens, Jayson M.; MacLeod, Catriona; Puskic, Peter S.] Univ Tasmania, Inst Marine &amp; Antarctic Studies, Hobart, Tas, Australia; [Pedersen, Halfdan] Pikkoritta Consult, Aasiaat, Greenland; [Anderson, Kelli; Nowak, Barbara F.] Univ Tasmania, Inst Marine &amp; Antarctic Studies Fisheries &amp; Aquac, Newnham, Tas, Australia; [Stark, Jonathan S.] Australian Antarctic Div, Hobart, Tas, Australia; [Greeno, Dean] Univ Tasmania, Coll Arts Law &amp; Educ, Sch Creat Arts &amp; Media, Hobart, Tas, Australia; [Frederiksen, Nunnoq P. O.] Qeqertal Municipal, PISUNA Project, Attu, Greenland; [Frederiksen, Nunnoq P. O.] Snowchange Cooperat, Selkie, Finland</t>
  </si>
  <si>
    <t>University of Tasmania; Commonwealth Scientific &amp; Industrial Research Organisation (CSIRO); University of Tasmania; University of Tasmania; University of Tasmania; Australian Antarctic Division; University of Tasmania</t>
  </si>
  <si>
    <t>Puskic, PS (corresponding author), Univ Tasmania, Ctr Marine Sociol, Hobart, Tas, Australia.</t>
  </si>
  <si>
    <t>peter.puskic@utas.edu.au</t>
  </si>
  <si>
    <t>Lavers, Jennifer/O-4831-2017; Hardesty, Britta Denise/A-3189-2011; Schuyler, Qamar A/L-2586-2014; Puskic, Peter S/AAD-7887-2022; Lavers, Jennifer/IWM-5417-2023; Nowak, Barbara/J-7261-2014; Vince, Joanna Zofia/J-7465-2014; Macleod, Catriona/J-7176-2014</t>
  </si>
  <si>
    <t>Lavers, Jennifer/0000-0001-7596-6588; Puskic, Peter S/0000-0003-1352-8843; Vince, Joanna Zofia/0000-0002-4469-7634; Willis, Kathryn/0000-0001-7614-1027; Semmens, Jayson/0000-0003-1742-6692; Macleod, Catriona/0000-0002-0539-6361; Anderson, Kelli/0000-0001-7749-4641</t>
  </si>
  <si>
    <t>Centre for Marine Socioecology, IMAS, MENZIES; College of Arts, Law and Education, the College of Science and Engineering at UTAS, and Snowchange from Finland; Research Enhancement Program grant from the DVCR Office at UTAS</t>
  </si>
  <si>
    <t>We thank Lola, Rex and Vanessa Greeno for sharing their knowledge of the impacts of pollution on their art and culture. Thank you to Animate Your Science, JB Creative Services and Annie Gatenby for assistance with the graphical aspects of this project. Thank you to Rupert the Boxer puppy for deciding authorship order. This paper is part of the `Future Seas' initiative (www.FutureSeas2030.org), hosted by the Centre for Marine Socioecology at the University of Tasmania. This initiative delivers a series of journal articles addressing key challenges for the UN International Decade of Ocean Science for Sustainable Development 2021-2030. The general concepts and methods applied in many of these papers were developed in large collaborative workshops involving more participants than listed as co-authors here, and we are grateful for their collective input. Funding for Future Seas was provided by the Centre for Marine Socioecology, IMAS, MENZIES and the College of Arts, Law and Education, the College of Science and Engineering at UTAS, and Snowchange from Finland. We acknowledge support from a Research Enhancement Program grant from the DVCR Office at UTAS. Thank you to Camilla Novaglio for providing an internal project review of an earlier draft, and to guest editor Rob Stephenson, editor-in-chief Jan Strugnell and two anonymous reviewers, for improving the manuscript. We acknowledge and pay respect to the traditional owners and custodians of sea country all around the world, and recognise their collective wisdom and knowledge of our ocean and coasts.</t>
  </si>
  <si>
    <t>SPRINGER</t>
  </si>
  <si>
    <t>DORDRECHT</t>
  </si>
  <si>
    <t>VAN GODEWIJCKSTRAAT 30, 3311 GZ DORDRECHT, NETHERLANDS</t>
  </si>
  <si>
    <t>0960-3166</t>
  </si>
  <si>
    <t>1573-5184</t>
  </si>
  <si>
    <t>REV FISH BIOL FISHER</t>
  </si>
  <si>
    <t>Rev. Fish. Biol. Fish.</t>
  </si>
  <si>
    <t>MAR</t>
  </si>
  <si>
    <t>10.1007/s11160-021-09674-8</t>
  </si>
  <si>
    <t>Fisheries; Marine &amp; Freshwater Biology</t>
  </si>
  <si>
    <t>ZU7BD</t>
  </si>
  <si>
    <t>Green Submitted, Green Published, Green Accepted, hybrid</t>
  </si>
  <si>
    <t>WOS:000680289100001</t>
  </si>
  <si>
    <t>Davies, TE; Carneiro, APB; Tarzia, M; Wakefield, ED; Hennicke, J; Frederiksen, M; Hansen, ES; Campos, B; Hazin, C; Lascelles, B; Anker-Nilssen, T; Arnardottir, H; Barrett, RT; Biscoito, MJ; Bollache, L; Boulinier, T; Catry, P; Ceia, FR; Chastel, O; Dalsgaard, SC; Cruz-Flores, M; Danielsen, J; Daunt, F; Dunn, E; Egevang, C; Fagundes, AI; Fayet, AL; Fort, J; Furness, RW; Gilg, O; Gonzalez-Solis, J; Granadeiro, JP; Grémillet, D; Guilford, T; Hanssen, SA; Harris, MP; Hedd, A; Huffeldt, NP; Jessopp, MJ; Kolbeinsson, Y; Krietsch, J; Lang, J; Linnebjerg, JF; Lorentsen, SH; Madeiros, J; Magnusdottir, E; Mallory, ML; Tranquilla, LM; Merkel, FR; Militao, T; Moe, B; Montevecchi, WA; Morera-Pujo, V; Mosbech, A; Neves, V; Newell, MA; Olsen, B; Paiva, VH; Peter, HU; Petersen, A; Phillips, RA; Ramírez, I; Ramos, JA; Ramos, R; Ronconi, RA; Ryan, PG; Schmidt, NM; Sigurdsson, IA; Sittler, B; Steen, H; Stenhouse, IJ; Strom, H; Systad, GHR; Thompson, P; Thórarinsson, TL; van Bemmelen, RSA; Wanless, S; Zino, F; Dias, MP</t>
  </si>
  <si>
    <t>Davies, Tammy E.; Carneiro, Ana P. B.; Tarzia, Marguerite; Wakefield, Ewan D.; Hennicke, Janos; Frederiksen, Morten; Hansen, Erpur Snaer; Campos, Bruna; Hazin, Carolina; Lascelles, Ben; Anker-Nilssen, Tycho; Arnardottir, Holmfridur; Barrett, Robert T.; Biscoito, Manuel J.; Bollache, Loic; Boulinier, Thierry; Catry, Paulo; Ceia, Filipe R.; Chastel, Olivier; Dalsgaard, Signe Christensen; Cruz-Flores, Marta; Danielsen, Johannis; Daunt, Francis; Dunn, Euan; Egevang, Carsten; Fagundes, Ana Isabel; Fayet, Annette L.; Fort, Jerome; Furness, Robert W.; Gilg, Olivier; Gonzalez-Solis, Jacob; Granadeiro, Jose Pedro; Gremillet, David; Guilford, Tim; Hanssen, Sveinn Are; Harris, Michael P.; Hedd, April; Huffeldt, Nicholas Per; Jessopp, Mark J.; Kolbeinsson, Yann; Krietsch, Johannes; Lang, Johannes; Linnebjerg, Jannie Fries; Lorentsen, Svein-Hakon; Madeiros, Jeremy; Magnusdottir, Ellen; Mallory, Mark L.; Tranquilla, Laura McFarlane; Merkel, Flemming R.; Militao, Teresa; Moe, Borge; Montevecchi, William A.; Morera-Pujo, Virginia; Mosbech, Anders; Neves, Veronica; Newell, Mark A.; Olsen, Bergur; Paiva, Vitor H.; Peter, Hans-Ulrich; Petersen, Aevar; Phillips, Richard A.; Ramirez, Ivan; Ramos, Jaime Albino; Ramos, Raul; Ronconi, Robert A.; Ryan, Peter G.; Schmidt, Niels Martin; Sigurdsson, Ingvar A.; Sittler, Benoit; Steen, Harald; Stenhouse, Iain J.; Strom, Hallvard; Systad, Geir H. R.; Thompson, Paul; Thorarinsson, Thorkell Lindberg; van Bemmelen, Rob S. A.; Wanless, Sarah; Zino, Francis; Dias, Maria P.</t>
  </si>
  <si>
    <t>Multispecies tracking reveals a major seabird hotspot in the North Atlantic</t>
  </si>
  <si>
    <t>CONSERVATION LETTERS</t>
  </si>
  <si>
    <t>area beyond national jurisdiction; Atlantic; biologging; conservation; high seas; marine protected area; regional seas convention</t>
  </si>
  <si>
    <t>MARINE PROTECTED AREA; FEEDING ECOLOGY; PELAGIC SEABIRD; MIGRATION; CONSERVATION; SHEARWATERS; MOVEMENTS; STOPOVER; OVERLAP; HABITAT</t>
  </si>
  <si>
    <t>The conservation of migratory marine species, including pelagic seabirds, is challenging because their movements span vast distances frequently beyond national jurisdictions. Here, we aim to identify important aggregations of seabirds in the North Atlantic to inform ongoing regional conservation efforts. Using tracking, phenology, and population data, we mapped the abundance and diversity of 21 seabird species. This revealed a major hotspot associated with a discrete area of the subpolar frontal zone, used annually by 2.9-5 million seabirds from &gt;= 56 colonies in the Atlantic: the first time this magnitude of seabird concentrations has been documented in the high seas. The hotspot is temporally stable and amenable to site-based conservation and is under consideration as a marine protected area by the OSPAR Commission. Protection could help mitigate current and future threats facing species in the area. Overall, our approach provides an exemplar data-driven pathway for future conservation efforts on the high seas.</t>
  </si>
  <si>
    <t>[Davies, Tammy E.; Carneiro, Ana P. B.; Tarzia, Marguerite; Hazin, Carolina; Lascelles, Ben; Ramirez, Ivan; Dias, Maria P.] BirdLife Int, David Attenborough Bldg,Pembroke St, Cambridge CB2 9QZ, England; [Campos, Bruna] EuroNatur Fdn, Radolfzell am Bodensee, Germany; [Wakefield, Ewan D.; Furness, Robert W.] Univ Glasgow, Inst Biodivers Anim Hlth &amp; Comparat Med, Glasgow, Lanark, Scotland; [Hennicke, Janos] German Fed Agcy Nat Conservat, Putbus, Germany; [Frederiksen, Morten; Huffeldt, Nicholas Per; Linnebjerg, Jannie Fries; Merkel, Flemming R.; Mosbech, Anders; Schmidt, Niels Martin] Aarhus Univ, Dept Biosci, Roskilde, Denmark; [Hansen, Erpur Snaer] South Iceland Nat Res Ctr, Vestmannaeyjar, Iceland; [Campos, Bruna] Stichting BirdLife Europe, Brussels, Belgium; [Anker-Nilssen, Tycho; Dalsgaard, Signe Christensen; Hanssen, Sveinn Are; Lorentsen, Svein-Hakon; Moe, Borge; Systad, Geir H. R.] Norwegian Inst Nat Res, Trondheim, Norway; [Arnardottir, Holmfridur] Fuglavernd BirdLife Iceland, Reykjavik, Iceland; [Barrett, Robert T.] Tromso Univ Museum, Tromso, Norway; [Biscoito, Manuel J.] Funchal Nat Hist Museum, Funchal, Portugal; [Bollache, Loic; Gilg, Olivier] Univ Bourgogne Franche Comte, UMR 6249 Chrono Environm, Besancon, France; [Bollache, Loic; Gilg, Olivier; Lang, Johannes; Sittler, Benoit] Grp Rech Ecol Arct, Francheville, France; [Boulinier, Thierry] Univ Montpellier, Ctr Ecol Fonct &amp; Evolut, CNRS, Univ Paul Valery Montpellier,EPHE, Montpellier, France; [Catry, Paulo; Dias, Maria P.] ISPA Inst Univ, Mare Marine &amp; Environm Sci Ctr, Lisbon, Portugal; [Ceia, Filipe R.; Paiva, Vitor H.; Ramos, Jaime Albino] Univ Coimbra, MARE Marine &amp; Environm Sci Ctr, Dept Life Sci, Coimbra, Portugal; [Chastel, Olivier; Gremillet, David] La Rochelle Univ, UMR 7372 CNRS, Ctr Etud Biol Chize CEBC, Villiers En Bois, France; [Cruz-Flores, Marta; Gonzalez-Solis, Jacob; Militao, Teresa; Morera-Pujo, Virginia; Ramos, Raul] Univ Barcelona, Inst Recerca Biodiversitat 112Bio, Barcelona, Spain; [Cruz-Flores, Marta; Gonzalez-Solis, Jacob; Militao, Teresa; Morera-Pujo, Virginia; Ramos, Raul] Univ Barcelona, Dept Biol Evolut Ecol &amp; Ciencies Ambientals, Barcelona, Spain; [Danielsen, Johannis; Olsen, Bergur] Faroe Marine Res Inst, Torshavn, Faroe Islands, Denmark; [Daunt, Francis; Harris, Michael P.; Newell, Mark A.; Wanless, Sarah] UK Ctr Ecol &amp; Hydrol, Penicuik, Midlothian, Scotland; [Dunn, Euan] RSPB, Sandy, Beds, England; [Egevang, Carsten; Huffeldt, Nicholas Per; Merkel, Flemming R.] Greenland Inst Nat Resources, Nuuk, Greenland; [Fagundes, Ana Isabel] Portuguese Soc Study Birds SPEA, Lisbon, Portugal; [Fayet, Annette L.; Guilford, Tim] Univ Oxford, Oxford, England; [Fort, Jerome] La Rochelle Univ, UMR 7266 CNRS, Littoral Environm &amp; Soc LIENSs, La Rochelle, France; [Granadeiro, Jose Pedro] Univ Lisbon, CESAM, Fac Ciencias, Lisbon, Portugal; [Hedd, April] Environm &amp; Climate Change, Wildlife Res Div, Mt Pearl, NF, Canada; [Davies, Tammy E.; Carneiro, Ana P. B.; Tarzia, Marguerite; Hazin, Carolina; Lascelles, Ben; Ramirez, Ivan; Dias, Maria P.] Univ Coll Cork, Sch Biol Earth &amp; Environm Sci, Environm Res Inst, Cork, Ireland; [Kolbeinsson, Yann; Thorarinsson, Thorkell Lindberg] Northeast Iceland Nat Res Ctr, Husavik, Iceland; [Krietsch, Johannes; Peter, Hans-Ulrich] Friedrich Schiller Univ, Inst Ecol &amp; Evolut, Jena, Germany; [Krietsch, Johannes] Max Planck Inst Ornithol, Dept Behav Ecol &amp; Evolutionary Genet, Seewiesen, Germany; [Lang, Johannes] Justus Liebig Univ Giessen, Clin Birds Reptiles Amphibians &amp; Fish, Working Grp Wildlife Res, Giessen, Germany; [Madeiros, Jeremy] Govt Bermuda, Dept Environm &amp; Nat Resources, Paget, Bermuda; [Magnusdottir, Ellen] Univ Iceland, Reykjavik, Iceland; [Mallory, Mark L.] Acadia Univ, Wolfville, NS, Canada; [Tranquilla, Laura McFarlane] Birds Canada, Sackville, NB, Canada; [Montevecchi, William A.] Mem Univ Newfoundland, Psychol Dept, St John, NF, Canada; [Neves, Veronica] IMAR &amp; Okeanos, MARE Marine &amp; Environm Sci Ctr, Horta, Portugal; [Phillips, Richard A.] British Antarctic Survey, Cambridge, England; [Ronconi, Robert A.] Environm &amp; Climate Change Canada, Canadian Wildlife Serv, Dartmouth, NS, Canada; [Gremillet, David; Ryan, Peter G.] FitzPatrick Inst African Ornithol, Rondebosch, South Africa; [Sigurdsson, Ingvar A.; Thorarinsson, Thorkell Lindberg] Iceland Inst Nat Hist, Gardabaer, Iceland; [Sittler, Benoit] Univ Freiburg, Freiburg, Germany; [Steen, Harald; Strom, Hallvard] Norwegian Polar Res Inst, Tromso, Norway; [Stenhouse, Iain J.] Biodivers Res Inst, Portland, ME USA; [Thompson, Paul] Univ Aberdeen, Sch Biol Sci, Lighthouse Field Stn, Cromarty, Scotland; [van Bemmelen, Rob S. A.] Bur Waardenburg, Culemborg, Netherlands; [Zino, Francis] Freira Conservat Project, Funchal, Portugal</t>
  </si>
  <si>
    <t>BirdLife International; University of Glasgow; Aarhus University; Norwegian Institute Nature Research; UiT The Arctic University of Tromso; Universite de Franche-Comte; Centre National de la Recherche Scientifique (CNRS); CNRS - Institute of Ecology &amp; Environment (INEE); Universite PSL; Ecole Pratique des Hautes Etudes (EPHE); Institut Agro; Montpellier SupAgro; CIRAD; Centre National de la Recherche Scientifique (CNRS); Institut de Recherche pour le Developpement (IRD); Universite Paul-Valery; Universite de Montpellier; Instituto Superior Psicologia Aplicada (ISPA); Universidade de Coimbra; Centre National de la Recherche Scientifique (CNRS); CNRS - Institute of Ecology &amp; Environment (INEE); University of Barcelona; University of Barcelona; Faroe Marine Research Institute (FAMRI); UK Centre for Ecology &amp; Hydrology (UKCEH); Royal Society for Protection of Birds; Greenland Institute of Natural Resources; University of Oxford; Centre National de la Recherche Scientifique (CNRS); CNRS - Institute of Ecology &amp; Environment (INEE); Universidade de Lisboa; Environment &amp; Climate Change Canada; University College Cork; Friedrich Schiller University of Jena; Max Planck Society; Justus Liebig University Giessen; University of Iceland; Acadia University; Memorial University Newfoundland; UK Research &amp; Innovation (UKRI); Natural Environment Research Council (NERC); NERC British Antarctic Survey; Environment &amp; Climate Change Canada; Canadian Wildlife Service; University of Freiburg; Norwegian Polar Institute; University of Aberdeen</t>
  </si>
  <si>
    <t>Davies, TE (corresponding author), BirdLife Int, David Attenborough Bldg,Pembroke St, Cambridge CB2 9QZ, England.</t>
  </si>
  <si>
    <t>tammy.davies@birdlife.org</t>
  </si>
  <si>
    <t>Biscoito, Manuel/AAC-4390-2021; Ramos, Jaime A./B-6616-2018; van Bemmelen, Rob/H-6555-2019; González-Solís, Jacob/AAB-1161-2019; Schmidt, Niels Martin/G-3843-2011; Dias, Maria P./D-1331-2012; Frederiksen, Morten/A-7542-2008; Granadeiro, José Pedro/E-8060-2011; Ceia, Filipe R./A-2196-2012; Systad, Geir Helge Rødli/IAR-4562-2023; Ramos, Raül/S-3112-2016; Merkel, Flemming R/J-7409-2013; Morera-Pujol, Virginia/AAE-6412-2020; Jessopp, Mark/AAI-4786-2020; Hansen, Erpur Snær/V-1858-2018; Mallory, Mark L/A-1952-2017; Gonzalez-Solis, Jacob/C-3942-2008; GILG, Olivier/C-2588-2008; Hanssen, Sveinn Are/C-9989-2009; Moe, Børge/P-2946-2015; Carneiro, Ana Paula/IQT-6077-2023; Cruz-Flores, Marta/AAA-8817-2021; Anker-Nilssen, Tycho/AAB-7666-2022; Huffeldt, Nicholas Per/AEX-3232-2022; Militao, Teresa/AAA-6151-2019; Daunt, Francis/K-6688-2012; Paiva, Vitor/J-1092-2019; Neves, Veronica/A-4642-2009; Mosbech, Anders/J-6591-2013; Catry, Paulo/I-5408-2013</t>
  </si>
  <si>
    <t>Biscoito, Manuel/0000-0002-9347-0823; Ramos, Jaime A./0000-0002-9533-987X; van Bemmelen, Rob/0000-0002-0688-7058; Schmidt, Niels Martin/0000-0002-4166-6218; Dias, Maria P./0000-0002-7281-4391; Frederiksen, Morten/0000-0001-5550-0537; Granadeiro, José Pedro/0000-0002-7207-3474; Ceia, Filipe R./0000-0002-5470-5183; Ramos, Raül/0000-0002-0551-8605; Morera-Pujol, Virginia/0000-0001-6500-5548; Jessopp, Mark/0000-0002-2692-3730; Hansen, Erpur Snær/0000-0001-6899-2817; Gonzalez-Solis, Jacob/0000-0002-8691-9397; Hanssen, Sveinn Are/0000-0003-1792-435X; Cruz-Flores, Marta/0000-0001-9905-4727; Anker-Nilssen, Tycho/0000-0002-1030-5524; Huffeldt, Nicholas Per/0000-0002-0154-2536; Militao, Teresa/0000-0002-2862-1592; Ryan, Peter/0000-0002-3356-2056; Thorarinsson, Thorkell Lindberg/0000-0002-1638-2555; Danielsen, Johannis/0000-0002-9775-4786; Lorentsen, Svein-Hakon/0000-0002-7867-0034; Systad, Geir Helge Rodli/0000-0002-9291-4517; Davies, Tammy/0000-0003-2535-1328; Lang, Johannes/0000-0002-7387-795X; Linnebjerg, Jannie Fries/0000-0003-4043-0606; Fagundes, Ana Isabel/0009-0007-0500-8828; Merkel, Flemming Ravn/0000-0003-3779-8012; GILG, Olivier/0000-0002-9083-4492; Ramirez, Ivan/0000-0001-7944-8710; Paiva, Vitor/0000-0001-6368-9579; Hedd, April/0000-0003-2222-2627; Neves, Veronica/0000-0002-6826-4542; , Ana/0000-0003-0573-7549; Mosbech, Anders/0000-0002-7581-7037; Fayet, Annette/0000-0001-6373-0500; Catry, Paulo/0000-0003-3000-0522; Krietsch, Johannes/0000-0002-8080-1734</t>
  </si>
  <si>
    <t>Global Ocean Biodiversity Initiative (GOBI); International Climate Initiative (IKI); German Federal Ministry for the Environment, Nature Conservation, and Nuclear Safety (BMU)</t>
  </si>
  <si>
    <t>This work was supported by the Global Ocean Biodiversity Initiative (GOBI) with a grant from the International Climate Initiative (IKI). The German Federal Ministry for the Environment, Nature Conservation, and Nuclear Safety (BMU) supports GOBI on the basis of a decision adopted by the German Bundestag. The authors thank David Boyle, Vegard Brathen, Kendrew Colhoun, Jan Esefeld, Arnthornor Garoarsson, H. Grant Gilchrist, Matthias Kopp, Yuri Krasnov, Mandy Shailer, Deryk Shaw, and the SEATRACK project who facilitated access to part of the data used in this study. Funding sources for the data used in this study are listed in Supporting Information--Additional Acknowledgments.</t>
  </si>
  <si>
    <t>1755-263X</t>
  </si>
  <si>
    <t>CONSERV LETT</t>
  </si>
  <si>
    <t>Conserv. Lett.</t>
  </si>
  <si>
    <t>e12824</t>
  </si>
  <si>
    <t>10.1111/conl.12824</t>
  </si>
  <si>
    <t>Biodiversity Conservation</t>
  </si>
  <si>
    <t>Biodiversity &amp; Conservation</t>
  </si>
  <si>
    <t>WO6BZ</t>
  </si>
  <si>
    <t>Green Published, Green Accepted, gold</t>
  </si>
  <si>
    <t>WOS:000680139100001</t>
  </si>
  <si>
    <t>Hooker, SK; Andrews, RD; Arnould, JPY; Bester, MN; Davis, RW; Insley, SJ; Gales, NJ; Goldsworthy, SD; McKnight, JC</t>
  </si>
  <si>
    <t>Hooker, Sascha K.; Andrews, Russel D.; Arnould, John P. Y.; Bester, Marthan N.; Davis, Randall W.; Insley, Stephen J.; Gales, Nick J.; Goldsworthy, Simon D.; McKnight, J. Chris</t>
  </si>
  <si>
    <t>Fur seals do, but sea lions don't - cross taxa insights into exhalation during ascent from dives</t>
  </si>
  <si>
    <t>PHILOSOPHICAL TRANSACTIONS OF THE ROYAL SOCIETY B-BIOLOGICAL SCIENCES</t>
  </si>
  <si>
    <t>otariid; shallow-water blackout; diving physiology; gas management</t>
  </si>
  <si>
    <t>ALVEOLAR GAS-EXCHANGE; FLIPPER STROKE RATE; DIVING BEHAVIOR; FORAGING BEHAVIOR; MAMMALIAN INSULATION; THERMAL-PROPERTIES; HEART-RATE; NORTHERN; PHYSIOLOGY; LIMIT</t>
  </si>
  <si>
    <t>Management of gases during diving is not well understood across marine mammal species. Prior to diving, phocid (true) seals generally exhale, a behaviour thought to assist with the prevention of decompression sickness. Otariid seals (fur seals and sea lions) have a greater reliance on their lung oxygen stores, and inhale prior to diving. One otariid, the Antarctic fur seal (Arctocephalus gazella), then exhales during the final 50-85% of the return to the surface, which may prevent another gas management issue: shallow-water blackout. Here, we compare data collected from animal-attached tags (video cameras, hydrophones and conductivity sensors) deployed on a suite of otariid seal species to examine the ubiquity of ascent exhalations for this group. We find evidence for ascent exhalations across four fur seal species, but that such exhalations are absent for three sea lion species. Fur seals and sea lions are no longer genetically separated into distinct subfamilies, but are morphologically distinguished by the thick underfur layer of fur seals. Together with their smaller size and energetic dives, we suggest their air-filled fur might underlie the need to perform these exhalations, although whether to reduce buoyancy and ascent speed, for the avoidance of shallow-water blackout or to prevent other cardiovascular management issues in their diving remains unclear. This article is part of the theme issue 'Measuring physiology in free-living animals (Part I)'.</t>
  </si>
  <si>
    <t>[Hooker, Sascha K.; McKnight, J. Chris] Univ St Andrews, Sea Mammal Res Unit, Scottish Oceans Inst, St Andrews KY16 8LB, Fife, Scotland; [Andrews, Russel D.] Marine Ecol &amp; Telemetry Res, Seabeck, WA 98380 USA; [Arnould, John P. Y.] Deakin Univ, Sch Life &amp; Environm Sci, Burwood, Vic 3125, Australia; [Bester, Marthan N.] Univ Pretoria, Mammal Res Inst, ZA-0028 Hatfield, Gauteng, South Africa; [Davis, Randall W.] Texas A&amp;M Univ, Dept Marine Biol, Galveston, TX 77553 USA; [Insley, Stephen J.] Univ Victoria, Dept Biol, Victoria, BC V8P 5C2, Canada; [Insley, Stephen J.] Wildlife Conservat Soc Canada, Whitehorse, YT Y1A 0E9, Canada; [Gales, Nick J.] Australian Antarctic Div, Kingston, Tas 7050, Australia; [Goldsworthy, Simon D.] South Australian Res &amp; Dev Inst, West Beach, SA 5024, Australia; [Goldsworthy, Simon D.] Univ Adelaide, Sch Biol Sci, Adelaide, SA 5005, Australia</t>
  </si>
  <si>
    <t>University of St Andrews; Deakin University; University of Pretoria; Texas A&amp;M University System; University of Victoria; Australian Antarctic Division; South Australian Research &amp; Development Institute (SARDI); University of Adelaide</t>
  </si>
  <si>
    <t>Hooker, SK (corresponding author), Univ St Andrews, Sea Mammal Res Unit, Scottish Oceans Inst, St Andrews KY16 8LB, Fife, Scotland.</t>
  </si>
  <si>
    <t>s.hooker@st-andrews.ac.uk</t>
  </si>
  <si>
    <t>; Arnould, John/E-8386-2011</t>
  </si>
  <si>
    <t>McKnight, J. Chris/0000-0002-3872-4886; Hooker, Sascha/0000-0002-7518-3548; Goldsworthy, Simon/0000-0003-4988-9085; Andrews, Russel/0000-0002-4545-137X; Insley, Stephen/0000-0003-3402-8418; Arnould, John/0000-0003-1124-9330</t>
  </si>
  <si>
    <t>South African Department of Science and Technology; Australian Research Council [DP110102065]; Holsworth Wildlife Research Endowment; Office of Naval Research (Marine Mammals and Biological Oceanography Program) [N00014-10-1-0385]; National Oceanic and Atmospheric Administration (NOAA); National Marine Mammal Laboratory; North Pacific Wildlife Consulting; National Science Foundation; National Marine Mammal Laboratory, National Marine Fisheries Service, NOAA</t>
  </si>
  <si>
    <t>South African Department of Science and Technology; Australian Research Council(Australian Research Council); Holsworth Wildlife Research Endowment; Office of Naval Research (Marine Mammals and Biological Oceanography Program)(Office of Naval Research); National Oceanic and Atmospheric Administration (NOAA)(National Oceanic Atmospheric Admin (NOAA) - USA); National Marine Mammal Laboratory; North Pacific Wildlife Consulting; National Science Foundation(National Science Foundation (NSF)); National Marine Mammal Laboratory, National Marine Fisheries Service, NOAA</t>
  </si>
  <si>
    <t>Many agencies provided funding and logistical support for the various research efforts resulting in the data presented here: the South African Department of Science and Technology, administered by the National Research Foundation and the Department of Environmental Affairs for subantarctic fur seal work; the Australian Research Council (DP110102065), Holsworth Wildlife Research Endowment and the Office of Naval Research (Marine Mammals and Biological Oceanography Program Award no. N00014-10-1-0385) for Australian fur seal work; the National Oceanic and Atmospheric Administration (NOAA) via grants to the Alaska SeaLife Center and the National Marine Mammal Laboratory, with additional funding and logistical support from North Pacific Wildlife Consulting for Steller sea lion and northern fur seal (Russia) work; the National Marine Mammal Laboratory, National Marine Fisheries Service, NOAA for northern fur seal (Alaska) work. Research support for R.W. Davis was provided by the National Science Foundation.</t>
  </si>
  <si>
    <t>ROYAL SOC</t>
  </si>
  <si>
    <t>6-9 CARLTON HOUSE TERRACE, LONDON SW1Y 5AG, ENGLAND</t>
  </si>
  <si>
    <t>0962-8436</t>
  </si>
  <si>
    <t>1471-2970</t>
  </si>
  <si>
    <t>PHILOS T R SOC B</t>
  </si>
  <si>
    <t>Philos. Trans. R. Soc. B-Biol. Sci.</t>
  </si>
  <si>
    <t>10.1098/rstb.2020.0219</t>
  </si>
  <si>
    <t>Biology</t>
  </si>
  <si>
    <t>Life Sciences &amp; Biomedicine - Other Topics</t>
  </si>
  <si>
    <t>SV1AA</t>
  </si>
  <si>
    <t>Green Published, Green Submitted</t>
  </si>
  <si>
    <t>WOS:000663556900003</t>
  </si>
  <si>
    <t>Pellizza, L; López, JL; Vázquez, S; Sycz, G; Guimaraes, BG; Rinaldi, J; Goldbaum, FA; Aran, M; Mac Cormack, WP; Klinke, S</t>
  </si>
  <si>
    <t>Pellizza, L.; Lopez, J. L.; Vazquez, S.; Sycz, G.; Guimaraes, B. G.; Rinaldi, J.; Goldbaum, F. A.; Aran, M.; Mac Cormack, W. P.; Klinke, S.</t>
  </si>
  <si>
    <t>Crystal structure of the C24 protein from the Antarctic bacterium Bizionia argentinensis JUB59, a putative long tail fiber receptor-binding tip from a novel temperate bacteriophage</t>
  </si>
  <si>
    <t>ACTA CRYSTALLOGRAPHICA A-FOUNDATION AND ADVANCES</t>
  </si>
  <si>
    <t>Protein structure; Prophage; Mitomycin C; Flavobacteriaceae; Caudovirales</t>
  </si>
  <si>
    <t>FUNCTIONAL-CHARACTERIZATION; TPM-DOMAIN</t>
  </si>
  <si>
    <t>[Pellizza, L.; Rinaldi, J.; Goldbaum, F. A.; Aran, M.; Klinke, S.] IIBBA CONICET, Fdn Inst Leloir, Buenos Aires, DF, Argentina; [Lopez, J. L.] Univ Buenos Aires, Inst Bacteriol &amp; Virol Mol IBAVIM, Buenos Aires, DF, Argentina; [Vazquez, S.; Mac Cormack, W. P.] Univ Buenos Aires, lnst NANOBIOTEC, Buenos Aires, DF, Argentina; [Guimaraes, B. G.] Synchrotron SOLEIL, Gif Sur Yvette, France; [Guimaraes, B. G.] Inst Carlos Chagas Fund Oswaldo Cruz, Curitiba, Parana, Brazil; [Mac Cormack, W. P.] lnst Antart Argentino, Buenos Aires, DF, Argentina</t>
  </si>
  <si>
    <t>Consejo Nacional de Investigaciones Cientificas y Tecnicas (CONICET); Leloir Institute; University of Buenos Aires; University of Buenos Aires; SOLEIL Synchrotron</t>
  </si>
  <si>
    <t>sklinke@leloir.org.ar</t>
  </si>
  <si>
    <t>Klinke, Sebastián/N-6174-2018; Filho, Fernando C/Q-8021-2018</t>
  </si>
  <si>
    <t>Argentinian Ministry of Science; University of Buenos Aires</t>
  </si>
  <si>
    <t>Argentinian Ministry of Science; University of Buenos Aires(University of Buenos Aires)</t>
  </si>
  <si>
    <t>This work was supported by the Argentinian Ministry of Science and the University of Buenos Aires. We are grateful for access to the SOLEIL Synchrotron in France.</t>
  </si>
  <si>
    <t>INT UNION CRYSTALLOGRAPHY</t>
  </si>
  <si>
    <t>CHESTER</t>
  </si>
  <si>
    <t>2 ABBEY SQ, CHESTER, CH1 2HU, ENGLAND</t>
  </si>
  <si>
    <t>2053-2733</t>
  </si>
  <si>
    <t>ACTA CRYSTALLOGR A</t>
  </si>
  <si>
    <t>Acta Crystallogr. Sect. A</t>
  </si>
  <si>
    <t>AUG</t>
  </si>
  <si>
    <t>S</t>
  </si>
  <si>
    <t>PS-11-4</t>
  </si>
  <si>
    <t>C793</t>
  </si>
  <si>
    <t>Chemistry, Multidisciplinary; Crystallography</t>
  </si>
  <si>
    <t>Chemistry; Crystallography</t>
  </si>
  <si>
    <t>ZI6FI</t>
  </si>
  <si>
    <t>WOS:000761714400771</t>
  </si>
  <si>
    <t>Dunn, RJH; Aldred, F; Gobron, N; Miller, JB; Willett, KM; Ades, M; Adler, R; Richard; Allan, P; Allan, R; Anderson, J; Argüez, A; Arosio, C; Augustine, JA; Azorin-Molina, C; Barichivich, J; Beck, HE; Becker, A; Bellouin, N; Benedetti, A; Berry, DI; Blenkinsop, S; Bock, O; Bodin, X; Bosilovich, MG; Boucher, O; Buehler, SA; Calmettes, B; Carrea, L; Castia, L; Christiansen, HH; Christy, JR; Chung, ES; Coldewey-Egbers, M; Cooper, OR; Cornes, RC; Covey, C; Cretaux, JF; Crotwell, M; Davis, SM; De Jeu, RAM; Degenstein, D; Delaloye, R; Di Girolamo, L; Donat, MG; Dorigo, WA; Durre, I; Dutton, GS; Duveiller, G; Elkins, JW; Fioletov, VE; Flemming, J; Foster, MJ; Frith, SM; Froidevaux, L; Garforth, J; Gentry, M; Gupta, SK; Hahn, S; Haimberger, L; Hall, BD; Harris, I; Hemming, DL; Hirschi, M; Ho, SP; Hrbacek, F; Hubert, D; Hurst, DF; Inness, A; Isaksen, K; John, VO; Jones, PD; Junod, R; Kaiser, JW; Kaufmann, V; Kellerer-Pirklbauer, A; Kent, EC; Kidd, R; Kim, H; Kipling, Z; Koppa, A; Kraemer, BM; Kratz, DP; Lan, X; Lantz, KO; Lavers, D; Loeb, NG; Loyola, D; Madelon, R; Mayer, M; McCabe, MF; McVicar, TR; Mears, CA; Merchant, CJ; Miralles, DG; Moesinger, L; Montzka, SA; Morice, C; Mösinger, L; Mühle, J; Nicolas, JP; Noetzli, J; Ben Noll,; O'Keefe, J; Osborn, TJ; Park, T; Pasik, AJ; Pellet, C; Pelto, MS; Perkins-Kirkpatrick, SE; Petron, G; Phillips, C; Po-Chedley, S; Polvani, L; Preimesberger, W; Rains, DG; Randel, WJ; Rayner, NA; Rémy, S; Ricciardulli, L; Richardson, AD; Robinson, DA; Rodell, M; Rodríguez-Fernández, NJ; Rosenlof, KH; Roth, C; Rozanov, A; Rutishäuser, T; Sánchez-Lugo, A; Sawaengphokhai, P; Scanlon, T; Schenzinger, V; Schlegel, RW; Sharma, S; Shi, L; Simmons, AJ; Siso, C; Smith, SL; Soden, BJ; Sofieva, V; Sparks, TH; Stackhouse, PW; Steinbrecht, W; Stengel, M; Streletskiy, DA; Sun-Mack, S; Tans, P; Thackeray, SJ; Thibert, E; Tokuda, D; Tourpali, K; Tye, MR; van der A, R; van der Schalie, R; van der Schrier, G; van der Vliet, M; van der Werf, GR; Vance, A; Vernier, JP; Vimont, IJ; Vömel, H; Vose, RS; Wang, R; Weber, M; Wiese, D; Wilber, AC; Wild, JD; Wong, T; Woolway, RI; Zhou, XJ; Yin, XG; Zhao, GY; Zhao, L; Ziemke, JR; Ziese, M; Zotta, RM</t>
  </si>
  <si>
    <t>Dunn, R. J. H.; Aldred, F.; Gobron, N.; Miller, J. B.; Willett, K. M.; Ades, M.; Adler, Robert; Richard; Allan, P.; Allan, Rob; Anderson, J.; Arguez, Anthony; Arosio, C.; Augustine, John A.; Azorin-Molina, C.; Barichivich, J.; Beck, H. E.; Becker, Andreas; Bellouin, Nicolas; Benedetti, Angela; Berry, David I.; Blenkinsop, Stephen; Bock, Olivier; Bodin, X.; Bosilovich, Michael G.; Boucher, Olivier; Buehler, S. A.; Calmettes, B.; Carrea, Laura; Castia, Laura; Christiansen, Hanne H.; Christy, John R.; Chung, E. -S.; Coldewey-Egbers, Melanie; Cooper, Owen R.; Cornes, Richard C.; Covey, Curt; Cretaux, J. -F.; Crotwell, M.; Davis, Sean M.; De Jeu, Richard A. M.; Degenstein, Doug; Delaloye, R.; Di Girolamo, Larry; Donat, Markus G.; Dorigo, Wouter A.; Durre, Imke; Dutton, Geoff S.; Duveiller, Gregory; Elkins, James W.; Fioletov, Vitali E.; Flemming, Johannes; Foster, Michael J.; Frith, Stacey M.; Froidevaux, Lucien; Garforth, J.; Gentry, Matthew; Gupta, S. K.; Hahn, S.; Haimberger, Leopold; Hall, Brad D.; Harris, Ian; Hemming, D. L.; Hirschi, M.; Ho, Shu-pen (Ben); Hrbacek, F.; Hubert, Daan; Hurst, Dale F.; Inness, Antje; Isaksen, K.; John, Viju O.; Jones, Philip D.; Junod, Robert; Kaiser, J. W.; Kaufmann, V.; Kellerer-Pirklbauer, A.; Kent, Elizabeth C.; Kidd, R.; Kim, Hyungjun; Kipling, Z.; Koppa, A.; Kraemer, B. M.; Kratz, D. P.; Lan, Xin; Lantz, Kathleen O.; Lavers, D.; Loeb, Norman G.; Loyola, Diego; Madelon, R.; Mayer, Michael; McCabe, M. F.; McVicar, Tim R.; Mears, Carl A.; Merchant, Christopher J.; Miralles, Diego G.; Moesinger, L.; Montzka, Stephen A.; Morice, Colin; Mosinger, L.; Muhle, Jens; Nicolas, Julien P.; Noetzli, Jeannette; Ben Noll; O'Keefe, J.; Osborn, Tim J.; Park, T.; Pasik, A. J.; Pellet, C.; Pelto, Maury S.; Perkins-Kirkpatrick, S. E.; Petron, G.; Phillips, Coda; Po-Chedley, S.; Polvani, L.; Preimesberger, W.; Rains, D. G.; Randel, W. J.; Rayner, Nick A.; Remy, Samuel; Ricciardulli, L.; Richardson, A. D.; Robinson, David A.; Rodell, Matthew; Rodriguez-Fernandez, N. J.; Rosenlof, K. H.; Roth, C.; Rozanov, A.; Rutishauser, T.; Sanchez-Lugo, Ahira; Sawaengphokhai, P.; Scanlon, T.; Schenzinger, Verena; Schlegel, R. W.; Sharma, S.; Shi, Lei; Simmons, Adrian J.; Siso, Carolina; Smith, Sharon L.; Soden, B. J.; Sofieva, Viktoria; Sparks, T. H.; Stackhouse, Paul W., Jr.; Steinbrecht, Wolfgang; Stengel, Martin; Streletskiy, Dimitri A.; Sun-Mack, Sunny; Tans, P.; Thackeray, S. J.; Thibert, E.; Tokuda, D.; Tourpali, Kleareti; Tye, Mari R.; van der A, Ronald; van der Schalie, Robin; van der Schrier, Gerard; van der Vliet, M.; van der Werf, Guido R.; Vance, A.; Vernier, Jean-Paul; Vimont, Isaac J.; Vomel, Holger; Vose, Russell S.; Wang, Ray; Weber, Markus; Wiese, David; Wilber, Anne C.; Wild, Jeanette D.; Wong, Takmeng; Woolway, R. Iestyn; Zhou, Xinjia; Yin, Xungang; Zhao, Guangyu; Zhao, Lin; Ziemke, Jerry R.; Ziese, Markus; Zotta, R. M.</t>
  </si>
  <si>
    <t>GLOBAL CLIMATE</t>
  </si>
  <si>
    <t>BULLETIN OF THE AMERICAN METEOROLOGICAL SOCIETY</t>
  </si>
  <si>
    <t>VEGETATION OPTICAL DEPTH; NINO-SOUTHERN-OSCILLATION; SEA-SURFACE TEMPERATURE; GLACIER MASS CHANGES; ENERGY SYSTEM CERES; TROPOSPHERIC OZONE; EL-NINO; ROCK GLACIER; CARBON-MONOXIDE; WATER-VAPOR</t>
  </si>
  <si>
    <t>[Dunn, R. J. H.; Aldred, F.; Willett, K. M.] Met Off Hadley Ctr, Exeter, Devon, England; [Gobron, N.] European Commiss, Joint Res Ctr, Ispra, Italy; [Miller, J. B.] NOAA OAR Global Monitoring Lab, Boulder, CO USA; [Ades, M.] European Ctr Medium Range Weather Forecasts, Reading, Berks, England; [Adler, Robert] Univ Maryland, CMNS Earth Syst Sci Interdisciplinary Ctr, College Pk, MD USA; [Aldred, F.] Met Off Hadley Ctr, Exeter, Devon, England; Univ Reading, Dept Meteorol, Reading, Berks, England; Univ Reading, Natl Ctr Earth Observat, Reading, Berks, England; [Allan, Rob] Met Off Hadley Ctr, Exeter, Devon, England; [Anderson, J.] Hampton Univ, Dept Atmospher &amp; Planetary Sci, Hampton, VA USA; [Arguez, Anthony] NOAA NESDIS Natl Ctr Environm Informat, Asheville, NC USA; [Arosio, C.] Univ Bremen, Bremen, Germany; [Augustine, John A.] NOAA OAR Earth Syst Res Lab, Boulder, CO USA; [Azorin-Molina, C.] Spanish Natl Res Council, Ctr Invest Sobre Desertificac, Moncada, Valencia, Spain; [Azorin-Molina, C.] Univ Gothenburg, Dept Earth Sci, Reg Climate Grp, Gothenburg, Sweden; [Barichivich, J.] Pontificia Univ Catolic Valparaiso, Inst Geog, Valparaiso, Chile; [Beck, H. E.] GloH2O, Almere, Netherlands; [Becker, Andreas] Deutsch Wetterdienst, Global Precipitat Climatol Ctr, Offenbach, Germany; [Nicolas, Julien P.] Univ Reading, Reading, Berks, England; [Benedetti, Angela] European Ctr Medium Range Weather Forecasts, Reading, Berks, England; [Berry, David I.] Natl Oceanog Ctr, Southampton, Hants, England; [Blenkinsop, Stephen] Newcastle Univ, Sch Engn, Newcastle Upon Tyne, Tyne &amp; Wear, England; [Bock, Olivier] Univ Paris, CNRS, Inst Phys Globe Paris, IGN, F-7500 Paris, France; [Bodin, X.] Univ Savoie Mont Blanc, Lab EDYTEM, CNRS, Le Bourget Du Lac, France; [Bosilovich, Michael G.] NASA Goddard Space Flight Ctr, Global Modeling &amp; Assimilat Off, Greenbelt, MD USA; [Boucher, Olivier] Sorbonne Univ, Paris, France; [Buehler, S. A.] Univ Hamburg, Meteorol Inst, Ctr Erdsyst &amp; Nachhaltigkeitsforsch, Fachbereich Erdsyst Wissensch, Hamburg, Germany; [Calmettes, B.] Collecte Localisat Satellites CLS, Ramonville St Agne, France; [Carrea, Laura] Univ Reading, Dept Meteorol, Reading, Berks, England; [Castia, Laura] NOAA Climate Predict Ctr, College Pk, MD USA; [Christiansen, Hanne H.] Univ Ctr Svalbard, Dept Geol, Longyearbyen, Norway; [Christy, John R.] Univ Alabama Huntsville, Huntsville, AL USA; [Chung, E. -S.] Korea Polar Res Inst, Incheon, South Korea; [Coldewey-Egbers, Melanie] DLR German Aerosp Ctr Oberpfaffenhofen, Wessling, Germany; [Cooper, Owen R.] Univ Colorado, Cooperat Inst Res Environm Sci, Boulder, CO USA; [Cooper, Owen R.] NOAA Chem Sci Lab, Boulder, CO USA; [Cornes, Richard C.] Natl Oceanog Ctr, Southampton, Hants, England; [Covey, Curt] Lawrence Livermore, Natl Lab, Lawrence, KS USA; [Cretaux, J. -F.] Univ Toulouse, CNES LEGOS, UMR 5566, Toulouse, France; [Crotwell, M.] Univ Colorado, Cooperat Inst Res Environm Sci, Boulder, CO USA; [Crotwell, M.] NOAA OAR Global Monitoring Lab, Boulder, CO USA; [Davis, Sean M.] NOAA Chem Sci Lab, Boulder, CO USA; [De Jeu, Richard A. M.] VanderSat BV, Haarlem, Netherlands; [Degenstein, Doug] Univ Saskatchewan, Saskatoon, SK, Canada; [Delaloye, R.] Univ Fribourg, Dept Geosci, Fribourg, Switzerland; [Di Girolamo, Larry] Univ Illinois, Urbana, IL USA; [Donat, Markus G.] Barcelona Supercomp Ctr, Barcelona, Spain; [Dorigo, Wouter A.] TU Wien Vienna Univ Technol, Vienna, Austria; Met Off Hadley Ctr, Exeter, Devon, England; [Durre, Imke] NOAA NESDIS, Natl Ctr Environm Informat, Asheville, NC USA; [Dutton, Geoff S.] Univ Colorado, Cooperat Inst Res Environm Sci, Boulder, CO USA; [Dutton, Geoff S.] NOAA OAR Global Monitoring Lab, Boulder, CO USA; [Duveiller, Gregory] European Commiss, Joint Res Ctr, Ispra, Italy; [Duveiller, Gregory] Max Planck Inst Biogeochem, Jena, Germany; [Elkins, James W.] NOAA OAR Global Monitoring Lab, Boulder, CO USA; [Fioletov, Vitali E.] Environm &amp; Climate Change Canada, Toronto, ON, Canada; [Flemming, Johannes] European Ctr MediumRange Weather Forecasts, Copernicus Dept, Reading, Berks, England; [Foster, Michael J.] Univ Wisconsin Madison, Cooperat Inst Meteorol Satellite Studies, Space Sci &amp; Engn Ctr, Madison, WI USA; [Frith, Stacey M.] Sci Syst &amp; Applicat Inc, Lanham, MD USA; [Frith, Stacey M.] NASA Goddard Space Flight Ctr, Greenbelt, MD USA; [Froidevaux, Lucien] CALTECH, Jet Prop Lab, Pasadena, CA USA; [Garforth, J.] Woodland Trust, Grantham, England; [Gentry, Matthew] Univ Colorado, Cooperat Inst Res Environm Sci, Boulder, CO USA; [Gentry, Matthew] NOAA OAR Global Monitoring Lab, Boulder, CO USA; [Gobron, N.] European Commiss, Joint Res Ctr, Ispra, Italy; [Gupta, S. K.] Sci Syst &amp; Applicat Inc SSAI, Hampton, VA USA; [Hahn, S.] TU Wien Vienna Univ Technol, Vienna, Austria; [Haimberger, Leopold] Univ Vienna, Dept Meteorol &amp; Geophys, Vienna, Austria; [Hall, Brad D.] NOAA OAR Global Monitoring Lab, Boulder, CO USA; [Harris, Ian] Univ East Anglia, Natl Ctr Atmospher Sci NCAS, Norwich, Norfolk, England; [Harris, Ian] Univ East Anglia, Sch Environm Sci, Climat Res Unit, Norwich, Norfolk, England; [Hemming, D. L.] Met Off Hadley Ctr, Exeter, Devon, England; [Hemming, D. L.] Univ Birmingham, Birmingham Inst Forest Res, Birmingham, W Midlands, England; [Hirschi, M.] Swiss Fed Inst Technol, Zurich, Switzerland; [Ho, Shu-pen (Ben)] NOAA, Ctr Satellite Applicat &amp; Res, College Pk, MD USA; [Hrbacek, F.] Masaryk Univ, Dept Geog, Brno, Czech Republic; [Hubert, Daan] Royal Belgian Inst Space Aeron BIRA IASB, Brussels, Belgium; [Hurst, Dale F.] Univ Colorado Boulder, Cooperat Inst Res Environm Sci, Boulder, CO USA; [Hurst, Dale F.] NOAA OAR Global Monitoring Lab, Boulder, CO USA; [Inness, Antje] European Ctr Medium Range Weather Forecasts, Copernicus Dept, Reading, Berks, England; [Isaksen, K.] Norwegian Meteorol Inst, Oslo, Norway; [John, Viju O.] EUMETSAT, Darmstadt, Germany; [Jones, Philip D.] Univ East Anglia, Sch Environm Sci, Climat Res Unit, Norwich, Norfolk, England; [Junod, Robert] Univ Alabama Huntsville, Earth Syst Sci Ctr ESSC, Huntsville, AL USA; [Kaiser, J. W.] Deutsch Wetterdienst, Satellite Based Climate Monitoring Unit, Offenbach, Germany; [Kaufmann, V.] Graz Univ Technol, Inst Geodesy, Working Grp Remote Sensing &amp; Photogrammetry, Graz, Austria; [Kellerer-Pirklbauer, A.] Graz Univ, Inst Geog &amp; Reg Sci, Cascade Mt Proc &amp; Mt Hazards Grp, Graz, Austria; [Kent, Elizabeth C.] Natl Oceanog Ctr, Southampton, Hants, England; [Kidd, R.] Earth Observat Data Ctr EODC, Vienna, Austria; [Kim, Hyungjun] Korea Adv Inst Sci &amp; Technol KAIST, Moon Soul Grad Sch Future Strategy, Daejeon, South Korea; [Kim, Hyungjun] Univ Tokyo, Inst Ind Sci, Tokyo, Japan; [Kipling, Z.] European Ctr Medium Range Weather Forecasts, Reading, Berks, England; [Koppa, A.] Univ Ghent, Hydroclimate Extremes Lab H CEL, Ghent, Belgium; [Kraemer, B. M.] IGB Leibniz Inst Freshwater Ecol &amp; Inland Fisheri, Berlin, Germany; [Kratz, D. P.] NASA Langley Res Ctr, Hampton, VA USA; [Lan, Xin] Univ Colorado, Cooperat Inst Res Environm Sci, Boulder, CO USA; [Lan, Xin] NOAA OAR Global Monitoring Lab, Boulder, CO USA; [Lantz, Kathleen O.] NOAA OAR Earth Syst Res Lab, Boulder, CO USA; [Lavers, D.] European Ctr Medium Range Weather Forecasts, Reading, Berks, England; [Loeb, Norman G.] NASA Langley Res Ctr, Hampton, VA USA; [Loyola, Diego] DLR German Aerosp Ctr Oberpfaffenhofen, Wessling, Germany; [Madelon, R.] CESBIO Univ Toulouse 3, CNRS, CNES, INRAE, Toulouse, France; [Mayer, Michael] Univ Vienna, Vienna, Austria; [Mayer, Michael] European Ctr Medium Range Weather Forecasts, Reading, Berks, England; [McCabe, M. F.] King Abdullah Univ Sci &amp; Technol, Div Biol &amp; Environm Sci &amp; Engn, Thuwal, Saudi Arabia; [McVicar, Tim R.] CSIRO Land &amp; Water, Canberra, ACT, Australia; [McVicar, Tim R.] Australian Res Council Ctr Excellence Climate Ext, Sydney, NSW, Australia; [Mears, Carl A.] Remote Sensing Syst, Santa Rosa, CA USA; [Merchant, Christopher J.] Univ Reading, Dept Meteorol, Reading, Berks, England; [Miller, J. B.] NOAA OAR Global Monitoring Lab, Boulder, CO USA; [Miralles, Diego G.] Univ Ghent, Hydroclimate Extremes Lab H CEL, Ghent, Belgium; [Moesinger, L.] TU Wien Univ Technol, Vienna, Austria; [Montzka, Stephen A.] NOAA OAR Global Monitoring Lab, Boulder, CO USA; [Morice, Colin] Met Off Hadley Ctr, Exete, England; [Mosinger, L.] TU Wien Univ Technol, Vienna, Austria; [Muhle, Jens] Univ Calif San Diego, Scripps Inst Oceanog, La Jolla, CA 92093 USA; [Nicolas, Julien P.] European Ctr Medium Range Weather Forecasts, Reading, Berks, England; [Noetzli, Jeannette] WSL Inst Snow &amp; Avalanche Res SLF, Davos, Switzerland; [Ben Noll] Natl Inst Water &amp; Atmospher Res NIWA, Hamilton, New Zealand; [O'Keefe, J.] Harvard Univ, Harvard Forest, Petersham, MA USA; [Osborn, Tim J.] Univ East Anglia, Sch Environm Sci, Climat Res Unit, Norwich, Norfolk, England; [Park, T.] NASA Ames Res Ctr, Moffett Field, CA USA; [Park, T.] Bay Area Environm Res Inst, Moffett Field, CA USA; [Pasik, A. J.] TU Wien Vienna Univ Technol, Vienna, Austria; [Pellet, C.] Univ Fribourg, Dept Geosci, Fribourg, Switzerland; [Pellet, C.] Nichols Coll, Dudley, MA USA; [Perkins-Kirkpatrick, S. E.] Univ New South Wales, Canberra, ACT, Australia; [Petron, G.] Univ Colorado, Cooperat Inst Res Environm Sci, Boulder, CO USA; [Petron, G.] NOAA OAR Global Monitoring Lab, Boulder, CO USA; [Phillips, Coda] Univ Wisconsin Madison, Cooperat Inst Meteorol Satellite Studies, Space Sci &amp; Engn Ctr, Madison, WI USA; [Po-Chedley, S.] Lawrence Livermore Natl Lab, Program Climate Model Diag &amp; Intercomparison, Livermore, CA 94550 USA; [Polvani, L.] Columbia Univ, New York, NY USA; [Preimesberger, W.] TU Wien Vienna Univ Technol, Vienna, Austria; [Rains, D. G.] Univ Ghent, Hydroclimate Extremes Lab H CEL, Ghent, Belgium; [Randel, W. J.] Natl Ctr Atmospher Res, Boulder, CO USA; [Rayner, Nick A.] Met Off Hadley Ctr, Exeter, Devon, England; [Remy, Samuel] HYGEOS, Lille, France; [Ricciardulli, L.] Remote Sensing Syst, Santa Rosa, CA USA; [Richardson, A. D.] No Arizona Univ, Sch Informat Comp &amp; Cyber Syst, Flagstaff, AZ 86011 USA; [Richardson, A. D.] No Arizona Univ, Ctr Ecosyst Sci &amp; Soc, Flagstaff, AZ 86011 USA; [Robinson, David A.] Rutgers State Univ, Piscataway, NJ USA; [Rodell, Matthew] NASA Goddard Space Flight Ctr, Hydrol Sci Lab, Greenbelt, MD USA; CESBIO Univ Toulouse 3, CNRS, CNES, INRAE, Toulouse, France</t>
  </si>
  <si>
    <t>Met Office - UK; Hadley Centre; European Commission Joint Research Centre; EC JRC ISPRA Site; European Centre for Medium-Range Weather Forecasts (ECMWF); University System of Maryland; University of Maryland College Park; Met Office - UK; Hadley Centre; University of Reading; University of Reading; UK Research &amp; Innovation (UKRI); Natural Environment Research Council (NERC); NERC National Centre for Earth Observation; Met Office - UK; Hadley Centre; Hampton University; University of Bremen; Consejo Superior de Investigaciones Cientificas (CSIC); University of Valencia; CSIC-GV-UV - Centro de Investigaciones sobre Desertificacion (CIDE); University of Gothenburg; Deutscher Wetterdienst; University of Reading; European Centre for Medium-Range Weather Forecasts (ECMWF); NERC National Oceanography Centre; Newcastle University - UK; Universite Gustave-Eiffel; Universite Paris Cite; Centre National de la Recherche Scientifique (CNRS); Centre National de la Recherche Scientifique (CNRS); Universite Savoie Mont Blanc; National Aeronautics &amp; Space Administration (NASA); NASA Goddard Space Flight Center; Sorbonne Universite; University of Hamburg; University of Reading; National Oceanic Atmospheric Admin (NOAA) - USA; University Centre Svalbard (UNIS); University of Alabama System; University of Alabama Huntsville; Korea Polar Research Institute (KOPRI); Helmholtz Association; German Aerospace Centre (DLR); University of Colorado System; University of Colorado Boulder; NERC National Oceanography Centre; United States Department of Energy (DOE); Lawrence Livermore National Laboratory;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 University of Colorado System; University of Colorado Boulder; University of Saskatchewan; University of Fribourg; University of Illinois System; University of Illinois Urbana-Champaign; Universitat Politecnica de Catalunya; Barcelona Supercomputer Center (BSC-CNS); Technische Universitat Wien; Met Office - UK; Hadley Centre; National Oceanic Atmospheric Admin (NOAA) - USA; University of Colorado System; University of Colorado Boulder; European Commission Joint Research Centre; EC JRC ISPRA Site; Max Planck Society; Environment &amp; Climate Change Canada; University of Wisconsin System; University of Wisconsin Madison; Science Systems and Applications Inc; National Aeronautics &amp; Space Administration (NASA); NASA Goddard Space Flight Center; California Institute of Technology; National Aeronautics &amp; Space Administration (NASA); NASA Jet Propulsion Laboratory (JPL); University of Colorado System; University of Colorado Boulder; European Commission Joint Research Centre; EC JRC ISPRA Site; Science Systems and Applications Inc; Technische Universitat Wien; University of Vienna; University of East Anglia; University of East Anglia; Met Office - UK; Hadley Centre; University of Birmingham; Swiss Federal Institutes of Technology Domain; ETH Zurich; National Oceanic Atmospheric Admin (NOAA) - USA; Masaryk University Brno; University of Colorado System; University of Colorado Boulder; European Centre for Medium-Range Weather Forecasts (ECMWF); Norwegian Meteorological Institute; European Organisation for the Exploitation of Meteorological Satellites; University of East Anglia; University of Alabama System; University of Alabama Huntsville; Deutscher Wetterdienst; Graz University of Technology; University of Graz; NERC National Oceanography Centre; Korea Advanced Institute of Science &amp; Technology (KAIST); University of Tokyo; European Centre for Medium-Range Weather Forecasts (ECMWF); Ghent University; Leibniz Institut fur Gewasserokologie und Binnenfischerei (IGB); National Aeronautics &amp; Space Administration (NASA); NASA Langley Research Center; University of Colorado System; University of Colorado Boulder; European Centre for Medium-Range Weather Forecasts (ECMWF); National Aeronautics &amp; Space Administration (NASA); NASA Langley Research Center; Helmholtz Association; German Aerospace Centre (DLR); Centre National de la Recherche Scientifique (CNRS); INRAE; University of Vienna; European Centre for Medium-Range Weather Forecasts (ECMWF); King Abdullah University of Science &amp; Technology; Commonwealth Scientific &amp; Industrial Research Organisation (CSIRO); CSIRO Land &amp; Water; University of Reading; Ghent University; Met Office - UK; Hadley Centre; University of California System; University of California San Diego; Scripps Institution of Oceanography; European Centre for Medium-Range Weather Forecasts (ECMWF); Swiss Federal Institutes of Technology Domain; Swiss Federal Institute for Forest, Snow &amp; Landscape Research; National Institute of Water &amp; Atmospheric Research (NIWA) - New Zealand; Harvard University; University of East Anglia; National Aeronautics &amp; Space Administration (NASA); NASA Ames Research Center; Technische Universitat Wien; University of Fribourg; University of New South Wales Sydney; University of Colorado System; University of Colorado Boulder; University of Wisconsin System; University of Wisconsin Madison; United States Department of Energy (DOE); Lawrence Livermore National Laboratory; Columbia University; Technische Universitat Wien; Ghent University; National Center Atmospheric Research (NCAR) - USA; Met Office - UK; Hadley Centre; Northern Arizona University; Northern Arizona University; Rutgers University System; Rutgers University New Brunswick; National Aeronautics &amp; Space Administration (NASA); NASA Goddard Space Flight Center; INRAE; Centre National de la Recherche Scientifique (CNRS)</t>
  </si>
  <si>
    <t>Dunn, RJH (corresponding author), Met Off Hadley Ctr, Exeter, Devon, England.</t>
  </si>
  <si>
    <t>robert.dunn@metoffice.gov.uk</t>
  </si>
  <si>
    <t>Hirschi, Martin/ABF-1564-2020; Isaksen, Ketil/C-6493-2011; Dorigo, Wouter A/C-7794-2014; Rosenlof, Karen H/B-5652-2008; LAN, XIN/GRX-8159-2022; Buehler, Stefan Alexander/A-4056-2009; Cornes, Richard/B-5456-2010; Allan, Richard Philip/B-5782-2008; Merchant, Christopher J/E-1180-2014; Wong, Takmeng/AHD-3210-2022; Miller, John B./AAE-7714-2019; Cooper, Owen/H-4875-2013; van der Werf, Guido/JXY-9197-2024; Frith, Stacey/HMD-9437-2023; LAN, XIN/AAX-4357-2020; Boucher, Olivier/K-7483-2012; Donat, Markus/J-8331-2012; montzka, stephen/V-6162-2019; Miralles, Diego/K-8857-2013; Zhao, Lin/M-9536-2018; Duveiller, Gregory/A-4932-2016; Loyola, Diego/GYO-3213-2022; Rodell, Matthew/E-4946-2012; Hrbacek, Filip/ABG-4319-2020; Davis, Sean/C-9570-2011; Lantz, Kathleen/JDV-7677-2023; Richardson, Andrew/F-5691-2011; Azorin-Molina, Cesar/ABB-5381-2021; Augustine, John/AAG-8203-2019; Arguez, Anthony/I-9375-2017; Dutton, Geoffrey Scott/V-9977-2019; Barichivich, Jonathan/A-2776-2010; Carrea, Laura/GXM-6341-2022; Koppa, Akash/O-2122-2019; Stengel, Martin/C-9801-2010; Davis, Sean/HGC-5795-2022; Wong, Takmeng/AHD-3691-2022; Adler, Robert/AHD-5560-2022; Crotwell, Molly/AAQ-8435-2020; Kent, Elizabeth/C-1281-2011; Perkins-Kirkpatrick, Sarah E/O-5042-2015; Muhle, Jens/GPX-3244-2022; Merchant, Christopher/KHY-0611-2024; Thackeray, Stephen J/D-2415-2013; Loeb, Norman/ABC-7817-2021; wilber, anne/F-6270-2011; Rodriguez-Fernandez, Nemesio/N-7710-2015; Noetzli, Jeannette/ABA-4132-2020; Hurst, Dale/D-1554-2016; Randel, William J/K-3267-2016; Berry, David I/C-1268-2011; Azorin-Molina, Cesar/IZP-9544-2023; Vimont, Isaac/B-5168-2018; Vose, Russell/GSI-5687-2022</t>
  </si>
  <si>
    <t>Hirschi, Martin/0000-0001-9154-756X; Isaksen, Ketil/0000-0003-2356-5330; Rosenlof, Karen H/0000-0002-0903-8270; Cornes, Richard/0000-0002-7688-4485; Allan, Richard Philip/0000-0003-0264-9447; Merchant, Christopher J/0000-0003-4687-9850; Miller, John B./0000-0001-8630-1610; Cooper, Owen/0000-0001-7391-1161; Frith, Stacey/0000-0001-6894-0574; LAN, XIN/0000-0001-6327-6950; Donat, Markus/0000-0002-0608-7288; montzka, stephen/0000-0002-9396-0400; Miralles, Diego/0000-0001-6186-5751; Zhao, Lin/0000-0003-0245-8413; Duveiller, Gregory/0000-0002-6471-8404; Hrbacek, Filip/0000-0001-5032-9216; Davis, Sean/0000-0001-9276-6158; Lantz, Kathleen/0000-0001-9515-160X; Richardson, Andrew/0000-0002-0148-6714; Augustine, John/0000-0002-6645-7404; Dutton, Geoffrey Scott/0000-0001-7777-9268; Koppa, Akash/0000-0001-5671-0878; Davis, Sean/0000-0001-9276-6158; Crotwell, Molly/0000-0001-8092-0285; Kent, Elizabeth/0000-0002-6209-4247; Muhle, Jens/0000-0001-9776-3642; Rodriguez-Fernandez, Nemesio/0000-0003-3796-149X; Noetzli, Jeannette/0000-0001-9188-6318; Hurst, Dale/0000-0002-6315-2322; Vimont, Isaac/0000-0002-0740-4927; Junod, Robert/0000-0003-1398-0098; Tourpali, Kleareti/0000-0003-4111-6176</t>
  </si>
  <si>
    <t>Met Office Hadley Centre Climate Programme - BEIS; Defra; UK National Environment Research Council [NE/J023345/2]; EU Copernicus Climate Change Service (C3S) programme; CNES; ESA through the Climate Change Initiative (CCI+) project; Hadley Centre Climate Programme - BEIS; U.S. Department of Energy [DE-AC52-07NA27344, DE-SC0005330, DE-SC0019296]; Regional and Global Model Analysis Program of the Office of Science at the DOE; U.S. National Science Foundation; NERC CLASS programme [NE/R015953/1]; NERC GloSAT project [NE/S015647/2]; Copernicus Climate Change Service [C3S_311a_Lot2]; MeteoSwiss; Federal Office for the Environment; Swiss Academy of Sciences; OSUG (Observatoire des Sciences de l'Univers Grenoble); French Research Infrastructure OZCAR; Czech Ministry of Education, Youth and Sport project [VAN2020/1]; U.S. Department of Energy (DOE) [DE-SC0019296, DE-SC0005330] Funding Source: U.S. Department of Energy (DOE); NERC [NE/S015647/2, NE/R015953/1, NE/R016518/1, NE/J020788/1, NE/S015582/1, nceo020006] Funding Source: UKRI</t>
  </si>
  <si>
    <t>Met Office Hadley Centre Climate Programme - BEIS; Defra(Department for Environment, Food &amp; Rural Affairs (DEFRA)); UK National Environment Research Council(UK Research &amp; Innovation (UKRI)Natural Environment Research Council (NERC)); EU Copernicus Climate Change Service (C3S) programme; CNES(Centre National D'etudes Spatiales); ESA through the Climate Change Initiative (CCI+) project; Hadley Centre Climate Programme - BEIS; U.S. Department of Energy(United States Department of Energy (DOE)); Regional and Global Model Analysis Program of the Office of Science at the DOE; U.S. National Science Foundation(National Science Foundation (NSF)); NERC CLASS programme; NERC GloSAT project; Copernicus Climate Change Service; MeteoSwiss; Federal Office for the Environment; Swiss Academy of Sciences; OSUG (Observatoire des Sciences de l'Univers Grenoble); French Research Infrastructure OZCAR; Czech Ministry of Education, Youth and Sport project; U.S. Department of Energy (DOE)(United States Department of Energy (DOE)); NERC(UK Research &amp; Innovation (UKRI)Natural Environment Research Council (NERC))</t>
  </si>
  <si>
    <t>2a1 (Overview) Freya Aldred, Robert Dunn, and Kate Willett were supported by the Met Office Hadley Centre Climate Programme funded by BEIS and Defra. We thank Rob Chadwick and David Parker, the five anonymous reviewers, and the BAMS Editor for their detailed comments when reviewing the chapter. We also thank Atsushi Goto (JMA), Julien Nicolas (ECMWF) and Mike Bosilovich (NASA) for the provision of the reanalysis data used in this chapter. 2b2 (Lake surface water temperature) Lake surface water temperatures from satellite data have been generated within the GloboLakes project funded by the UK National Environment Research Council (NE/J023345/2) with extensions funded by the EU Copernicus Climate Change Service (C3S) programme. The in situ measurements used to validate the LSWT dataset have been kindly shared by Eugene Silow (Irkutsk State University, Russia); Merja Pulkkanen (SYKE, Helsinki, Finland); Antii Raike (SYKE, Helsinki, Finland); Eric Leibensperger (Department of Physics and Astronomy, Ithaca College, Ithaca, New York); Alo Laas (Estonian University of Life Sciences, Tartu, Estonia); Michela Rogora (CNR Institute for Water Research, Italy); Martin Dokulil (Austria); Shin-ichiro Matsuzaki (National Institute for Environmental Studies, Japan); Claudia Giardino (CNR IREA, Italy); Curtis DeGasperi (King County Water and Land Resources Division, Department of Natural Resources and Parks, Seattle, Washington); Martin Schmid (Eawag, Switzerland); and Don Pierson (Uppsala University, Sweden). Lake Water Level timeseries are generated by LEGOS/CLS as part of the Theia Land programme supported by CNES with extensions funded by the EU Copernicus Climate Change Service (C3S) programme and by ESA through the Climate Change Initiative (CCI+) project. Valery Vuglinskii (SHI, Russia) provided water level in situ time series on 16 lakes in Russia allowing to validate the LWL products. 2b3 (Land and marine temperature extremes) Robert J. H. Dunn was supported by the Hadley Centre Climate Programme funded by BEIS and Defra. 2b4 (Tropospheric temperature) Work performed by Stephen Po-Chedley at Lawrence Livermore National Laboratory (LLNL) was performed under the auspices of the U.S. Department of Energy under Contract DE-AC52-07NA27344 with support from the Regional and Global Model Analysis Program of the Office of Science at the DOE. 2b5 (Stratospheric temperature and winds) The National Center for Atmospheric Research is sponsored by the U.S. National Science Foundation. Sidebar 2.1 (Night marine air temperature) Richard Cornes, David Berry, and Elizabeth Kent were funded by the NERC CLASS programme (NE/R015953/1), the NERC GloSAT project (NE/S015647/2), and the Copernicus Climate Change Service (C3S_311a_Lot2). The UAHNMATv1 work was supported by the U.S. Department of Energy (DE-SC0005330 and DE-SC0019296. Nick Rayner was supported by the Met Office Hadley Centre Climate Programme funded by BEIS and Defra. 2c1 (Permafrost thermal state) PERMOS is financially supported by MeteoSwiss in the framework of GCOS Switzerland, the Federal Office for the Environment, and the Swiss Academy of Sciences and acknowledges the important contribution of the partner institutions and principal investigators. The French Network PermaFRANCE is financially supported by OSUG (Observatoire des Sciences de l'Univers Grenoble) and the French Research Infrastructure OZCAR. Czech Antarctic Research Programme is supported by Czech Ministry of Education, Youth and Sport project VAN2020/1.</t>
  </si>
  <si>
    <t>AMER METEOROLOGICAL SOC</t>
  </si>
  <si>
    <t>BOSTON</t>
  </si>
  <si>
    <t>45 BEACON ST, BOSTON, MA 02108-3693, UNITED STATES</t>
  </si>
  <si>
    <t>0003-0007</t>
  </si>
  <si>
    <t>1520-0477</t>
  </si>
  <si>
    <t>B AM METEOROL SOC</t>
  </si>
  <si>
    <t>Bull. Amer. Meteorol. Soc.</t>
  </si>
  <si>
    <t>S11</t>
  </si>
  <si>
    <t>S141</t>
  </si>
  <si>
    <t>10.1175/BAMS-D-21-0098.1</t>
  </si>
  <si>
    <t>Meteorology &amp; Atmospheric Sciences</t>
  </si>
  <si>
    <t>ZB9HH</t>
  </si>
  <si>
    <t>Green Published, Green Accepted</t>
  </si>
  <si>
    <t>WOS:000757143800002</t>
  </si>
  <si>
    <t>Stammerjohn, S; Scambos, T</t>
  </si>
  <si>
    <t>Stammerjohn, S.; Scambos, T.</t>
  </si>
  <si>
    <t>ANTARCTICA AND THE SOUTHERN OCEAN</t>
  </si>
  <si>
    <t>SURFACE MASS-BALANCE; SEA-ICE; BOTTOM WATER; IN-SITU; VARIABILITY; MELT; PENINSULA; MARAMBIO; TRENDS; CARBON</t>
  </si>
  <si>
    <t>[Stammerjohn, S.] Univ Colorado, Inst Arctic &amp; Alpine Res, Boulder, CO 80309 USA; [Scambos, T.] Univ Colorado, Earth Sci &amp; Observat Ctr, CIRES, Boulder, CO 80309 USA</t>
  </si>
  <si>
    <t>University of Colorado System; University of Colorado Boulder; University of Colorado System; University of Colorado Boulder</t>
  </si>
  <si>
    <t>Stammerjohn, S (corresponding author), Univ Colorado, Inst Arctic &amp; Alpine Res, Boulder, CO 80309 USA.</t>
  </si>
  <si>
    <t>Sharon.Stammerjohn@colorado.edu</t>
  </si>
  <si>
    <t>Bushinsky, Seth/Q-3379-2017; Fogt, Ryan L/B-6989-2008; Sutton, Adrienne/C-7725-2015</t>
  </si>
  <si>
    <t>Bushinsky, Seth/0000-0001-5106-4678; Fogt, Ryan L/0000-0002-5398-3990; Li, Zhi/0000-0002-0166-9289; Foppert, Annie/0000-0003-2958-1454; Gille, Sarah/0000-0001-9144-4368; Silvano, Alessandro/0000-0002-6441-1496; Clem, Kyle/0000-0002-1419-2758; Bozkurt, Deniz/0000-0003-1021-8241; Maclennan, Michelle L./0000-0002-7591-2704; SCAMBOS, Ted A./0000-0003-4268-6322; Sutton, Adrienne/0000-0002-7414-7035</t>
  </si>
  <si>
    <t>Australian Bureau of Meteorology; Australian Antarctic Division; Australian Government's Australian Antarctic Partnership Program; AAS Project [4116]; NSF [PLR 1440435, ANT 1738992]; Argentine Naval Hydrographic Service; NASA [NNX14AM54G]; Arctic Sea Ice News and Analysis project; NSF-NERC International Thwaites Glacier Collaboration TARSAN project; CHAMPS project of the Academy of Finland under the CLIHE programme [329225]; CSHOR; Academy of Finland (AKA) [329225] Funding Source: Academy of Finland (AKA); NASA [678078, NNX14AM54G] Funding Source: Federal RePORTER; NERC [bas0100032] Funding Source: UKRI</t>
  </si>
  <si>
    <t>Australian Bureau of Meteorology; Australian Antarctic Division; Australian Government's Australian Antarctic Partnership Program; AAS Project; NSF(National Science Foundation (NSF)); Argentine Naval Hydrographic Service; NASA(National Aeronautics &amp; Space Administration (NASA)); Arctic Sea Ice News and Analysis project; NSF-NERC International Thwaites Glacier Collaboration TARSAN project; CHAMPS project of the Academy of Finland under the CLIHE programme; CSHOR; Academy of Finland (AKA)(Research Council of Finland); NASA(National Aeronautics &amp; Space Administration (NASA)); NERC(UK Research &amp; Innovation (UKRI)Natural Environment Research Council (NERC))</t>
  </si>
  <si>
    <t>Phil Reid and Jan Lieser were supported through the Australian Bureau of Meteorology, and Rob Massom by the Australian Antarctic Division. The work of Phil Reid and Rob Massom was also supported by the Australian Government's Australian Antarctic Partnership Program and contributes to AAS Project 4116. Sharon Stammerjohn was supported under NSF PLR 1440435; she also thanks the Institute of Arctic and Alpine Research and the National Snow and Ice Data Center, both at the University of Colorado Boulder, for institutional and data support. Sandra Barreira was supported by the Argentine Naval Hydrographic Service. Ted Scambos was supported under NASA grant NNX14AM54G, the Arctic Sea Ice News and Analysis project and NSF ANT 1738992, the NSF-NERC International Thwaites Glacier Collaboration TARSAN project. Work at the Jet Propulsion Laboratory, California Institute of Technology, was done under contract with the National Aeronautics and Space Administration (NASA). The authors would like to acknowledge Margit Aun from University of Tartu, Servicio Meteorologico Nacional (SMN) in Argentina, Spanish Agencia Estatal de Meteorologia (AEMET), Argentinian Direccion Nacional del Antartico-Instituto Antartico Argentino (DNA-IAA), and Academy of Finland's projects FARPOCC and SAARA for Marambio data. Kaisa Lakkala is supported by the CHAMPS project (grant no. 329225) of the Academy of Finland under the CLIHE programme. We are indebted to the many NOAA Corps Officers and GML technical personnel who spend the winters at the South Pole Station to obtain the ongoing balloon and ground-based datasets. We also acknowledge the logistics support in Antarctica provided by the National Science Foundation Office of Polar Programs. Veronica Tamsitt acknowledges support of CSHOR; CSHOR is a joint research Centre for Southern Hemisphere Ocean Research between QNLM and CSIRO. Air-sea heat flux data and code used in section 6g can be accessed online from doi:10.5281/zenodo.4595930. This is PMEL contribution number 5218.</t>
  </si>
  <si>
    <t>45 BEACON ST, BOSTON, MA 02108-3693 USA</t>
  </si>
  <si>
    <t>S317</t>
  </si>
  <si>
    <t>S355</t>
  </si>
  <si>
    <t>10.1175/BAMS-D-21-0081.1</t>
  </si>
  <si>
    <t>Green Accepted, Green Published</t>
  </si>
  <si>
    <t>WOS:000757143800006</t>
  </si>
  <si>
    <t>Ackermann, L; Huang, Y; Siems, S; Manton, M; Lang, F; Chubb, T; Peace, A; Speirs, J; Suzanne, K; Protat, A; Alexander, SP</t>
  </si>
  <si>
    <t>Ackermann, Luis; Huang, Yi; Siems, Steven; Manton, Michael; Lang, Francisco; Chubb, Thomas; Peace, Andrew; Speirs, Johanna; Suzanne, Kenyon; Protat, Alain; Alexander, Simon P.</t>
  </si>
  <si>
    <t>Wintertime Precipitation over the Australian Snowy Mountains: Observations from an Intensive Field Campaign 2018</t>
  </si>
  <si>
    <t>JOURNAL OF HYDROMETEOROLOGY</t>
  </si>
  <si>
    <t>Blocking; Fronts; Orographic effects; Precipitation; Cloud microphysics; Freezing precipitation; Glaciation; In situ atmospheric observations; Radars/Radar observations; Satellite observations; Surface observations</t>
  </si>
  <si>
    <t>SNOWFALL ENHANCEMENT PROJECT; SUPERCOOLED LIQUID WATER; CLIMATE VARIABILITY; CLOUDS</t>
  </si>
  <si>
    <t>Understanding the key dynamical and microphysical mechanisms driving precipitation in the Snowy Mountains region of southeast Australia, including the role of orography, can help improve precipitation forecasts, which is of great value for efficient water management. An intensive observation campaign was carried out during the 2018 austral winter, providing a comprehensive range of ground-based observations across the Snowy Mountains. We used data from three vertically pointing rain radars, cloud radar, a PARSIVEL disdrometer, and a network of 76 pluviometers. The observations reveal that all of the precipitation events were associated with cold front passages. About half accumulated during the frontal passage associated with deep, fully glaciated cloud tops, while the rest occurred in the postfrontal environment and were associated with clouds with supercooled liquid water (SLW) tops. About three-quarters of the accumulated precipitation was observed under blocked conditions, likely associated with blocked stratiform orographic enhancement. Specifically, more than a third of the precipitation resulted from moist cloudless air being lifted over stagnant air, upwind from the barrier, creating SLW-top clouds. These SLW clouds then produced stratiform precipitation mostly over the upwind slopes and mountain tops, with hydrometeors reaching the mountain tops mostly as rimed snow. Two precipitation events were studied in detail, which showed that during unblocked conditions, orographic convection invigoration and unblocked stratiform enhancement were the two main mechanisms driving the precipitation, with the latter being more prevalent after the frontal passage. During these events, ice particle growth was likely dominated by vapor deposition and aggregation during the frontal periods, while riming dominated during the postfrontal periods.</t>
  </si>
  <si>
    <t>[Ackermann, Luis; Siems, Steven; Manton, Michael; Lang, Francisco] Monash Univ, Sch Earth Atmosphere &amp; Environm, Melbourne, Vic, Australia; [Ackermann, Luis; Huang, Yi; Siems, Steven] Australian Res Council Ctr Excellence Climate Ext, Melbourne, Vic, Australia; [Huang, Yi] Univ Melbourne, Sch Geog Earth &amp; Atmospher Sci, Melbourne, Vic, Australia; [Chubb, Thomas; Peace, Andrew; Speirs, Johanna; Suzanne, Kenyon] Snowy Hydro Ltd, Sydney, NSW, Australia; [Protat, Alain] Australian Bur Meteorol, Melbourne, Vic, Australia; [Alexander, Simon P.] Australian Antarct Div, Kingston, Australia; [Alexander, Simon P.] Australian Antarct Program Partnership, Inst Marine &amp; Antarct Studies, Hobart, Tas, Australia</t>
  </si>
  <si>
    <t>Monash University; Melbourne Genomics Health Alliance; Melbourne Genomics Health Alliance; University of Melbourne; Melbourne Genomics Health Alliance; Bureau of Meteorology - Australia; Australian Antarctic Division</t>
  </si>
  <si>
    <t>Ackermann, L (corresponding author), Monash Univ, Sch Earth Atmosphere &amp; Environm, Melbourne, Vic, Australia.;Ackermann, L (corresponding author), Australian Res Council Ctr Excellence Climate Ext, Melbourne, Vic, Australia.</t>
  </si>
  <si>
    <t>luis.ackermann@monash.edu</t>
  </si>
  <si>
    <t>Siems, Steven T/C-8339-2013</t>
  </si>
  <si>
    <t>Siems, Steven T/0000-0002-8478-533X; Alexander, Simon/0000-0001-6823-8857; Huang, Yi/0000-0001-8144-1227; Lang, Francisco/0000-0002-8595-4836; Ackermann, Luis/0000-0002-5311-2570</t>
  </si>
  <si>
    <t>ARC Linkage Grant [LP160101494]; Monash Graduate Scholarship; Australian Antarctic Science Project [4387]; Australian Research Council [LP160101494] Funding Source: Australian Research Council</t>
  </si>
  <si>
    <t>ARC Linkage Grant(Australian Research Council); Monash Graduate Scholarship(Monash University); Australian Antarctic Science Project; Australian Research Council(Australian Research Council)</t>
  </si>
  <si>
    <t>This research has been supported by ARC Linkage Grant LP160101494. Luis Ackermann is supported by the Monash Graduate Scholarship. We thank Snowy Hydro Limited for providing pluviometer data for the Snowy Mountains, Dr. Hamish McGowan for lending a Micro Rain Radar used in this campaign, and Brad Atkinson for his technical help. The deployment of the MRR-PRO to Cabramurra was supported by the Australian Antarctic Science Project 4387. We also want to thank the reviewers whose expert insights greatly improved the hydrometer type classification.</t>
  </si>
  <si>
    <t>1525-755X</t>
  </si>
  <si>
    <t>1525-7541</t>
  </si>
  <si>
    <t>J HYDROMETEOROL</t>
  </si>
  <si>
    <t>J. Hydrometeorol.</t>
  </si>
  <si>
    <t>10.1175/JHM-D-20-0283.1</t>
  </si>
  <si>
    <t>XX0AU</t>
  </si>
  <si>
    <t>Bronze, Green Submitted</t>
  </si>
  <si>
    <t>WOS:000735971000013</t>
  </si>
  <si>
    <t>Sun, H; Gao, ZY; Zhao, DR; Sun, XW; Chen, LQ</t>
  </si>
  <si>
    <t>Sun Heng; Gao Zhong-Yong; Zhao De-Rong; Sun Xiu-Wu; Chen Li-Qi</t>
  </si>
  <si>
    <t>Spatial variability of summertime aragonite saturation states and its influencing factor in the Bering Sea</t>
  </si>
  <si>
    <t>ADVANCES IN CLIMATE CHANGE RESEARCH</t>
  </si>
  <si>
    <t>Bering sea; Ocean acidification; Aragonite saturation states; Spatial variability; Controls</t>
  </si>
  <si>
    <t>OCEAN ACIDIFICATION; FRESH-WATER; ANTHROPOGENIC CO2; TOTAL ALKALINITY; CARBON-DIOXIDE; SURFACE-WATER; PACIFIC; SHELF; SEAWATER; EASTERN</t>
  </si>
  <si>
    <t>The Bering sea is susceptible to ocean acidification driven by both human activities (anthropogenic CO2) and distinctive natural processes. To assess the situation of ocean acidification, we investigated the spatial variability of aragonite saturation states (Omega(Ar)) in July 2010 during the 4th Chinese National Arctic Research Expedition (CHINARE). The surface waters were all oversaturated with respect to aragonite (Omega(Ar) &gt; 1) due to high biological removal, and Omega(Ar) ranged from 1.43 to 3.17. The relatively low Omega(Ar) values were found in the western Bering Strait and eastern nearshore region of the Bering Sea Shelf, which were associated with the upwelling and riverine input, respectively. In the subsurface, the Omega(Ar) decreased to generally low saturation states and were observed to be strongly undersaturated (Omega(Ar) &lt; 1) in the bottom waters with a lowest value of 0.45, which might be caused by remineralization. However, unlike prior studies, the low Omega(Ar) values in (h)e shallow nearshore region were still above the saturation horizon throughout the water column, which were probably counteracted by high local primary production. In the context of climate change and increasing anthropogenic CO2 absorption, the suppression and undersaturation of Omega(Ar) in the Bering Sea are not only attributed to the natural processes but also the accumulation of anthropogenic CO2.</t>
  </si>
  <si>
    <t>[Sun Heng; Gao Zhong-Yong; Zhao De-Rong; Sun Xiu-Wu; Chen Li-Qi] Third Inst Oceanog TIO, Key Lab Global Change &amp; Marine Atmospher Chem GCM, Minist Nat Resources MNR, MNR, Xiamen 361005, Peoples R China</t>
  </si>
  <si>
    <t>Ministry of Natural Resources of the People's Republic of China; Third Institute of Oceanography, Ministry of Natural Resources</t>
  </si>
  <si>
    <t>Gao, ZY (corresponding author), Third Inst Oceanog TIO, Key Lab Global Change &amp; Marine Atmospher Chem GCM, Minist Nat Resources MNR, MNR, Xiamen 361005, Peoples R China.</t>
  </si>
  <si>
    <t>GAO@tio.org.cn</t>
  </si>
  <si>
    <t>National Key Research and Development Program of China [2019YFA0607003]; Scientific Research Foundation of Third Institute of Oceanography, MNR [2018005, 2020017]; National Natural Science Foundation of China [41406221, 41476173]; Chinese Projects for Investigations and Assessments of the Arctic and Antarctic (CHINARE2017-2021); Fujian science and technology innovation leader project 2016</t>
  </si>
  <si>
    <t>National Key Research and Development Program of China; Scientific Research Foundation of Third Institute of Oceanography, MNR; National Natural Science Foundation of China(National Natural Science Foundation of China (NSFC)); Chinese Projects for Investigations and Assessments of the Arctic and Antarctic (CHINARE2017-2021); Fujian science and technology innovation leader project 2016</t>
  </si>
  <si>
    <t>We wish to thank the crews of R/V Xuelong and all scientific participants on the 4th Chinese National Arctic Expedition. This work was sponsored by the National Key Research and Development Program of China (2019YFA0607003), Scientific Research Foundation of Third Institute of Oceanography, MNR (2018005, 2020017), National Natural Science Foundation of China (41406221, 41476173), the Chinese Projects for Investigations and Assessments of the Arctic and Antarctic (CHINARE2017-2021), and Fujian science and technology innovation leader project 2016. We appreciate Dr Zhong Wenli for his assistance with the response to comments about physical oceanography.</t>
  </si>
  <si>
    <t>SCIENCE PRESS</t>
  </si>
  <si>
    <t>BEIJING</t>
  </si>
  <si>
    <t>16 DONGHUANGCHENGGEN NORTH ST, BEIJING, 100717, PEOPLES R CHINA</t>
  </si>
  <si>
    <t>1674-9278</t>
  </si>
  <si>
    <t>ADV CLIM CHANG RES</t>
  </si>
  <si>
    <t>Adv. Clim. Chang. Res.</t>
  </si>
  <si>
    <t>10.1016/j.accre.2021.04.001</t>
  </si>
  <si>
    <t>Environmental Sciences; Meteorology &amp; Atmospheric Sciences</t>
  </si>
  <si>
    <t>Environmental Sciences &amp; Ecology; Meteorology &amp; Atmospheric Sciences</t>
  </si>
  <si>
    <t>UN5IS</t>
  </si>
  <si>
    <t>gold</t>
  </si>
  <si>
    <t>WOS:000694050200008</t>
  </si>
  <si>
    <t>Chown, SL</t>
  </si>
  <si>
    <t>Chown, Steven L.</t>
  </si>
  <si>
    <t>The future role of the Scientific Committee on Antarctic Research</t>
  </si>
  <si>
    <t>ANTARCTIC SCIENCE</t>
  </si>
  <si>
    <t>Editorial Material</t>
  </si>
  <si>
    <t>[Chown, Steven L.] Monash Univ, Securing Antarct Environm Future, Clayton, Vic 3800, Australia</t>
  </si>
  <si>
    <t>Monash University</t>
  </si>
  <si>
    <t>Chown, SL (corresponding author), Monash Univ, Securing Antarct Environm Future, Clayton, Vic 3800, Australia.</t>
  </si>
  <si>
    <t>Chown, Steven/ABD-7646-2021</t>
  </si>
  <si>
    <t>CAMBRIDGE UNIV PRESS</t>
  </si>
  <si>
    <t>NEW YORK</t>
  </si>
  <si>
    <t>32 AVENUE OF THE AMERICAS, NEW YORK, NY 10013-2473 USA</t>
  </si>
  <si>
    <t>0954-1020</t>
  </si>
  <si>
    <t>1365-2079</t>
  </si>
  <si>
    <t>ANTARCT SCI</t>
  </si>
  <si>
    <t>Antarct. Sci.</t>
  </si>
  <si>
    <t>PII S0954102021000353</t>
  </si>
  <si>
    <t>10.1017/S0954102021000353</t>
  </si>
  <si>
    <t>Environmental Sciences; Geography, Physical; Geosciences, Multidisciplinary</t>
  </si>
  <si>
    <t>Environmental Sciences &amp; Ecology; Physical Geography; Geology</t>
  </si>
  <si>
    <t>UK8JT</t>
  </si>
  <si>
    <t>Bronze</t>
  </si>
  <si>
    <t>WOS:000692212300003</t>
  </si>
  <si>
    <t>Levinson, PM; Schmidt, AE; Morandini, V; Elrod, M; Jongsomjit, D; Ballard, G</t>
  </si>
  <si>
    <t>Levinson, Parker M.; Schmidt, Annie E.; Morandini, Virginia; Elrod, Megan; Jongsomjit, Dennis; Ballard, Grant</t>
  </si>
  <si>
    <t>Breeding behaviour of colour-aberrant Adelie penguins (Pygoscelis adeliae) at Cape Crozier, Ross Island, Antarctica</t>
  </si>
  <si>
    <t>dark brown; dilute; ino; leucistic; progressive greying</t>
  </si>
  <si>
    <t>PLUMAGE COLOR; POLYMORPHISM; ABERRATIONS; INDICATOR; QUALITY; WHITE; BIRD</t>
  </si>
  <si>
    <t>Plumage colour variation occurs widely among bird species and is often associated with individual fitness. More specifically, colouration can affect thermoregulatory ability, mate selection and conspicuousness during foraging. Colour aberrations can be caused by genetic mutations, dietary imbalances, environmental conditions or disease and are rare. Plumage variations have previously been noted in Adelie penguins, although without any follow-up to measure implications for behaviour or fitness. To assess how this low-frequency condition affects breeding in Adelie penguins, we monitored the breeding of several colour-aberrant Adelie penguins during the 2019-2020 nesting season at the large Cape Crozier, Ross Island colony (&gt; 300,000 pairs). In total, we found 12 individuals with unusual plumage for a frequency of 1:50,000 breeding penguins. There were seven dark brown Adelie penguins, three progressive greying Adelie penguins, one dilute Adelie penguin and one brown Adelie penguin, of which five were female, three male and four of unknown sex. Six colour aberrants initiated breeding with a normal-coloured mate, and five raised at least one chick to creche. The likelihood of breeding and breeding success of colour aberrants were similar to those of normal-coloured Adelie penguins, suggesting that colour aberrations do not negatively affect breeding.</t>
  </si>
  <si>
    <t>[Levinson, Parker M.; Schmidt, Annie E.; Elrod, Megan; Jongsomjit, Dennis; Ballard, Grant] Point Blue Conservat Sci, 3820 Cypress Dr 11, Petaluma, CA 94954 USA; [Morandini, Virginia] Oregon State Univ, 104 Nash Hall, Corvallis, OR 97331 USA</t>
  </si>
  <si>
    <t>Oregon State University</t>
  </si>
  <si>
    <t>Levinson, PM (corresponding author), Point Blue Conservat Sci, 3820 Cypress Dr 11, Petaluma, CA 94954 USA.</t>
  </si>
  <si>
    <t>parkerlevinson@gmail.com</t>
  </si>
  <si>
    <t>Morandini, Virginia/E-8986-2016</t>
  </si>
  <si>
    <t>Morandini, Virginia/0000-0003-0665-5713; Levinson, Parker/0000-0003-3344-2633; Schmidt, Annie/0000-0001-6144-9950</t>
  </si>
  <si>
    <t>National Science Foundation [1543498, 1834986]</t>
  </si>
  <si>
    <t>National Science Foundation(National Science Foundation (NSF))</t>
  </si>
  <si>
    <t>We appreciate writing support from D.G. Ainley. We thank the United States Antarctic Program for logistical support while in the field. We also thank the National Science Foundation for financial support through grants 1543498 and 1834986.</t>
  </si>
  <si>
    <t>PII S0954102021000158</t>
  </si>
  <si>
    <t>10.1017/S0954102021000158</t>
  </si>
  <si>
    <t>WOS:000692212300004</t>
  </si>
  <si>
    <t>Gordillo, S; Malvé, ME</t>
  </si>
  <si>
    <t>Gordillo, Sandra; Malve, Mariano E.</t>
  </si>
  <si>
    <t>Drilling predation on Antarctic tusk shells: first records on Recent scaphopods from the Southern Hemisphere</t>
  </si>
  <si>
    <t>bottom benthic communities; drilling gastropods; durophagous predation; predator-prey interactions; Scaphopoda; South Shetland Islands</t>
  </si>
  <si>
    <t>Drillholes on shells are one of the few predation marks preserved in fossil molluscs, providing an opportunity to study and quantify predator-prey interactions in the palaeontological record. Among these, reports of drilling predation on scaphopods are rare, and such information from Antarctica is non-existent. We describe the finding of drillholes on scaphopods recovered from Recent mollusc assemblages between depths of 246.5 and 454.0 m in West Antarctica. The predation traces located in the middle sectors of two preyed shells belonging to Siphonodentalium dalli and Dentalium majorinum are identified as Oichnus and are interpreted as produced by naticids, probably Pseudamauropsis aureolutea. These new records constitute the first reports of drilling predation on scaphopods in Antarctica and also for Recent scaphopods of the Southern Hemisphere.</t>
  </si>
  <si>
    <t>[Gordillo, Sandra] Univ Nacl Cordoba, Fac Filosofia &amp; Humanidades, Museo Antropol, Cordoba, Argentina; [Gordillo, Sandra] Consejo Nacl Invest Cientif &amp; Tecnol CONICET, Inst Antropol Cordoba IDACOR, Avda Hipolito Yrigoyen 174,X5000JHO, Cordoba, Argentina; [Malve, Mariano E.] Univ Nacl Patagonia San Juan Bosco, Fac Ciencias Nat &amp; Ciencias Salud, Ruta Prov 1 S-N, RA-9000 Comodoro Rivadavia, Argentina</t>
  </si>
  <si>
    <t>National University of Cordoba; Universidad Nacional de la Patagonia San Juan Bosco</t>
  </si>
  <si>
    <t>Gordillo, S (corresponding author), Univ Nacl Cordoba, Fac Filosofia &amp; Humanidades, Museo Antropol, Cordoba, Argentina.;Gordillo, S (corresponding author), Consejo Nacl Invest Cientif &amp; Tecnol CONICET, Inst Antropol Cordoba IDACOR, Avda Hipolito Yrigoyen 174,X5000JHO, Cordoba, Argentina.</t>
  </si>
  <si>
    <t>sandra.gordillo@unc.edu.ar</t>
  </si>
  <si>
    <t>Gordillo, Sandra/0000-0002-3937-4865; Malve, Mariano/0000-0001-7797-5488</t>
  </si>
  <si>
    <t>Consejo Nacional de Investigaciones Cientificas y Tecnicas (CONICET) [PIP-114-201101-00238]; Direccion Nacional del Antartico (DNA); Instituto Antartico Argentino (IAA)</t>
  </si>
  <si>
    <t>Consejo Nacional de Investigaciones Cientificas y Tecnicas (CONICET)(Consejo Nacional de Investigaciones Cientificas y Tecnicas (CONICET)); Direccion Nacional del Antartico (DNA); Instituto Antartico Argentino (IAA)</t>
  </si>
  <si>
    <t>This research was supported by Consejo Nacional de Investigaciones Cientificas y Tecnicas (CONICET; Project- PIP-114-201101-00238 to SG), Direccion Nacional del Antartico (DNA) and Instituto Antartico Argentino (IAA).</t>
  </si>
  <si>
    <t>PII S095410202100016X</t>
  </si>
  <si>
    <t>10.1017/S095410202100016X</t>
  </si>
  <si>
    <t>WOS:000692212300005</t>
  </si>
  <si>
    <t>Guillaumot, C; Danis, B; Saucède, T</t>
  </si>
  <si>
    <t>Guillaumot, Charlene; Danis, Bruno; Saucede, Thomas</t>
  </si>
  <si>
    <t>Species distribution modelling of the Southern Ocean benthos: a review on methods, cautions and solutions</t>
  </si>
  <si>
    <t>Review</t>
  </si>
  <si>
    <t>Antarctica; biases; limits; marine benthic invertebrates; modelling performance</t>
  </si>
  <si>
    <t>ECOLOGICAL-NICHE MODELS; INCORPORATING SPATIAL AUTOCORRELATION; CLIMATE-CHANGE; SAMPLE-SIZE; PSEUDO-ABSENCES; THRESHOLD SELECTION; HABITAT SUITABILITY; OCCURRENCE RECORDS; CROSS-VALIDATION; BROAD-SCALE</t>
  </si>
  <si>
    <t>Species distribution modelling studies the relationship between species occurrence records and their environmental setting, providing a valuable approach to predicting species distribution in the Southern Ocean (SO), a challenging region to investigate due to its remoteness and extreme weather and sea conditions. The specificity of SO studies, including restricted field access and sampling, the paucity of observations and difficulties in conducting biological experiments, limit the performance of species distribution models. In this review, we discuss some issues that may influence model performance when preparing datasets and calibrating models, namely the selection and quality of environmental descriptors, the spatial and temporal biases that may affect the quality of occurrence data, the choice of modelling algorithms and the spatial scale and limits of the projection area. We stress the importance of evaluating and communicating model uncertainties, and the most common evaluation metrics are reviewed and discussed accordingly. Based on a selection of case studies on SO benthic invertebrates, we highlight important cautions to take and pitfalls to avoid when modelling the distribution of SO species, and we provide some guidelines along with potential methods and original solutions that can be used for improving model performance.</t>
  </si>
  <si>
    <t>[Guillaumot, Charlene; Danis, Bruno] Univ Libre Bruxelles, Marine Biol Lab, Ave FD Roosevelt 50,CP 160-15, B-1050 Brussels, Belgium; [Guillaumot, Charlene; Saucede, Thomas] Univ Bourgogne Franche Comte, CNRS, UMR 6282 Biogeosci, 6 Bd Gabriel, F-21000 Dijon, France</t>
  </si>
  <si>
    <t>Universite Libre de Bruxelles; Centre National de la Recherche Scientifique (CNRS); Universite de Bourgogne</t>
  </si>
  <si>
    <t>Guillaumot, C (corresponding author), Univ Libre Bruxelles, Marine Biol Lab, Ave FD Roosevelt 50,CP 160-15, B-1050 Brussels, Belgium.;Guillaumot, C (corresponding author), Univ Bourgogne Franche Comte, CNRS, UMR 6282 Biogeosci, 6 Bd Gabriel, F-21000 Dijon, France.</t>
  </si>
  <si>
    <t>charleneguillaumot21@gmail.com</t>
  </si>
  <si>
    <t>Danis, Bruno/AAS-8444-2021</t>
  </si>
  <si>
    <t>Danis, Bruno/0000-0002-9037-7623</t>
  </si>
  <si>
    <t>'Fonds pour la formation a la Recherche dans l'Industrie et l'Agriculture' (FRIA); Bourse fondation de la mer; Belgian Science Policy Office (BELSPO) [BR/132/A1/vERSO]; 'Refugia and Ecosystem Tolerance in the Southern Ocean' project (RECTO) - Belgian Science Policy Office (BELSPO) [BR/154/A1/RECTO]</t>
  </si>
  <si>
    <t>'Fonds pour la formation a la Recherche dans l'Industrie et l'Agriculture' (FRIA)(Fonds de la Recherche Scientifique - FNRS); Bourse fondation de la mer; Belgian Science Policy Office (BELSPO)(Belgian Federal Science Policy Office); 'Refugia and Ecosystem Tolerance in the Southern Ocean' project (RECTO) - Belgian Science Policy Office (BELSPO)</t>
  </si>
  <si>
    <t>This work was supported by 'Fonds pour la formation a la Recherche dans l'Industrie et l'Agriculture' (FRIA) and 'Bourse fondation de la mer' grants to C. Guillaumot. This is contribution no. 47 to the vERSO project (www.versoproject.be), funded by the Belgian Science Policy Office (BELSPO, contract noBR/132/A1/vERSO). Research was also financed by the 'Refugia and Ecosystem Tolerance in the Southern Ocean' project (RECTO; BR/154/A1/RECTO) funded by the Belgian Science Policy Office (BELSPO), this study being contribution number 24.</t>
  </si>
  <si>
    <t>PII S0954102021000183</t>
  </si>
  <si>
    <t>10.1017/S0954102021000183</t>
  </si>
  <si>
    <t>WOS:000692212300006</t>
  </si>
  <si>
    <t>Smellie, JL; Hunt, RJ; Mcintosh, WC; Esser, RP</t>
  </si>
  <si>
    <t>Smellie, John L.; Hunt, Richard J.; Mcintosh, William C.; Esser, Richard P.</t>
  </si>
  <si>
    <t>Lithostratigraphy, age and distribution of Eocene volcanic sequences on eastern King George Island, South Shetland Islands, Antarctica</t>
  </si>
  <si>
    <t>40Ar; 39Ar; Eocene ice; Herve Cove tillite; Nothofagus; palaeoenvironment</t>
  </si>
  <si>
    <t>WEST ANTARCTICA; MAGMATIC ROCKS; ADMIRALTY BAY; ISOTOPIC AGES</t>
  </si>
  <si>
    <t>New mapping and dating of volcanic outcrops on the east coast of Admiralty Bay, King George Island, has demonstrated that Eocene volcanic sequences are dominant and also crop out extensively elsewhere, particularly on the eastern part of the island. The sequences can be divided into at least three formations (Hennequin, Cape Vaureal and Carruthers Cliff) together with Eocene strata at Warkocz and near Lions Rump that are currently unassigned stratigraphically. New and recently published 40Ar/39Ar ages indicate that all of the formations are Early Eocene in age, mainly Ypresian, extending to Lutetian and possibly even Priabonian time in more easterly outcrops. Compositional contrasts exist between the groups (calc-alkaline vs tholeiitic). The formations are mainly composed of lavas, and many show evidence for contemporary inundation by water. They are interbedded with sedimentary rocks deposited mainly during flooding events as debris flows, debris avalanches, hyperconcentrated flows, from traction currents and in lakes. The common presence of juvenile volcanic detritus suggests that the sediments were probably linked to explosive hydrovolcanic eruptions, some of which were possibly rooted in summit ice caps. Other evidence is also permissive, but the presence of Eocene ice on King George Island is not well established at present.</t>
  </si>
  <si>
    <t>[Smellie, John L.] Univ Leicester, Sch Geog Geol &amp; Environm, Leicester LE1 7RH, Leics, England; [Hunt, Richard J.] Univ Leeds, Sch Earth Sci, Woodhouse Lane, Leeds LS2 9JT, W Yorkshire, England; [Mcintosh, William C.; Esser, Richard P.] New Mexico Inst Min &amp; Technol, New Mexico Bur Geol &amp; Mineral Resources, Socorro, NM 87801 USA; [Esser, Richard P.] Univ Utah, Energy &amp; Geosci Inst, Salt Lake City, UT 84108 USA</t>
  </si>
  <si>
    <t>University of Leicester; University of Leeds; New Mexico Institute of Mining Technology; Utah System of Higher Education; University of Utah</t>
  </si>
  <si>
    <t>Smellie, JL (corresponding author), Univ Leicester, Sch Geog Geol &amp; Environm, Leicester LE1 7RH, Leics, England.</t>
  </si>
  <si>
    <t>jls55@le.ac.uk</t>
  </si>
  <si>
    <t>smellie, john/0000-0001-5537-1763</t>
  </si>
  <si>
    <t>British Antarctic Survey; University of Leeds</t>
  </si>
  <si>
    <t>The authors are very grateful to the British Antarctic Survey and the University of Leeds for their support of this investigation. We are also grateful for the help of Andy Teasdale and Ash Morton during fieldwork on King George Island. Professors D.J. Cantrill and J. Francis and Dr Imogen Poole are thanked for their discussions during the palaeobotanical study, and Phil Guise is thanked for his help and guidance with the geochronology at the University of Leeds. We are very grateful to Dr M.R.A. Thomson (deceased) for the provision of information used in the map of the geology of Point Thomas. The authors also gratefully thank the captains, officers and crews of HMS Endurance for their invaluable logistical support. Mike Tabecki (British Antarctic Survey) is also thanked for making the numerous thin sections from often challenging samples that were used in this study. Drs Jerzy Nawrocki and Anna Mozer are also thanked for their careful reviews of our paper, which helped to improve it. Finally, Ieuan Hopkins and Kevin Roberts of the British Antarctic Survey Archive Service are thanked for helping with access to archived field data.</t>
  </si>
  <si>
    <t>PII S0954102021000213</t>
  </si>
  <si>
    <t>10.1017/S0954102021000213</t>
  </si>
  <si>
    <t>WOS:000692212300007</t>
  </si>
  <si>
    <t>Belcher, A; Fielding, S; Gray, A; Biermann, L; Stowasser, G; Fretwell, P; Ireland, L; Tarling, GA</t>
  </si>
  <si>
    <t>Belcher, Anna; Fielding, Sophie; Gray, Andrew; Biermann, Lauren; Stowasser, Gabriele; Fretwell, Peter; Ireland, Louise; Tarling, Geraint A.</t>
  </si>
  <si>
    <t>Experimental determination of reflectance spectra of Antarctic krill (Euphausia superba) in the Scotia Sea</t>
  </si>
  <si>
    <t>Antarctic krill; Euphausia superba; reflectance; remote sensing; South Georgia; South Orkney Islands</t>
  </si>
  <si>
    <t>REMOTE-SENSING REFLECTANCE; BEHAVIOR; BIOMASS; SUMMER; COLOR; DEPTH</t>
  </si>
  <si>
    <t>Antarctic krill are the dominant metazoan in the Southern Ocean in terms of biomass; however, their wide and patchy distribution means that estimates of their biomass are still uncertain. Most currently employed methods do not sample the upper surface layers, yet historical records indicate that large surface swarms can change the water colour. Ocean colour satellites are able to measure the surface ocean synoptically and should theoretically provide a means for detecting and measuring surface krill swarms. Before we can assess the feasibility of remote detection, more must be known about the reflectance spectra of krill. Here, we measure the reflectance spectral signature of Antarctic krill collected in situ from the Scotia Sea and compare it to that of in situ water. Using a spectroradiometer, we measure a strong absorption feature between 500 and 550 nm, which corresponds to the pigment astaxanthin, and high reflectance in the 600-700 nm range due to the krill's red colouration. We find that the spectra of seawater containing krill is significantly different from seawater only. We conclude that it is tractable to detect high-density swarms of krill remotely using platforms such as optical satellites and unmanned aerial vehicles, and further steps to carry out ground-truthing campaigns are now warranted.</t>
  </si>
  <si>
    <t>[Belcher, Anna; Fielding, Sophie; Stowasser, Gabriele; Fretwell, Peter; Ireland, Louise; Tarling, Geraint A.] British Antarctic Survey, Cambridge CB3 0ET, England; [Gray, Andrew] NERC Field Spect Facil, Edinburgh EH9 3FE, Midlothian, Scotland; [Gray, Andrew] Univ Cambridge, Dept Plant Sci, Cambridge CB3 3EA, England; [Biermann, Lauren] Plymouth Marine Lab, Plymouth PL1 3DH, Devon, England</t>
  </si>
  <si>
    <t>UK Research &amp; Innovation (UKRI); Natural Environment Research Council (NERC); NERC British Antarctic Survey; UK Research &amp; Innovation (UKRI); Natural Environment Research Council (NERC); University of Cambridge; Plymouth Marine Laboratory</t>
  </si>
  <si>
    <t>Belcher, A (corresponding author), British Antarctic Survey, Cambridge CB3 0ET, England.</t>
  </si>
  <si>
    <t>annbel@bas.ac.uk</t>
  </si>
  <si>
    <t>Fielding, Sophie/E-5137-2012</t>
  </si>
  <si>
    <t>Biermann, Lauren/0000-0002-6995-7586; Stowasser, Gabriele/0000-0002-0595-0772; Tarling, Geraint/0000-0002-3753-5899; Belcher, Anna/0000-0002-9583-5910; Ireland, Louise/0000-0003-0960-0486; Gray, Andrew/0000-0003-1145-9741</t>
  </si>
  <si>
    <t>Antarctic Science Ltd.; BAS Ecosystems programme; NERC; NERC FSF; NERC Earth Observation Data Acquisition and Analysis Service (NEODAAS)</t>
  </si>
  <si>
    <t>Antarctic Science Ltd.; BAS Ecosystems programme; NERC(UK Research &amp; Innovation (UKRI)Natural Environment Research Council (NERC)); NERC FSF; NERC Earth Observation Data Acquisition and Analysis Service (NEODAAS)</t>
  </si>
  <si>
    <t>This work was made possible by a bursary awarded to Anna Belcher from Antarctic Science Ltd. Sophie Fielding, Geraint A. Tarling, Gabriele Stowasser and Anna Belcher were supported by the BAS Ecosystems programme. Peter Fretwell and Louise Ireland were funded through NERC core funding, Andrew Gray by the NERC FSF and Lauren Biermann through the NERC Earth Observation Data Acquisition and Analysis Service (NEODAAS).</t>
  </si>
  <si>
    <t>PII S0954102021000262</t>
  </si>
  <si>
    <t>10.1017/S0954102021000262</t>
  </si>
  <si>
    <t>hybrid, Green Accepted, Green Published</t>
  </si>
  <si>
    <t>WOS:000692212300008</t>
  </si>
  <si>
    <t>Kim, Y; Lee, I; Mayer, B; Kim, G; Lee, JI; Kim, H</t>
  </si>
  <si>
    <t>Kim, Yeongmin; Lee, Insung; Mayer, Bernhard; Kim, Guebuem; Lee, Jong Ik; Kim, Hyoungbum</t>
  </si>
  <si>
    <t>Sulphur and oxygen isotope signatures of dissolved sulphate in freshwater from King George Island, Antarctic Peninsula</t>
  </si>
  <si>
    <t>DECEPTION ISLAND; O-18; GEOCHEMISTRY</t>
  </si>
  <si>
    <t>[Kim, Yeongmin] Korea Basic Sci Inst, Res Ctr Geochronol &amp; Isotope Anal, Cheongju 28119, South Korea; [Lee, Insung; Kim, Guebuem] Seoul Natl Univ, Sch Earth &amp; Environm Sci, Seoul 08826, South Korea; [Mayer, Bernhard] Univ Calgary, Dept Geosci, Calgary, AB T2N 1N4, Canada; [Lee, Jong Ik] Korea Polar Res Inst, Div Polar Earth Syst Sci, Incheon 21990, South Korea; [Kim, Hyoungbum] Chungbuk Natl Univ, Dept Earth Sci Educ, Cheongju 28644, South Korea</t>
  </si>
  <si>
    <t>Korea Basic Science Institute (KBSI); Seoul National University (SNU); University of Calgary; Korea Polar Research Institute (KOPRI); Chungbuk National University</t>
  </si>
  <si>
    <t>Kim, H (corresponding author), Chungbuk Natl Univ, Dept Earth Sci Educ, Cheongju 28644, South Korea.</t>
  </si>
  <si>
    <t>hyoungbum21@chungbuk.ac.kr</t>
  </si>
  <si>
    <t>Kim, Yeongmin/AAA-8569-2022; Mayer, Bernhard/G-6444-2012; Hyoungbum, Kim/L-6223-2013</t>
  </si>
  <si>
    <t>Hyoungbum, Kim/0000-0001-7744-9859</t>
  </si>
  <si>
    <t>Korea Basic Science Institute (KBSI) [C050200]; KOPRI [PE21050]</t>
  </si>
  <si>
    <t>Korea Basic Science Institute (KBSI); KOPRI(Korea Polar Research Institute of Marine Research Placement (KOPRI))</t>
  </si>
  <si>
    <t>This work was supported by a Korea Basic Science Institute (KBSI) grant (C050200) and the project 'PE21050' from KOPRI.</t>
  </si>
  <si>
    <t>PII S0954102021000286</t>
  </si>
  <si>
    <t>10.1017/S0954102021000286</t>
  </si>
  <si>
    <t>WOS:000692212300009</t>
  </si>
  <si>
    <t>Ekaykin, AA; Bolshunov, AV; Lipenkov, VY; Scheinert, M; Eberlein, L; Brovkov, E; Popov, SV; Turkeev, AV</t>
  </si>
  <si>
    <t>Ekaykin, Alexey A.; Bolshunov, Alexey, V; Lipenkov, Vladimir Ya; Scheinert, Mirko; Eberlein, Lutz; Brovkov, Evgeniy; Popov, Sergey, V; Turkeev, Alexey, V</t>
  </si>
  <si>
    <t>First glaciological investigations at Ridge B, central East Antarctica</t>
  </si>
  <si>
    <t>accumulation rate; chemical content; GNSS; GPR; old ice; stable water isotopes</t>
  </si>
  <si>
    <t>VOSTOK ICE-CORE; RECORD; MODEL; SNOW</t>
  </si>
  <si>
    <t>The region of Ridge B in central East Antarctica is one of the last unexplored parts of the continent and, at the same time, ranks among the most promising places to search for Earth's oldest ice. In January 2020, we carried out the first scientific traverse from Russia's Vostok Station to the topographical dome of Ridge B (Dome B, 3807 m above sea level, 79.02 degrees S, 93.69 degrees E). The glaciological programme included continuous snow-radar profiling and geodetic positioning along the traverse's route, installation of snow stakes, measurements of snow density, collection of samples for stable water isotope and chemical analyses and drilling of a 20 m firn core. The first results of the traverse show that the surface mass balance at Dome B (2.28 g cm(-2) year(-1)) is among the lowest in Antarctica. The firn temperature below the layer of annual variations is -58.1 +/- 0.2 degrees C. A very low value of heavy water stable isotope content (-58.2 parts per thousand for oxygen-18) was discovered at a distance of 170 km from Vostok Station. This work is the first step towards a comprehensive reconnaissance study of the Ridge B area aimed at locating the best site for future deep drilling for the oldest Antarctic ice.</t>
  </si>
  <si>
    <t>[Ekaykin, Alexey A.; Lipenkov, Vladimir Ya; Turkeev, Alexey, V] Arctic &amp; Antarctic Res Inst, 38 Beringa St, St Petersburg 199397, Russia; [Ekaykin, Alexey A.; Popov, Sergey, V] St Petersburg State Univ, Inst Earth Sci, 31-33 10 Ya Liniya VO, St Petersburg 199178, Russia; [Bolshunov, Alexey, V] St Petersburg Min Univ, 2 21 Ya Liniya VO, St Petersburg 199106, Russia; [Scheinert, Mirko; Eberlein, Lutz] Tech Univ Dresden, Inst Planetare Geodasie, Helmholtzstr 10, D-01069 Dresden, Germany; [Brovkov, Evgeniy] Aerogeodeziya, 8 Buharestskara St, St Petersburg 192102, Russia; [Popov, Sergey, V] Polar Marine Geosurvey Expedit, 24 Pobedy St, St Petersburg 198412, Lomonosov, Russia</t>
  </si>
  <si>
    <t>Arctic &amp; Antarctic Research Institute; Saint Petersburg State University; Saint Petersburg Mining University; Technische Universitat Dresden</t>
  </si>
  <si>
    <t>Ekaykin, AA (corresponding author), Arctic &amp; Antarctic Res Inst, 38 Beringa St, St Petersburg 199397, Russia.;Ekaykin, AA (corresponding author), St Petersburg State Univ, Inst Earth Sci, 31-33 10 Ya Liniya VO, St Petersburg 199178, Russia.</t>
  </si>
  <si>
    <t>ekaykin@aari.ru</t>
  </si>
  <si>
    <t>Popov, Sergey/IYJ-2371-2023; Popov, Sergey V./I-2319-2013; Ekaykin, Alexey/K-9894-2015</t>
  </si>
  <si>
    <t>Popov, Sergey/0000-0002-1830-8658; Popov, Sergey V./0000-0002-1830-8658; Ekaykin, Alexey/0000-0001-9819-2802; Scheinert, Mirko/0000-0002-0892-8941</t>
  </si>
  <si>
    <t>Russian Science Foundation [18-17-00110]; RFBR [17-55-12003 NNIO]; DFG (German Research Foundation) [SCHE 1426/20-1]; Russian Science Foundation [18-17-00110] Funding Source: Russian Science Foundation</t>
  </si>
  <si>
    <t>Russian Science Foundation(Russian Science Foundation (RSF)); RFBR(Russian Foundation for Basic Research (RFBR)); DFG (German Research Foundation)(German Research Foundation (DFG)); Russian Science Foundation(Russian Science Foundation (RSF))</t>
  </si>
  <si>
    <t>This research was conducted with the financial support of the Russian Science Foundation, grant 18-17-00110. The GPR measurements were carried out with the support of RFBR grant 17-55-12003 NNIO. The GNSS measurements were carried out with support from the DFG (German Research Foundation) project SCHE 1426/20-1, which was granted as part of the DFG priority programme 1158 'Antarctic Research'.</t>
  </si>
  <si>
    <t>PII S0954102021000171</t>
  </si>
  <si>
    <t>10.1017/S0954102021000171</t>
  </si>
  <si>
    <t>WOS:000692212300010</t>
  </si>
  <si>
    <t>Small, D; Bentley, MJ; Evans, DJA; Hein, AS; Freeman, SPHT</t>
  </si>
  <si>
    <t>Small, David; Bentley, Michael J.; Evans, David J. A.; Hein, Andrew S.; Freeman, Stewart P. H. T.</t>
  </si>
  <si>
    <t>Ice-free valleys in the Neptune Range of the Pensacola Mountains, Antarctica: glacial geomorphology, geochronology and potential as palaeoenvironmental archives</t>
  </si>
  <si>
    <t>cold-based glaciation; cosmogenic nuclide dating; glacial geomorphology; ice-sheet evolution; Weddell Sea</t>
  </si>
  <si>
    <t>SOUTHERN VICTORIA LAND; SURFACE MASS-BALANCE; DRY VALLEYS; TRANSANTARCTIC MOUNTAINS; CLIMATE-CHANGE; MORAINES; RATES; PENINSULA; FEATURES; REMNANT</t>
  </si>
  <si>
    <t>We describe the glacial geomorphology and initial geochronology of two ice-free valley systems within the Neptune Range of the Pensacola Mountains, Antarctica. These valleys are characterized by landforms associated with formerly more expanded ice sheet(s) that were at least 200 m thicker than at present. The most conspicuous features are areas of supraglacial debris, discrete debris accumulations separated from modern-day ice and curvilinear ridges and mounds. The landsystem bears similarities to debris-rich cold-based glacial landsystems described elsewhere in Antarctica and the Arctic where buried ice is prevalent. Geochronological data demonstrate multiple phases of ice expansion. The oldest, occurring &gt; 3 Ma, overtopped much of the landscape. Subsequent, less expansive advances into the valleys occurred &gt; 2 Ma and &gt; similar to 1 Ma. An expansion of some local glaciers occurred &lt; 250 ka. This sequence of glacial stages is similar to that described from the northernmost massif of the Pensacola Mountains (Dufek Massif), suggesting that it represents a regional signal of ice-sheet evolution over the Plio-Pleistocene. The geomorphological record and its evolution over millions of years makes the Neptune Range valleys an area worthy of future research and we highlight potential avenues for this.</t>
  </si>
  <si>
    <t>[Small, David; Bentley, Michael J.; Evans, David J. A.] Univ Durham, Dept Geog, Durham DH1 3LE, England; [Hein, Andrew S.] Univ Edinburgh, Sch Geosci, Edinburgh EH8 9XP, Midlothian, Scotland; [Freeman, Stewart P. H. T.] Scottish Univ Environm Res Ctr, E Kilbride G75 0QF, Lanark, Scotland</t>
  </si>
  <si>
    <t>Durham University; University of Edinburgh; Scottish Universities Research &amp; Reactor Center</t>
  </si>
  <si>
    <t>Small, D (corresponding author), Univ Durham, Dept Geog, Durham DH1 3LE, England.</t>
  </si>
  <si>
    <t>david.p.small@durham.ac.uk</t>
  </si>
  <si>
    <t>Hein, Andrew/JWO-3756-2024; Bentley, Michael/F-7386-2011</t>
  </si>
  <si>
    <t>Bentley, Michael/0000-0002-2048-0019; Small, David/0000-0001-8381-2060; Hein, Andrew/0000-0003-3397-3813</t>
  </si>
  <si>
    <t>NERC [NE/F014260/1, NE/F014252/1, NE/F014228/1]; NERC Independent Research Fellowship [NE/T011963/1]; NERC [NE/T011963/1, NE/J008176/1, NE/F014260/1] Funding Source: UKRI</t>
  </si>
  <si>
    <t>NERC(UK Research &amp; Innovation (UKRI)Natural Environment Research Council (NERC)); NERC Independent Research Fellowship(UK Research &amp; Innovation (UKRI)Natural Environment Research Council (NERC)); NERC(UK Research &amp; Innovation (UKRI)Natural Environment Research Council (NERC))</t>
  </si>
  <si>
    <t>The work reported here forms part of NERC grants NE/F014260/1, NE/F014252/1 and NE/F014228/1 to MJB. DS is supported by a NERC Independent Research Fellowship NE/T011963/1.</t>
  </si>
  <si>
    <t>PII S0954102021000237</t>
  </si>
  <si>
    <t>10.1017/S0954102021000237</t>
  </si>
  <si>
    <t>WOS:000692212300011</t>
  </si>
  <si>
    <t>Hinke, JT; Russell, TM; Hermanson, VR; Brazier, L; Walden, SL</t>
  </si>
  <si>
    <t>Hinke, Jefferson T.; Russell, Tamara M.; Hermanson, Victoria R.; Brazier, Laura; Walden, Stephanie L.</t>
  </si>
  <si>
    <t>Serendipitous observations from animal-borne video loggers reveal synchronous diving and equivalent simultaneous prey capture rates in chinstrap penguins</t>
  </si>
  <si>
    <t>MARINE BIOLOGY</t>
  </si>
  <si>
    <t>KRILL EUPHAUSIA-SUPERBA; FORAGING BEHAVIOR; ADELIE; ACCELEROMETERS; ISLANDS; GENTOO; FISH; SIZE</t>
  </si>
  <si>
    <t>Seabirds often engage in coordinated, cooperative foraging to improve detection and capture of prey. An extreme example of such coordinated behavior is synchronicity, whereby the movements of individuals are aligned temporally and spatially. Synchronous diving among penguins has been reported, but simultaneous observations of predation by synchronously diving individuals have not. We instrumented chinstrap penguins (Pygoscelis antarcticus) during their incubation period in December 2019 from Cape Shirreff, Livingston Island, Antarctica (60.79 degrees W, 62.46 degrees S) with video and depth recorders to monitor predator foraging behavior and prey consumption rates. Serendipitously, two instrumented individuals, accompanied by a third, banded individual, engaged in synchronous foraging activities on Antarctic krill (Euphausia superba) for 9.25 h. This group formed ashore, transited together to their foraging area, remained in close visual contact after dives, synchronously timed diving behavior, and foraged at similar depths. Prey capture rates were positively correlated across dives and total consumption estimates were equivalent for the two instrumented birds during the video observation period. Video loggers confirmed that synchronous diving and foraging behavior are among the behavioral repertoire of chinstrap penguins and demonstrated equivalent prey capture rates by synchronously foraging predators. The results further suggest that group formation while ashore and group cohesion during a foraging trip may facilitate shared foraging success among group members.</t>
  </si>
  <si>
    <t>[Hinke, Jefferson T.; Hermanson, Victoria R.] NOAA, Antarctic Ecosyst Res Div, Southwest Fisheries Sci Ctr, Natl Marine Fisheries Serv, La Jolla, CA 92037 USA; [Russell, Tamara M.] Univ Calif San Diego, Scripps Inst Oceanog, La Jolla, CA 92093 USA; [Brazier, Laura; Walden, Stephanie L.] Ocean Associates Inc, Arlington, VA USA</t>
  </si>
  <si>
    <t>National Oceanic Atmospheric Admin (NOAA) - USA; University of California System; University of California San Diego; Scripps Institution of Oceanography</t>
  </si>
  <si>
    <t>Hinke, JT (corresponding author), NOAA, Antarctic Ecosyst Res Div, Southwest Fisheries Sci Ctr, Natl Marine Fisheries Serv, La Jolla, CA 92037 USA.</t>
  </si>
  <si>
    <t>Jefferson.Hinke@noaa.gov</t>
  </si>
  <si>
    <t>Hermanson, Victoria/0000-0001-9834-1003; Hinke, Jefferson/0000-0002-3600-1414</t>
  </si>
  <si>
    <t>SPRINGER HEIDELBERG</t>
  </si>
  <si>
    <t>HEIDELBERG</t>
  </si>
  <si>
    <t>TIERGARTENSTRASSE 17, D-69121 HEIDELBERG, GERMANY</t>
  </si>
  <si>
    <t>0025-3162</t>
  </si>
  <si>
    <t>1432-1793</t>
  </si>
  <si>
    <t>MAR BIOL</t>
  </si>
  <si>
    <t>Mar. Biol.</t>
  </si>
  <si>
    <t>10.1007/s00227-021-03937-5</t>
  </si>
  <si>
    <t>Marine &amp; Freshwater Biology</t>
  </si>
  <si>
    <t>UJ8ZM</t>
  </si>
  <si>
    <t>WOS:000691567800011</t>
  </si>
  <si>
    <t>Mathew, GM; Huang, CC; Sindhu, R; Binod, P; Sirohi, R; Awsathi, MK; Pillai, S; Pandey, A</t>
  </si>
  <si>
    <t>Mathew, Gincy Marina; Huang, Chieh Chen; Sindhu, Raveendran; Binod, Parameswaran; Sirohi, Ranjna; Awsathi, Mukesh Kumar; Pillai, Santhosh; Pandey, Ashok</t>
  </si>
  <si>
    <t>Enzymatic approaches in the bioprocessing of shellfish wastes</t>
  </si>
  <si>
    <t>3 BIOTECH</t>
  </si>
  <si>
    <t>Deproteination; Proteases; Chitin; Shellfish waste</t>
  </si>
  <si>
    <t>DIGESTIVE ALKALINE PROTEASES; LACTIC-ACID FERMENTATION; ACETYL-D-GLUCOSAMINE; SHRIMP-SHELL; CHITIN EXTRACTION; CRAB SHELL; PROTEIN HYDROLYSATE; BACILLUS-SUBTILIS; CHITOSAN PREPARATION; ASSISTED EXTRACTION</t>
  </si>
  <si>
    <t>Several tonnes of shellfish wastes are generated globally due to the mass consumption of shellfish meat from crustaceans like prawn, shrimp, lobster, crab, Antarctic krill, etc. These shellfish wastes are a reservoir of valuable by-products like chitin, protein, calcium carbonate, and pigments. In the present scenario, these wastes are treated chemically to recover chitin by the chitin and chitosan industries, using hazardous chemicals like HCl and NaOH. Although this process is efficient in removing proteins and minerals, the unscientific dumping of harmful effluents is hazardous to the ecosystem. Stringent environmental laws and regulations on waste disposal have encouraged researchers to look for alternate strategies to produce near-zero wastes on shellfish degradation. The role of enzymes in degrading shellfish wastes is advantageous yet has not been explored much, although it produces bioactive rich protein hydrolysates with good quality chitin. The main objective of the review is to discuss the potential of various enzymes involved in shellfish degradation and their opportunities and challenges over chemical processes in chitin recovery.</t>
  </si>
  <si>
    <t>[Mathew, Gincy Marina; Sindhu, Raveendran; Binod, Parameswaran] CSIR, NIIST, Natl Inst Interdisciplinary Sci &amp; Technol, Microbial Proc &amp; Technol Div, Trivandrum 695019, Kerala, India; [Huang, Chieh Chen] Natl Chung Hsing Univ, Dept Life Sci, 145 Xingda Rd, Taichung 402, Taiwan; [Sirohi, Ranjna] Korea Univ, Dept Chem &amp; Biol Engn, Seoul 136713, South Korea; [Awsathi, Mukesh Kumar] Northwest A&amp;F Univ, Coll Nat Resources &amp; Environm, Yangling 712100, Shaanxi, Peoples R China; [Pillai, Santhosh] Durban Univ Technol, Dept Biotechnol &amp; Food Sci, ZA-4000 Durban, South Africa; [Pandey, Ashok] CSIR, IITR, Indian Inst Toxicol Res, Ctr Innovat &amp; Translat Res, 31 MG Marg, Lucknow 226001, Uttar Pradesh, India</t>
  </si>
  <si>
    <t>Council of Scientific &amp; Industrial Research (CSIR) - India; CSIR - National Institute Interdisciplinary Science &amp; Technology (NIIST); National Chung Hsing University; Korea University; Northwest A&amp;F University - China; Durban University of Technology; Council of Scientific &amp; Industrial Research (CSIR) - India; CSIR - Indian Institute of Toxicology Research (IITR)</t>
  </si>
  <si>
    <t>Sindhu, R (corresponding author), CSIR, NIIST, Natl Inst Interdisciplinary Sci &amp; Technol, Microbial Proc &amp; Technol Div, Trivandrum 695019, Kerala, India.</t>
  </si>
  <si>
    <t>sindhurgcb@gmail.com</t>
  </si>
  <si>
    <t>Pandey, Ashok/JBR-8714-2023; Pandey, Ashok/AAC-6340-2019; Pillai, Santhosh/D-3802-2018; Binod, P/ADJ-7060-2022; RAVEENDRAN, SINDHU/JXL-5174-2024; Huang, Chieh Chen/GMX-4191-2022</t>
  </si>
  <si>
    <t>Pandey, Ashok/0000-0003-1626-3529; Pandey, Ashok/0000-0003-1626-3529; Pillai, Santhosh/0000-0003-3474-1555; Binod, P/0000-0003-4191-8048; Huang, Chieh Chen/0000-0002-3739-6315; RAVEENDRAN, SINDHU/0000-0002-7368-3792</t>
  </si>
  <si>
    <t>Kerala State Council for Science, Technology and Environment</t>
  </si>
  <si>
    <t>Gincy Marina Mathew thanks the Kerala State Council for Science, Technology and Environment for the financial support under the Back -To -Lab Post Doctoral Fellowship. Raveendran Sindhu acknowledges the Department of Science and Technology for sanctioning a project under the DST WOS-B scheme.</t>
  </si>
  <si>
    <t>2190-572X</t>
  </si>
  <si>
    <t>2190-5738</t>
  </si>
  <si>
    <t>3 Biotech</t>
  </si>
  <si>
    <t>10.1007/s13205-021-02912-7</t>
  </si>
  <si>
    <t>Biotechnology &amp; Applied Microbiology</t>
  </si>
  <si>
    <t>UK2WS</t>
  </si>
  <si>
    <t>WOS:000691835900001</t>
  </si>
  <si>
    <t>Di Roberto, A; Scateni, B; Di Vincenzo, G; Petrelli, M; Fisauli, G; Barker, SJ; Del Carlo, P; Colleoni, F; Kulhanek, DK; McKay, R; De Santis, L</t>
  </si>
  <si>
    <t>Di Roberto, A.; Scateni, B.; Di Vincenzo, G.; Petrelli, M.; Fisauli, G.; Barker, S. J.; Del Carlo, P.; Colleoni, F.; Kulhanek, D. K.; McKay, R.; De Santis, L.</t>
  </si>
  <si>
    <t>IODP Expedition 374 Sci Party</t>
  </si>
  <si>
    <t>Tephrochronology and Provenance of an Early Pleistocene (Calabrian) Tephra From IODP Expedition 374 Site U1524, Ross Sea (Antarctica)</t>
  </si>
  <si>
    <t>GEOCHEMISTRY GEOPHYSICS GEOSYSTEMS</t>
  </si>
  <si>
    <t>Antarctica; Expedition 374IODP; marine tephra; Ross Sea; tephrochronology</t>
  </si>
  <si>
    <t>MARIE-BYRD-LAND; NORTHERN VICTORIA-LAND; MCMURDO-VOLCANIC-GROUP; WEST ANTARCTICA; GLACIAL HISTORY; LASER-ABLATION; EXCESS ARGON; ICE-SHEET; EVOLUTION; ISLAND</t>
  </si>
  <si>
    <t>We present a full characterization of a 20 cm-thick tephra layer found intercalated in the marine sediments recovered at Site U1524 during International Ocean Discovery Program (IODP) Expedition 374, in the Ross Sea, Antarctica. Tephra bedforms, mineral paragenesis, and major- and trace-element composition on individual glass shards were investigated and the tephra age was constrained by 40Ar-39Ar on sanidine crystals. The 40Ar-39Ar data indicate that sanidine grains are variably contaminated by excess Ar, with the best age estimate of 1.282 +/- 0.012 Ma, based on both single-grain total fusion analyses and step-heating experiments on multi-grain aliquots. The tephra is characterized by a very homogeneous rhyolitic composition and a peculiar mineral assemblage, dominated by sanidine, quartz, and minor aenigmatite and arfvedsonite-riebeckite amphiboles. The tephra from Site U1524 compositionally matches with a ca. 1.3 Ma, rhyolitic pumice fall deposit on the rim of the Chang Peak volcano summit caldera, in the Marie Byrd Land, located ca. 1,300 km from Site U1524. This contribution offers important volcanological data on the eruptive history of Chang Peak volcano and adds a new tephrochronologic marker for the dating, correlation, and synchronization of marine and continental early Pleistocene records of West Antarctica.</t>
  </si>
  <si>
    <t>[Di Roberto, A.; Scateni, B.; Del Carlo, P.] Ist Nazl Geofis &amp; Vulcanol INGV, Sez Pisa, Pisa, Italy; [Di Vincenzo, G.] Consiglio Nazl Ric IGG CNR, Ist Geosci &amp; Georisorse, Pisa, Italy; [Petrelli, M.; Fisauli, G.] Univ Perugia, Dipartimento Fis &amp; Geol, Perugia, Italy; [Barker, S. J.] Victoria Univ Wellington, Sch Geog Environm &amp; Earth Sci, Wellington, New Zealand; [Colleoni, F.; De Santis, L.] Natl Inst Oceanog &amp; Appl Geophys OGS, Trieste, Italy; [Kulhanek, D. K.] Texas A&amp;M Univ, Int Ocean Discovery Program, College Stn, TX USA; [McKay, R.] Victoria Univ Wellington, Antarctic Res Ctr, Wellington, New Zealand</t>
  </si>
  <si>
    <t>Consiglio Nazionale delle Ricerche (CNR); Istituto di Geoscienze e Georisorse (IGG-CNR); University of Perugia; Victoria University Wellington; Istituto Nazionale di Oceanografia e di Geofisica Sperimentale; Texas A&amp;M University System; Texas A&amp;M University College Station; Victoria University Wellington</t>
  </si>
  <si>
    <t>Di Roberto, A (corresponding author), Ist Nazl Geofis &amp; Vulcanol INGV, Sez Pisa, Pisa, Italy.</t>
  </si>
  <si>
    <t>alessio.diroberto@ingv.it</t>
  </si>
  <si>
    <t>Di Roberto, Alessio/AAH-1595-2019; Petrelli, Maurizio/L-6858-2015; Colleoni, Florence/JMQ-7847-2023; Kim, Sunghan/CAG-2289-2022</t>
  </si>
  <si>
    <t>Di Roberto, Alessio/0000-0003-1167-8290; Petrelli, Maurizio/0000-0001-6956-4742; Colleoni, Florence/0000-0003-4582-812X; DI VINCENZO, GIANFRANCO/0000-0002-9669-9789; McKay, Robert/0000-0002-5602-6985; Del Carlo, Paola/0000-0001-5506-4579; Barker, Simon/0000-0002-3090-1403; Scateni, Bianca/0000-0003-3592-6113; Kulhanek, Denise/0000-0002-2156-6383; Beny, Francois/0000-0002-2322-4299</t>
  </si>
  <si>
    <t>Italian Programma Nazionale di Ricerche in Antartide (PNRA) [2016/A3 00055]; IODP JOIDES Resolution Science Operator; US National Science Foundation [1326927]; Royal Society Te Aparangi NZ Marsden Fund [18-VUW-089]; Consiglio Nazionale delle Ricerche (CNR); SCAR Expert Group, AntVolc; [PNRA18_00002]; [PNRA16_00016]; NERC [NE/T012285/1] Funding Source: UKRI; Division Of Ocean Sciences; Directorate For Geosciences [1326927] Funding Source: National Science Foundation</t>
  </si>
  <si>
    <t>Italian Programma Nazionale di Ricerche in Antartide (PNRA); IODP JOIDES Resolution Science Operator; US National Science Foundation(National Science Foundation (NSF)); Royal Society Te Aparangi NZ Marsden Fund(Royal Society of New Zealand); Consiglio Nazionale delle Ricerche (CNR)(Consiglio Nazionale delle Ricerche (CNR)); SCAR Expert Group, AntVolc; ; ; NERC(UK Research &amp; Innovation (UKRI)Natural Environment Research Council (NERC)); Division Of Ocean Sciences; Directorate For Geosciences(National Science Foundation (NSF)NSF - Directorate for Geosciences (GEO))</t>
  </si>
  <si>
    <t>The authors would like to thank the two reviewers S.C. Kuehn and M. Jutzeler for very helpful suggestions and improvements of the manuscript. Christine Smith Siddoway and John Smellie are greatly acknowledged for their helpful comments and the discussion about the tephra provenance. This research used data and samples provided by the International Ocean Discovery Program (IODP). ADR and BS were funded by Italian Programma Nazionale di Ricerche in Antartide (PNRA), 2016/A3 00055 project, FC by PNRA18_00002 and LD by PNRA16_00016 project. DK was supported by the IODP JOIDES Resolution Science Operator and US National Science Foundation (Grant 1326927). RM was funded by the Royal Society Te Aparangi NZ Marsden Fund (Grant 18-VUW-089). The Ar laser probe facility was realized with the financial support of Consiglio Nazionale delle Ricerche (CNR). This paper is sponsored by the SCAR Expert Group, AntVolc.</t>
  </si>
  <si>
    <t>AMER GEOPHYSICAL UNION</t>
  </si>
  <si>
    <t>WASHINGTON</t>
  </si>
  <si>
    <t>2000 FLORIDA AVE NW, WASHINGTON, DC 20009 USA</t>
  </si>
  <si>
    <t>1525-2027</t>
  </si>
  <si>
    <t>GEOCHEM GEOPHY GEOSY</t>
  </si>
  <si>
    <t>Geochem. Geophys. Geosyst.</t>
  </si>
  <si>
    <t>e2021GC009739</t>
  </si>
  <si>
    <t>10.1029/2021GC009739</t>
  </si>
  <si>
    <t>UJ0YM</t>
  </si>
  <si>
    <t>WOS:000691021600010</t>
  </si>
  <si>
    <t>Rohde, EE; Hayes, CT; Redmond, N; Glasscock, SK</t>
  </si>
  <si>
    <t>Rohde, E. E.; Hayes, C. T.; Redmond, N.; Glasscock, S. K.</t>
  </si>
  <si>
    <t>Southern Ocean Oxygenation Changes Inferred From Redox-Sensitive Trace Metals Across Marine Isotope Stage 11</t>
  </si>
  <si>
    <t>ocean circulation; interglacial; manganese; Antarctic Bottom Water; rhenium</t>
  </si>
  <si>
    <t>AUTHIGENIC URANIUM; BIOGENIC OPAL; ICE; SEDIMENTS; ATLANTIC; GEOCHEMISTRY; PRODUCTIVITY; WATERS; ENRICHMENTS; CHEMISTRY</t>
  </si>
  <si>
    <t>Changes in the circulation of the Southern Ocean are known to have impacted global nutrient, heat, and carbon cycles during the glacial and interglacial periods of the late Pleistocene. Proxy-based records of these changes deserve continued scrutiny as the implications may be important for constraining future change. A record of authigenic uranium from the South Atlantic has been used to infer changes in deep-sea oxygenation and organic matter export over the past 0.5 million years. Since sedimentary uranium has the possible complication of remobilization, it is prudent to investigate the behavior of other redox-sensitive trace metals to confidently interpret temporal changes in oxygenation. Focusing here on the exceptionally long interglacial warm period, Marine Isotope Stage (MIS) 11, we found concurrent authigenic enrichments of uranium (U) and rhenium (Re) throughout MIS 12 to 10, overall supporting prior interpretations of low-oxygen periods. However, there are differential responses of Re and U to oxygen changes and some evidence of small-scale Re remobilization, which may involve differences in molecular-level reduction mechanisms. Peaks in authigenic manganese (Mn) intervening with peaks in Re and U indicate increases in porewater oxygenation which likely relate to increased Antarctic Bottom Water circulation at the onset of MIS11c and during the peak warmth of the interglacial around 400 ka.</t>
  </si>
  <si>
    <t>[Rohde, E. E.; Hayes, C. T.; Redmond, N.; Glasscock, S. K.] Univ Southern Mississippi, Sch Ocean Sci &amp; Engn, Stennis Space Ctr, MS 39556 USA</t>
  </si>
  <si>
    <t>University of Southern Mississippi</t>
  </si>
  <si>
    <t>Hayes, CT (corresponding author), Univ Southern Mississippi, Sch Ocean Sci &amp; Engn, Stennis Space Ctr, MS 39556 USA.</t>
  </si>
  <si>
    <t>christopher.t.hayes@usm.edu</t>
  </si>
  <si>
    <t>; Hayes, Christopher/P-3145-2016</t>
  </si>
  <si>
    <t>Redmond, Neil/0000-0001-9810-469X; Hayes, Christopher/0000-0002-5636-2989</t>
  </si>
  <si>
    <t>U.S. National Science Foundation [1658445]; University of Southern Mississippi Eagle Scholars Program for Undergraduate Research; Directorate For Geosciences; Division Of Ocean Sciences [1658445] Funding Source: National Science Foundation</t>
  </si>
  <si>
    <t>U.S. National Science Foundation(National Science Foundation (NSF)); University of Southern Mississippi Eagle Scholars Program for Undergraduate Research; Directorate For Geosciences; Division Of Ocean Sciences(National Science Foundation (NSF)NSF - Directorate for Geosciences (GEO))</t>
  </si>
  <si>
    <t>This research was supported by the U.S. National Science Foundation (award 1658445) and the University of Southern Mississippi Eagle Scholars Program for Undergraduate Research. Melissa Gilbert is thanked for assistance with ICP-MS analysis. ODP samples used here were provided by the Bremen Core Repository.</t>
  </si>
  <si>
    <t>e2021GC009921</t>
  </si>
  <si>
    <t>10.1029/2021GC009921</t>
  </si>
  <si>
    <t>WOS:000691021600025</t>
  </si>
  <si>
    <t>Way, MJ; Davies, HS; Duarte, JC; Green, JAM</t>
  </si>
  <si>
    <t>Way, M. J.; Davies, H. S.; Duarte, J. C.; Green, J. A. M.</t>
  </si>
  <si>
    <t>The Climates of Earth's Next Supercontinent: Effects of Tectonics, Rotation Rate, and Insolation</t>
  </si>
  <si>
    <t>PERMIAN CLIMATE; EVOLUTION; FUTURE; SIMULATIONS; SCENARIOS; BACK; FLOW</t>
  </si>
  <si>
    <t>We explore two possible Earth climate scenarios, 200 and 250 million years into the future, using projections of the evolution of plate tectonics, solar luminosity, and rotation rate. In one scenario, a supercontinent forms at low latitudes, whereas in the other it forms at high northern latitudes with an Antarctic subcontinent remaining at the south pole. The climates between these two end points are quite stark, with differences in mean surface temperatures approaching several degrees. The main factor in these differences is related to the topographic height of the high latitude supercontinents where higher elevations promote snowfall and subsequent higher planetary albedos. These results demonstrate the need to consider multiple boundary conditions when simulating Earth-like exoplanetary climates. Plain Language Summary We investigate two tantalizing Earth climate scenarios 200 and 250 million years into the future. We show the role played by plate tectonics, the sun's increase in brightness, and a slightly slower rotation rate in these future climate scenarios. In one case the present day continents form into a single land-mass near the equator, and in the other case Antarctica stays put, but the rest of the present day continents are mostly pushed well north of the equator. The difference in the mean surface temperatures of these two cases differ by several degrees Celsius, while also being distinct in the total surface area in which they maintain temperatures allowing liquid water to exist year round.</t>
  </si>
  <si>
    <t>[Way, M. J.] NASA, Goddard Inst Space Studies, New York, NY 10025 USA; [Way, M. J.] Goddard Space Flight Ctr Sellers Exoplanet Enviro, New York, NY 10025 USA; [Way, M. J.] Uppsala Univ, Dept Phys &amp; Astron, Theoret Astrophys, Uppsala, Sweden; [Davies, H. S.; Duarte, J. C.] Univ Lisbon, Inst Dom Luiz IDL, Fac Ciencias, Lisbon, Portugal; [Davies, H. S.; Duarte, J. C.] Univ Lisbon, Dept Geol, Fac Ciencias, Lisbon, Portugal; [Duarte, J. C.] Monash Univ, Sch Earth Atmosphere &amp; Environm, Melbourne, Vic, Australia; [Green, J. A. M.] Bangor Univ, Sch Ocean Sci, Menai Bridge, Gwynedd, Wales</t>
  </si>
  <si>
    <t>National Aeronautics &amp; Space Administration (NASA); NASA Goddard Space Flight Center; Goddard Institute for Space Studies; Uppsala University; Universidade de Lisboa; Universidade de Lisboa; Melbourne Genomics Health Alliance; Monash University; Bangor University</t>
  </si>
  <si>
    <t>Way, MJ (corresponding author), NASA, Goddard Inst Space Studies, New York, NY 10025 USA.;Way, MJ (corresponding author), Goddard Space Flight Ctr Sellers Exoplanet Enviro, New York, NY 10025 USA.;Way, MJ (corresponding author), Uppsala Univ, Dept Phys &amp; Astron, Theoret Astrophys, Uppsala, Sweden.</t>
  </si>
  <si>
    <t>michael.way@nasa.gov</t>
  </si>
  <si>
    <t>Davies, Hannah Sophia/AAX-3708-2021; Way, Michael/P-5815-2019; Duarte, Joao/J-8695-2012</t>
  </si>
  <si>
    <t>Davies, Hannah Sophia/0000-0002-8216-8389; Way, Michael/0000-0003-3728-0475; Duarte, Joao/0000-0001-7505-3690; Green, Mattias/0000-0001-5090-1040</t>
  </si>
  <si>
    <t>NASA's Nexus for Exoplanet System Science (NExSS); NASA High-End Computing (HEC) Program through NASA Center for Climate Simulation (NCCS); GSFC Sellers Exoplanet Environments Collaboration (SEEC); NASA; FCT [UID/GEO/50019/2021, PD/BD/135068/2017, IF/00702/2015, UID/GEO/50019/2021-IDL]; NERC [NE/S009566/1]; Fundação para a Ciência e a Tecnologia [PD/BD/135068/2017] Funding Source: FCT</t>
  </si>
  <si>
    <t>NASA's Nexus for Exoplanet System Science (NExSS); NASA High-End Computing (HEC) Program through NASA Center for Climate Simulation (NCCS); GSFC Sellers Exoplanet Environments Collaboration (SEEC); NASA(National Aeronautics &amp; Space Administration (NASA)); FCT(Fundacao para a Ciencia e a Tecnologia (FCT)); NERC(UK Research &amp; Innovation (UKRI)Natural Environment Research Council (NERC)); Fundação para a Ciência e a Tecnologia(Fundacao para a Ciencia e a Tecnologia (FCT))</t>
  </si>
  <si>
    <t>Thanks goes to Jeffrey Jonas, Linda Sohl and Chris Colose at The Goddard Institute for Space Studies for their help with the map overlays in Figure 2 and useful discussions. This work was supported by NASA's Nexus for Exoplanet System Science (NExSS). Resources supporting this work were provided by the NASA High-End Computing (HEC) Program through the NASA Center for Climate Simulation (NCCS) at Goddard Space Flight Center. MJW acknowledges support from the GSFC Sellers Exoplanet Environments Collaboration (SEEC), which is funded by the NASA Planetary Science Division's Internal Scientist Funding Model. HSD acknowledges funding from FCT (ref. UID/GEO/50019/2021Instituto Dom Luiz; FCT PhD grant ref. PD/BD/135068/2017). JCD acknowledges an FCT Researcher contract, an exploratory project grant ref. IF/00702/2015, and the FCT project UID/GEO/50019/2021-IDL. JAMG acknowledges funding from NERC, grant NE/S009566/1 (MATCH).</t>
  </si>
  <si>
    <t>e2021GC009983</t>
  </si>
  <si>
    <t>10.1029/2021GC009983</t>
  </si>
  <si>
    <t>Green Submitted, Bronze</t>
  </si>
  <si>
    <t>WOS:000691021600022</t>
  </si>
  <si>
    <t>Pertossi, RM; Penchazadeh, PE; Martinez, MI</t>
  </si>
  <si>
    <t>Pertossi, Renata M.; Penchazadeh, Pablo E.; Martinez, Mariano, I</t>
  </si>
  <si>
    <t>Brooding comatulids from the southwestern Atlantic, Argentina (Echinodermata: Crinoidea)</t>
  </si>
  <si>
    <t>MARINE BIODIVERSITY</t>
  </si>
  <si>
    <t>Crinoids; Isometravivipara; Phrixometra nutrix; Marsupium; Southern Ocean; MACN</t>
  </si>
  <si>
    <t>TIERRA-DEL-FUEGO; DEEP-SEA; FEATHER STAR; FLOROMETRA-SERRATISSIMA; REPRODUCTIVE-BIOLOGY; LIFE-CYCLE; ASTEROIDEA; SPERM; SPERMATOZOA; URCHIN</t>
  </si>
  <si>
    <t>Isometra vivipara and Phrixometra nutrix are two brooding feather stars (order Comatulida) that are widely distributed along the southern tip of South America to the Antarctic. We examined 210 specimens of I. vivipara and 38 specimens of P.nutrix collected during five cruises in the southwestern Atlantic between 91 and 642 m depth. Specimens were analyzed and deposited in the National Invertebrate collection, Museo Argentino de Ciencias Naturales Bernardino Rivadavia. Isometravivipara reaches an arm length of 49 mm long and shows two stages of brooding: in the female genital pinnules and on the cirri of the mother. In this paper, we propose that spermatozoa reach the ovary via the ambulacral groove. By contrast, P. nutrix is smaller with a maximum recorded size of 26.8 mm, and brooding occurs only inside the female genital pinnules. Here, we record, for the first time for P.nutrix, spermatozoa shape and a cleaved egg attached externally to a genital pinnule of a female. The distributions of both species and their abundances in some areas could be related to their doliolaria larval stage. In addition, we extend the bathymetric range of P.nutrix to 512 m in Marine Protected Area Namuncura/Burdwood Bank and distribution to the Mar del Plata Submarine Canyon area. We also propose mode of reproduction and developmental patterns as attributes for identification and possible explanations for their differences in distribution.</t>
  </si>
  <si>
    <t>[Pertossi, Renata M.; Penchazadeh, Pablo E.; Martinez, Mariano, I] Museo Argentino Ciencias Nat Bernardino Rivadavia, Lab Ecosistemas Costeros Plataforma &amp; Mar Profund, MACN CONICET, Av Angel Gallardo 470 C1405DJR, Buenos Aires, DF, Argentina; [Penchazadeh, Pablo E.] Univ Simon Bolivar, Caracas 1080, Venezuela</t>
  </si>
  <si>
    <t>Consejo Nacional de Investigaciones Cientificas y Tecnicas (CONICET); Museo Argentino de Ciencias Naturales Bernardino Rivadavia (MACN); Simon Bolivar University</t>
  </si>
  <si>
    <t>Pertossi, RM (corresponding author), Museo Argentino Ciencias Nat Bernardino Rivadavia, Lab Ecosistemas Costeros Plataforma &amp; Mar Profund, MACN CONICET, Av Angel Gallardo 470 C1405DJR, Buenos Aires, DF, Argentina.</t>
  </si>
  <si>
    <t>pertossi.renata@gmail.com</t>
  </si>
  <si>
    <t>Pertossi, Renata M./0000-0003-2135-7538; Martinez, Mariano/0000-0003-4438-4504</t>
  </si>
  <si>
    <t>[PICT 2016-0271]; [PICT 2016-0211]; [PICT 2016-01127]</t>
  </si>
  <si>
    <t>; ;</t>
  </si>
  <si>
    <t>This study was funded by PICT 2016-0271, PICT 20160211, and PICT 2016-01127.</t>
  </si>
  <si>
    <t>1867-1616</t>
  </si>
  <si>
    <t>1867-1624</t>
  </si>
  <si>
    <t>MAR BIODIVERS</t>
  </si>
  <si>
    <t>Mar. Biodivers.</t>
  </si>
  <si>
    <t>10.1007/s12526-021-01194-9</t>
  </si>
  <si>
    <t>Biodiversity Conservation; Marine &amp; Freshwater Biology</t>
  </si>
  <si>
    <t>Biodiversity &amp; Conservation; Marine &amp; Freshwater Biology</t>
  </si>
  <si>
    <t>UK7NW</t>
  </si>
  <si>
    <t>WOS:000692154100001</t>
  </si>
  <si>
    <t>Al Omran, N; Mardon, AA; Johnson, PA; Johnson, J</t>
  </si>
  <si>
    <t>Al Omran, N.; Mardon, A. A.; Johnson, P. A.; Johnson, J.</t>
  </si>
  <si>
    <t>DETECTION OF THE BIOHAZARDS OF LIVING MARTIAN ORGANISMS</t>
  </si>
  <si>
    <t>METEORITICS &amp; PLANETARY SCIENCE</t>
  </si>
  <si>
    <t>[Al Omran, N.; Mardon, A. A.; Johnson, P. A.; Johnson, J.] Antarctic Inst Canada, POB 99548,Cromdale PO, Edmonton, AB T5B 0E1, Canada; [Al Omran, N.] McMaster Univ, 1280 Main St W, Hamilton, ON L8S 4L8, Canada; [Mardon, A. A.; Johnson, P. A.; Johnson, J.] Univ Alberta, 116 St &amp; 85 Ave, Edmonton, AB T6G 2R3, Canada</t>
  </si>
  <si>
    <t>McMaster University; University of Alberta</t>
  </si>
  <si>
    <t>nooralomran11@gmail.com; aamardon@yahoo.ca; paj1@ualberta.ca; jcj2@ualberta.ca</t>
  </si>
  <si>
    <t>Johnson, Peter/AAU-7193-2021</t>
  </si>
  <si>
    <t>RisingYouth Community Service [7914]</t>
  </si>
  <si>
    <t>RisingYouth Community Service</t>
  </si>
  <si>
    <t>We are grateful for the support from the RisingYouth Community Service Grant #7914 from TakingITGlobal.</t>
  </si>
  <si>
    <t>1086-9379</t>
  </si>
  <si>
    <t>1945-5100</t>
  </si>
  <si>
    <t>METEORIT PLANET SCI</t>
  </si>
  <si>
    <t>Meteorit. Planet. Sci.</t>
  </si>
  <si>
    <t>TY8FD</t>
  </si>
  <si>
    <t>WOS:000684014300003</t>
  </si>
  <si>
    <t>Boyd, MR; Cartwright, JA; Singh, J; Bagot, PAJ; Moody, MP</t>
  </si>
  <si>
    <t>Boyd, M. R.; Cartwright, J. A.; Singh, J.; Bagot, P. A. J.; Moody, M. P.</t>
  </si>
  <si>
    <t>NANOSCALE CHEMICAL HETEROGENEITY IN AN ANTARCTIC MICROMETEORITE REVEALED BY ATOM PROBE TOMOGRAPHY.</t>
  </si>
  <si>
    <t>84th Annual Meeting of the Meteoritical-Society</t>
  </si>
  <si>
    <t>AUG, 2021</t>
  </si>
  <si>
    <t>Chicago, IL</t>
  </si>
  <si>
    <t>ENTRY</t>
  </si>
  <si>
    <t>[Boyd, M. R.; Cartwright, J. A.] Univ Alabama, Dept Geol Sci, Box 870338, Tuscaloosa, AL 35487 USA; [Singh, J.; Bagot, P. A. J.; Moody, M. P.] Univ Oxford, Dept Mat, 16 Parks Rd, Oxford OX1 3PH, England</t>
  </si>
  <si>
    <t>University of Alabama System; University of Alabama Tuscaloosa; University of Oxford</t>
  </si>
  <si>
    <t>mrboyd4@crimson.ua.edu</t>
  </si>
  <si>
    <t>Moody, Michael P/H-9377-2013</t>
  </si>
  <si>
    <t>Science Citation Index Expanded (SCI-EXPANDED); Conference Proceedings Citation Index - Science (CPCI-S)</t>
  </si>
  <si>
    <t>WOS:000684014300029</t>
  </si>
  <si>
    <t>Dobrica, E; Ohtaki, KK; Engrand, C</t>
  </si>
  <si>
    <t>Dobrica, E.; Ohtaki, K. K.; Engrand, C.</t>
  </si>
  <si>
    <t>THE OCCURRENCE OF COMPLEX MICROSTRUCTURES AND ZONATIONS IN CARBONATES FROM A HYDRATED FINE-GRAINED ANTARCTIC MICROMETEORITE.</t>
  </si>
  <si>
    <t>[Dobrica, E.; Ohtaki, K. K.] Univ Hawaii Manoa, Hawaii Inst Geophys &amp; Planetol, Honolulu, HI 96822 USA; [Engrand, C.] Univ Paris Saclay, Orsay, France</t>
  </si>
  <si>
    <t>University of Hawaii System; University of Hawaii Manoa; Universite Paris Saclay; Universite Paris Cite</t>
  </si>
  <si>
    <t>dobrica@hawaii.edu</t>
  </si>
  <si>
    <t>WOS:000684014300067</t>
  </si>
  <si>
    <t>Johnson, JC; Johnson, PA; Mardon, AA</t>
  </si>
  <si>
    <t>Johnson, J. C.; Johnson, P. A.; Mardon, A. A.</t>
  </si>
  <si>
    <t>WAS THE RED PLANET ONCE BLUE? METEORITIC EVIDENCE FOR HISTORICAL BIOSIGNATURES</t>
  </si>
  <si>
    <t>[Johnson, J. C.; Johnson, P. A.; Mardon, A. A.] Univ Alberta, 116 St 85 Ave NW, Edmonton, AB T6G 2R3, Canada; [Johnson, J. C.; Johnson, P. A.; Mardon, A. A.] Antarctic Inst Canada, POB 99548 Cromdale PO, Edmonton, AB T5B 0E1, Canada</t>
  </si>
  <si>
    <t>University of Alberta</t>
  </si>
  <si>
    <t>jcj2@ualberta.ca; paj1@ualberta.ca; aamardon@yahoo.ca</t>
  </si>
  <si>
    <t>WOS:000684014300124</t>
  </si>
  <si>
    <t>Johnson, PA; Johnson, JC; Mardon, AA</t>
  </si>
  <si>
    <t>Johnson, P. A.; Johnson, J. C.; Mardon, A. A.</t>
  </si>
  <si>
    <t>UTILIZATION OF NANO-VIBRATION FOR MICROBIAL LIFE SENSING</t>
  </si>
  <si>
    <t>[Johnson, P. A.; Johnson, J. C.; Mardon, A. A.] Univ Alberta, 116 St 85 Ave NW, Edmonton, AB T6G 2R3, Canada; [Johnson, P. A.; Johnson, J. C.; Mardon, A. A.] Antarctic Inst Canada, POB 99548 Cromdale PO, Edmonton, AB T5B 0E1, Canada</t>
  </si>
  <si>
    <t>paj1@ualberta.ca; jcj2@ualberta.ca; aamardon@yahoo.ca</t>
  </si>
  <si>
    <t>WOS:000684014300126</t>
  </si>
  <si>
    <t>NEAR-EARTH OBJECTS IMPACT HAZARD ASSESSMENT SCALES</t>
  </si>
  <si>
    <t>[Johnson, P. A.; Johnson, J. C.; Mardon, A. A.] Univ Alberta, 116 St 85 Ave NW, Edmonton, AB T6G 2R3, Canada; [Johnson, P. A.; Johnson, J. C.; Mardon, A. A.] Antarctic Inst Canada, POB 99548 Cromdale, Edmonton, AB T5B 0E1, Canada</t>
  </si>
  <si>
    <t>WOS:000684014300125</t>
  </si>
  <si>
    <t>Lee, MR; Martin, PMC; Floyd, CJ; Jenkins, L</t>
  </si>
  <si>
    <t>Lee, M. R.; Martin, P. M. C.; Floyd, C. J.; Jenkins, L.</t>
  </si>
  <si>
    <t>A XENOLITH FROM AN EARLY FORMED PARENT BODY IN THE CM CARBONACEOUS CHONDRITE LAPAZ ICEFIELD 02239</t>
  </si>
  <si>
    <t>[Lee, M. R.; Martin, P. M. C.; Floyd, C. J.; Jenkins, L.] Univ Glasgow, Sch Geog &amp; Earth Sci, Glasgow G12 8QQ, Lanark, Scotland</t>
  </si>
  <si>
    <t>University of Glasgow</t>
  </si>
  <si>
    <t>Martin.Lee@Glasgow.ac.uk</t>
  </si>
  <si>
    <t>Lee, Martin R/D-9169-2011</t>
  </si>
  <si>
    <t>NSF; NASA</t>
  </si>
  <si>
    <t>NSF(National Science Foundation (NSF)); NASA(National Aeronautics &amp; Space Administration (NASA))</t>
  </si>
  <si>
    <t>We are grateful to NASA/JSC for the loan of LAP 02239.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t>
  </si>
  <si>
    <t>WOS:000684014300158</t>
  </si>
  <si>
    <t>Lunning, N; Harrington, R; Satterwhite, C; Righter, K; Corrigan, C</t>
  </si>
  <si>
    <t>Lunning, N.; Harrington, R.; Satterwhite, C.; Righter, K.; Corrigan, C.</t>
  </si>
  <si>
    <t>MASS CONSUMED ASSOCIATED WITH CARBONACEOUS CHONDRITE THIN SECTION MAKING: EXPERIENCE FROM THE US ANTARCTIC METEORITE COLLECTION.</t>
  </si>
  <si>
    <t>[Lunning, N.; Righter, K.] ARES NASA Johnson Space Ctr, 2101 NASA Pkwy, Houston, TX 77058 USA; [Harrington, R.; Satterwhite, C.] Jacobs JETS UTC Aerosp Syst, 2101 NASA Pkwy, Houston, TX 77058 USA; [Corrigan, C.] Smithsonian Inst, Dept Mineral Sci, NMNH, Washington, DC 20560 USA</t>
  </si>
  <si>
    <t>National Aeronautics &amp; Space Administration (NASA); NASA Johnson Space Center; National Aeronautics &amp; Space Administration (NASA); NASA Johnson Space Center; Smithsonian Institution; Smithsonian National Museum of Natural History</t>
  </si>
  <si>
    <t>nicole.g.lunning@nasa.gov</t>
  </si>
  <si>
    <t>WOS:000684014300171</t>
  </si>
  <si>
    <t>An, ML; Qu, CF; Miao, JL; Sha, ZX</t>
  </si>
  <si>
    <t>An, Meiling; Qu, Changfeng; Miao, Jinlai; Sha, Zhenxia</t>
  </si>
  <si>
    <t>Two class II CPD photolyases, PiPhr1 and PiPhr2, with CPD repair activity from the Antarctic diatom Phaeodactylum tricornutum ICE-H</t>
  </si>
  <si>
    <t>Antarctic diatom P; tricornutum ICE-H; CPD; CPD photolyase; Photoreactivation</t>
  </si>
  <si>
    <t>CRYPTOCHROME/PHOTOLYASE FAMILY; DNA PHOTOLYASE; BLUE-LIGHT; EVOLUTION; GENOME; DAMAGE; MECHANISMS; DYNAMICS; DIMERS; GENE</t>
  </si>
  <si>
    <t>Two gene of class II photolyases, PiPhr1 (1833 bp) and PiPhr2 (1809 bp), from the Antarctic diatom Phaeodactylum tricornutum ICE-H were cloned, the recombinant proteins expressed and purified. The molecular weight of the recombinant photolyases were determined to be 68 kDa with a pI of 9.04 and 68.82 with a pI of 7.31, respectively. Activity studies showed that both the recombinant enzymes were involved in the repair DNA damaged by UV light, that is they were most likely photolyases involved in photorepair of DNA. Further confirmation of this function was demonstrated by the increased expression of PiPhr1 and PiPhr2 after exposure to UV radiation, blue light and dark conditions by qRT-PCR. In summary, PiPhr1 and PiPhr2 were up regulated by UVB irradiation and blue light at 0.5 h and 3 h. Longtime (3 h) exposure to dark also increased the expression of PiPhr1 and PiPhr2. In vitro photoreactivation assays showed that PiPhr1 and PiPhr2 could repair CPDs utilizing blue light. This is the first time CPD Class II photolyase has been reported from Antarctic diatom. These results will add to the knowledge of the diatom CPF family and assist in understanding the functional role of these genes in Antarctic diatoms.</t>
  </si>
  <si>
    <t>[An, Meiling; Sha, Zhenxia] Qingdao Univ, Coll Life Sci, Qingdao 266071, Peoples R China; [Qu, Changfeng; Miao, Jinlai] Minist Nat Resource, Inst Oceanog 1, Qingdao 266061, Peoples R China; [Qu, Changfeng; Miao, Jinlai] Qingdao Natl Lab Marine Sci &amp; Technol, Lab Marine Drugs &amp; Bioprod, Qingdao 266237, Peoples R China</t>
  </si>
  <si>
    <t>Qingdao University; Laoshan Laboratory</t>
  </si>
  <si>
    <t>Sha, ZX (corresponding author), Qingdao Univ, Coll Life Sci, Qingdao 266071, Peoples R China.;Miao, JL (corresponding author), Minist Nat Resource, Inst Oceanog 1, Qingdao 266061, Peoples R China.;Miao, JL (corresponding author), Qingdao Natl Lab Marine Sci &amp; Technol, Lab Marine Drugs &amp; Bioprod, Qingdao 266237, Peoples R China.</t>
  </si>
  <si>
    <t>rubyhawthorn@163.com; cfqu@fio.org.cn; miaojinlai@fio.org.cn; shazhenxia@163.com</t>
  </si>
  <si>
    <t>An, Meiling/0000-0002-4265-5043</t>
  </si>
  <si>
    <t>National Key Research and Development Program of China [2018YFD0900705]; Basic Scientific Fund for National Public Research Institutes of China [2020Q02]; Natural Science Foundation of China [32000074]; Natural Science Foundation of Shandong [ZR2019BD023]; Tai Mountain Industry Leading Talent of Shan Dong [2019TSCYCX-06]; China Postdoctoral Science Foundation [2019M662295]; Postdoctoral Applied Research Projects of Qingdao [QD2019013]</t>
  </si>
  <si>
    <t>National Key Research and Development Program of China; Basic Scientific Fund for National Public Research Institutes of China; Natural Science Foundation of China(National Natural Science Foundation of China (NSFC)); Natural Science Foundation of Shandong(Natural Science Foundation of Shandong Province); Tai Mountain Industry Leading Talent of Shan Dong; China Postdoctoral Science Foundation(China Postdoctoral Science Foundation); Postdoctoral Applied Research Projects of Qingdao</t>
  </si>
  <si>
    <t>This study was supported by the National Key Research and Development Program of China (2018YFD0900705), Basic Scientific Fund for National Public Research Institutes of China (2020Q02), Natural Science Foundation of China (32000074), Natural Science Foundation of Shandong (ZR2019BD023), Tai Mountain Industry Leading Talent of Shan Dong (2019TSCYCX-06), China Postdoctoral Science Foundation (2019M662295), Postdoctoral Applied Research Projects of Qingdao (QD2019013).</t>
  </si>
  <si>
    <t>10.1007/s13205-021-02927-0</t>
  </si>
  <si>
    <t>UK2XD</t>
  </si>
  <si>
    <t>WOS:000691837000002</t>
  </si>
  <si>
    <t>Bhatia, MP; Waterman, S; Burgess, DO; Williams, PL; Bundy, RM; Mellett, T; Roberts, M; Bertrand, EM</t>
  </si>
  <si>
    <t>Bhatia, Maya P.; Waterman, Stephanie; Burgess, David O.; Williams, Patrick L.; Bundy, Randelle M.; Mellett, Travis; Roberts, Megan; Bertrand, Erin M.</t>
  </si>
  <si>
    <t>Glaciers and Nutrients in the Canadian Arctic Archipelago Marine System</t>
  </si>
  <si>
    <t>GLOBAL BIOGEOCHEMICAL CYCLES</t>
  </si>
  <si>
    <t>tidewater glaciers; nutrients; upwelling; Canadian Arctic; trace metals; marine ecosystems</t>
  </si>
  <si>
    <t>DEVON ICE CAP; DISSOLVED IRON; DYNAMIC DISCHARGE; BYLOT ISLAND; FRESH-WATER; NUNAVUT; FJORD; OCEAN; TRANSPORT; MELTWATER</t>
  </si>
  <si>
    <t>The Canadian Arctic Archipelago (CAA) is vulnerable to climate warming, and with over 300 tidewater glaciers, is a hotspot for enhanced glacial retreat and meltwater runoff to the ocean. In contrast to Greenlandic and Antarctic systems, CAA glaciers and their impact on the marine environment remain largely unexplored. Here, we investigate how CAA glaciers impact nutrient delivery to surface waters. We compare water column properties in the nearshore coastal zone along a continuum of locations, spanning those with glaciers (glacierized) to those without (non-glacierized), in Jones Sound, eastern CAA. We find that surface waters of glacierized regions contain significantly more macronutrients (nitrogen, silica, phosphorus) and micronutrients (iron, manganese) than their non-glacierized counterparts. Water column structure and chemical composition suggest that macronutrient enrichments are a result of upwelling induced by rising submarine discharge plumes, while micronutrient enrichments are delivered directly by glacial discharge. Generally, the strength of upwelling and associated macronutrient delivery scales with the subglacial meltwater discharge. Glacier-driven delivery of the limiting macronutrient, nitrate, is of particular importance for local productivity, while metal delivery may have consequences for regional micronutrient cycling given Jones Sound's important role in modifying water masses flowing into the North Atlantic. Finally, we use the natural variability in glacier characteristics observed in Jones Sound to consider, how nutrient delivery may be affected as glaciers retreat. The impacts of melting glaciers on marine ecosystems through both these mechanisms will likely be amplified with increased meltwater fluxes in the short term, but eventually muted as CAA ice masses diminish.</t>
  </si>
  <si>
    <t>[Bhatia, Maya P.; Williams, Patrick L.] Univ Alberta, Dept Earth &amp; Atmospher Sci, Edmonton, AB, Canada; [Waterman, Stephanie] Univ British Columbia, Dept Earth &amp; Atmospher Sci, Vancouver, BC, Canada; [Burgess, David O.] Geol Survey Canada, Ottawa, ON, Canada; [Bundy, Randelle M.; Mellett, Travis] Univ Washington, Sch Oceanog, Seattle, WA USA; [Roberts, Megan; Bertrand, Erin M.] Dalhousie Univ, Dept Biol, Halifax, NS, Canada</t>
  </si>
  <si>
    <t>University of Alberta; University of British Columbia; Natural Resources Canada; Lands &amp; Minerals Sector - Natural Resources Canada; Geological Survey of Canada; University of Washington; University of Washington Seattle; Dalhousie University</t>
  </si>
  <si>
    <t>Bhatia, MP (corresponding author), Univ Alberta, Dept Earth &amp; Atmospher Sci, Edmonton, AB, Canada.;Bertrand, EM (corresponding author), Dalhousie Univ, Dept Biol, Halifax, NS, Canada.</t>
  </si>
  <si>
    <t>mbhatia@ualberta.ca; Erin.Bertrand@Dal.Ca</t>
  </si>
  <si>
    <t>Waterman, Stephanie/AAY-6033-2020; Bundy, Randelle M./J-8453-2016</t>
  </si>
  <si>
    <t>Waterman, Stephanie/0000-0001-5797-1092; Roberts, Megan/0000-0002-6468-2907; Bertrand, Erin/0000-0002-5950-6810; Bhatia, Maya/0000-0002-5236-8689; Bundy, Randelle M./0000-0002-0600-3953</t>
  </si>
  <si>
    <t>NFRF Explorations Fund [NFRFE-2018-01,427]; NSERC Shiptime grant [RGPST-544982-2020]; PCSP grant [68719]; Canada Research Chair; Campus Alberta Innovation Program Chair; University of Alberta Northern Research Award; Climate Change Geoscience Program, Lands and Minerals Sector, Natural Resources Canada</t>
  </si>
  <si>
    <t>NFRF Explorations Fund; NSERC Shiptime grant; PCSP grant; Canada Research Chair(Natural Resources CanadaCanadian Forest ServiceCanada Research Chairs); Campus Alberta Innovation Program Chair; University of Alberta Northern Research Award; Climate Change Geoscience Program, Lands and Minerals Sector, Natural Resources Canada(Natural Resources Canada)</t>
  </si>
  <si>
    <t>The authors thank Jimmy Qaapik, the Hamlet of Grise Fiord, the Brossier Family, Andrew Hamilton, and the Polar Continental Shelf Project (PCSP) for invaluable assistance in the field. They acknowledge financial support from a NFRF Explorations Fund grant NFRFE-2018-01,427 to E. Bertrand, S. Waterman, M. Bhatia, and J. Qaapik; NSERC Shiptime grant (RGPST-544982-2020) to J. Halfar and P. Myers; PCSP grant 68719 to M. Bhatia; Canada Research Chair funding to E. Bertrand and S. Waterman; Campus Alberta Innovation Program Chair funding to M. Bhatia; and a University of Alberta Northern Research Award to P. Williams. Support for D. Burgess was provided by the Climate Change Geoscience Program, Lands and Minerals Sector, Natural Resources Canada. They are also grateful to Martin Sharp for illuminating discussions.</t>
  </si>
  <si>
    <t>0886-6236</t>
  </si>
  <si>
    <t>1944-9224</t>
  </si>
  <si>
    <t>GLOBAL BIOGEOCHEM CY</t>
  </si>
  <si>
    <t>Glob. Biogeochem. Cycle</t>
  </si>
  <si>
    <t>e2021GB006976</t>
  </si>
  <si>
    <t>10.1029/2021GB006976</t>
  </si>
  <si>
    <t>Environmental Sciences; Geosciences, Multidisciplinary; Meteorology &amp; Atmospheric Sciences</t>
  </si>
  <si>
    <t>Environmental Sciences &amp; Ecology; Geology; Meteorology &amp; Atmospheric Sciences</t>
  </si>
  <si>
    <t>UI7HQ</t>
  </si>
  <si>
    <t>WOS:000690773700002</t>
  </si>
  <si>
    <t>Nissen, C; Gruber, N; Münnich, M; Vogt, M</t>
  </si>
  <si>
    <t>Nissen, Cara; Gruber, Nicolas; Muennich, Matthias; Vogt, Meike</t>
  </si>
  <si>
    <t>Southern Ocean Phytoplankton Community Structure as a Gatekeeper for Global Nutrient Biogeochemistry</t>
  </si>
  <si>
    <t>Southern Ocean; silicic acid; nitrate; phytoplankton; diatoms; coccolithophores</t>
  </si>
  <si>
    <t>ORGANIC-CARBON FLUX; EMILIANIA-HUXLEYI; EXPORT PRODUCTION; WORLD OCEAN; INTERGLACIAL CHANGES; RESPIRATION RATES; SINKING VELOCITY; BIOGENIC SILICA; SURFACE; IRON</t>
  </si>
  <si>
    <t>Upwelling and the biological pump in the Southern Ocean control the amount and stoichiometry of nutrients available for lateral export to lower latitudes, thereby collectively acting as a gatekeeper for the global thermocline nutrient distribution and global ocean productivity. Yet, the exact role played by phytoplankton and its community composition in this gatekeeping has not been well established. Here, we investigate this role using a high-resolution model of the Southern Ocean (ROMS-BEC) with an explicit parametrization of silicifying diatoms and calcifying coccolithophores. Consistent with expectations, diatoms are very efficient in consuming the upwelled Si(OH)4 south of the Antarctic Polar Front, and exporting it to depth at a rate of 91 Tmol Si yr-1. This leads to Si(OH)4 being trapped in the Southern Ocean, preventing it from leaking laterally into the Subantarctic. Model experiments reveal that this trapping is driven by both high Si-to-N diatom uptake ratios and the relatively slow dissolution of the exported opal, with the latter being the dominant mechanism. The low NO3 consumption resulting from this high uptake ratio allows a good fraction of the upwelled NO3 to reach the Subantarctic where it fuels the growth of a mixed community including coccolithophores. Coccolithophore production and export of calcite at a rate of 0.16 Pg C yr-1 facilitates an efficient transfer of the exported organic matter to depth, thereby further modifying the laterally exported nutrient levels and stoichiometry. Our results thus demonstrate a key role of phytoplankton community structure in controlling the Southern Ocean biogeochemical gate.</t>
  </si>
  <si>
    <t>[Nissen, Cara; Gruber, Nicolas; Muennich, Matthias; Vogt, Meike] Swiss Fed Inst Technol, Inst Biogeochem &amp; Pollutant Dynam, Univ Str, Zurich, Switzerland; [Nissen, Cara] Helmholtz Zentrum Polar &amp; Meeresforsch, Alfred Wegener Inst, Bremerhaven, Germany</t>
  </si>
  <si>
    <t>Swiss Federal Institutes of Technology Domain; ETH Zurich; Helmholtz Association; Alfred Wegener Institute, Helmholtz Centre for Polar &amp; Marine Research</t>
  </si>
  <si>
    <t>Nissen, C (corresponding author), Swiss Fed Inst Technol, Inst Biogeochem &amp; Pollutant Dynam, Univ Str, Zurich, Switzerland.;Nissen, C (corresponding author), Helmholtz Zentrum Polar &amp; Meeresforsch, Alfred Wegener Inst, Bremerhaven, Germany.</t>
  </si>
  <si>
    <t>cara.nissen@awi.de</t>
  </si>
  <si>
    <t>Gruber, Nicolas/B-7013-2009; Nissen, Cara/HTQ-9512-2023</t>
  </si>
  <si>
    <t>Gruber, Nicolas/0000-0002-2085-2310; Nissen, Cara/0000-0001-5804-3191</t>
  </si>
  <si>
    <t>Swiss Federal Institute of Technology Zurich (ETH Zurich); Swiss National Science Foundation [200021_153452]; Swiss National Science Foundation (SNF) [200021_153452] Funding Source: Swiss National Science Foundation (SNF)</t>
  </si>
  <si>
    <t>Swiss Federal Institute of Technology Zurich (ETH Zurich)(ETH Zurich); Swiss National Science Foundation(Swiss National Science Foundation (SNSF)); Swiss National Science Foundation (SNF)(Swiss National Science Foundation (SNSF))</t>
  </si>
  <si>
    <t>This research was financially supported by the Swiss Federal Institute of Technology Zurich (ETH Zurich) and the Swiss National Science Foundation (project SOGate, grant no. 200021_153452). The authors thank Martin Frischknecht and Elisa Lovecchio for their support in the budget analysis, Domitille Louchard for valuable discussions, and Damian Loher for technical support.</t>
  </si>
  <si>
    <t>e2021GB006991</t>
  </si>
  <si>
    <t>10.1029/2021GB006991</t>
  </si>
  <si>
    <t>WOS:000690773700007</t>
  </si>
  <si>
    <t>Zaiss, J; Boyd, PW; Doney, SC; Havenhand, JN; Levine, NM</t>
  </si>
  <si>
    <t>Zaiss, Jessica; Boyd, Philip W.; Doney, Scott C.; Havenhand, Jon N.; Levine, Naomi M.</t>
  </si>
  <si>
    <t>Impact of Lagrangian Sea Surface Temperature Variability on Southern Ocean Phytoplankton Community Growth Rates</t>
  </si>
  <si>
    <t>phytoplankton growth; SST variability; Q10; Southern Ocean</t>
  </si>
  <si>
    <t>PATTERNS; DIVERSITY; RESPONSES; BOUNDARY; EXPORT</t>
  </si>
  <si>
    <t>Ocean phytoplankton play a critical role in the global carbon cycle, contributing similar to 50% of global photosynthesis. As planktonic organisms, phytoplankton encounter significant environmental variability as they are advected throughout the ocean. How this variability impacts phytoplankton growth rates and population dynamics remains unclear. Here, we systematically investigated the impact of different rates and magnitudes of sea surface temperature (SST) variability on phytoplankton community growth rates using surface drifter observations from the Southern Ocean (&gt;30 degrees S) and a phenotype-based ecosystem model. Short-term SST variability (&lt;7 days) had a minimal impact on phytoplankton community growth rates. Moderate SST changes of 3-4 degrees C over 7-45 days produced a large time lag between the temperature change and the biological response. The impact of SST variability on community growth rates was nonlinear and a function of the rate and magnitude of change. Additionally, the nature of variability generated in a Lagrangian reference frame (following trajectories of surface water parcels) was larger than that within an Eulerian reference frame (fixed point), which initiated different phytoplankton responses between the two reference frames. Finally, we found that these dynamics were not captured by the Eppley growth model commonly used in global biogeochemical models and resulted in an overestimation of community growth rates, particularly in dynamic, strong frontal regions of the Southern Ocean. This work demonstrates that the timescale for environmental selection (community replacement) is a critical factor in determining community composition and takes a first step towards including the impact of variability and biological response times into biogeochemical models.</t>
  </si>
  <si>
    <t>[Zaiss, Jessica] Univ Southern Calif, Dept Earth Sci, Los Angeles, CA USA; [Boyd, Philip W.] Univ Tasmania, Inst Marine &amp; Antarctic Studies, Hobart, Tas, Australia; [Doney, Scott C.] Univ Virginia, Dept Environm Sci, Clark Hall, Charlottesville, VA 22903 USA; [Havenhand, Jon N.] Univ Gothenburg, Dept Marine Sci, Stromstad, Sweden; [Levine, Naomi M.] Univ Southern Calif, Dept Marine &amp; Environm Biol, Los Angeles, CA 90007 USA</t>
  </si>
  <si>
    <t>University of Southern California; University of Tasmania; University of Virginia; University of Gothenburg; University of Southern California</t>
  </si>
  <si>
    <t>Levine, NM (corresponding author), Univ Southern Calif, Dept Marine &amp; Environm Biol, Los Angeles, CA 90007 USA.</t>
  </si>
  <si>
    <t>n.levine@usc.edu</t>
  </si>
  <si>
    <t>Doney, Scott/F-9247-2010; Havenhand, Jon N/F-5435-2013; Boyd, Philip/J-7624-2014</t>
  </si>
  <si>
    <t>Doney, Scott/0000-0002-3683-2437; Boyd, Philip/0000-0001-7850-1911; Zaiss, Jessica/0000-0002-0677-7561; Levine, Naomi/0000-0002-4963-0535; Havenhand, Jonathan/0000-0001-6721-7763</t>
  </si>
  <si>
    <t>National Science Foundation (NSF) [OCE 1538525]; ARC Laureate fellowship; Australian Department of Industry; Australian Antarctic Program Partnership; NSF Office of Polar Programs (grant) [PLR-1440435]; University of Gothenburg Natural Sciences Sabbatical Program</t>
  </si>
  <si>
    <t>National Science Foundation (NSF)(National Science Foundation (NSF)); ARC Laureate fellowship(Australian Research Council); Australian Department of Industry(Australian Government); Australian Antarctic Program Partnership; NSF Office of Polar Programs (grant); University of Gothenburg Natural Sciences Sabbatical Program</t>
  </si>
  <si>
    <t>We would like to thank Robert Strzepek for providing us with the acclimation rate data (Table S2) and anonymous reviewers for their constructive feedback. Additionally, we acknowledge funding support from the National Science Foundation (NSF OCE 1538525 to N. M. Levine). P. W. Boyd was supported by an ARC Laureate fellowship and the Australian Department of Industry funded Australian Antarctic Program Partnership. S. C. Doney acknowledges support from NSF Office of Polar Programs (grant PLR-1440435 to the Palmer Long Term Ecological Research project). J. N. Havenhand acknowledges support from the University of Gothenburg Natural Sciences Sabbatical Program.</t>
  </si>
  <si>
    <t>e2020GB006880</t>
  </si>
  <si>
    <t>10.1029/2020GB006880</t>
  </si>
  <si>
    <t>Green Submitted, hybrid</t>
  </si>
  <si>
    <t>WOS:000690773700011</t>
  </si>
  <si>
    <t>Gao, HM; Xie, PF; Zhang, XL; Yang, Q</t>
  </si>
  <si>
    <t>Gao, Hui-Min; Xie, Peng-Fei; Zhang, Xiao-Ling; Yang, Qiao</t>
  </si>
  <si>
    <t>Isolation, Phylogenetic and Gephyromycin Metabolites Characterization of New Exopolysaccharides-Bearing Antarctic Actinobacterium from Feces of Emperor Penguin</t>
  </si>
  <si>
    <t>MARINE DRUGS</t>
  </si>
  <si>
    <t>antarctic actinobacteria; gephyromycin; microbial bioflocculants; bacterial exopolysaccharides; gut microbiota; antarctic emperor penguin</t>
  </si>
  <si>
    <t>LAKE CAPE-RUSSELL; SP-NOV.; GEN.-NOV.; SP. NOV.; DINOFLAGELLATE</t>
  </si>
  <si>
    <t>A new versatile actinobacterium designated as strain NJES-13 was isolated from the feces of the Antarctic emperor penguin. This new isolate was found to produce two active gephyromycin analogues and bioflocculanting exopolysaccharides (EPS) metabolites. Phylogenetic analysis based on pairwise comparison of 16S rRNA gene sequences showed that strain NJES-13 was closely related to Mobilicoccus pelagius Aji5-31(T) with a gene similarity of 95.9%, which was lower than the threshold value (98.65%) for novel species delineation. Additional phylogenomic calculations of the average nucleotide identity (ANI, 75.9-79.1%), average amino acid identity (AAI, 52.4-66.9%) and digital DNA-DNA hybridization (dDDH, 18.6-21.9%), along with the constructed phylogenomic tree based on the up-to-date bacterial core gene (UBCG) set from the bacterial genomes, unequivocally separated strain NJES-13 from its close relatives within the family Dermatophilaceae. Hence, it clearly indicated that strain NJES-13 represented a putative new actinobacterial species isolated from the gut microbiota of mammals inhabiting the Antarctic. The obtained complete genome of strain NJES-13 consisted of a circular 3.45 Mb chromosome with a DNA G+C content of 67.0 mol%. Furthering genome mining of strain NJES-13 showed the presence of five biosynthetic gene clusters (BGCs) including one type III PKS responsible for the biosynthesis of the core of gephyromycins, and a series of genes encoding for bacterial EPS biosynthesis. Thus, based on the combined phylogenetic and active metabolites characterization presented in this study, we confidently conclude that strain NJES-13 is a novel, fresh actinobacterial candidate to produce active gephyromycins and microbial bioflocculanting EPS, with potential pharmaceutical, environmental and biotechnological implications.</t>
  </si>
  <si>
    <t>[Gao, Hui-Min; Xie, Peng-Fei; Zhang, Xiao-Ling; Yang, Qiao] Zhejiang Ocean Univ, Coll Marine Sci &amp; Technol, Zhoushan 316022, Peoples R China; [Xie, Peng-Fei; Zhang, Xiao-Ling; Yang, Qiao] Zhejiang Ocean Univ, ABI Grp, Zhoushan 316022, Peoples R China; [Yang, Qiao] Zhejiang Ocean Univ, Dept Environm Sci &amp; Engn, Zhoushan 316022, Peoples R China</t>
  </si>
  <si>
    <t>Zhejiang Ocean University; Zhejiang Ocean University; Zhejiang Ocean University</t>
  </si>
  <si>
    <t>Zhang, XL; Yang, Q (corresponding author), Zhejiang Ocean Univ, Coll Marine Sci &amp; Technol, Zhoushan 316022, Peoples R China.;Zhang, XL; Yang, Q (corresponding author), Zhejiang Ocean Univ, ABI Grp, Zhoushan 316022, Peoples R China.;Yang, Q (corresponding author), Zhejiang Ocean Univ, Dept Environm Sci &amp; Engn, Zhoushan 316022, Peoples R China.</t>
  </si>
  <si>
    <t>gaohuimin@zjou.edu.cn; xiepengfei@zjou.edu.cn; zhangxiaoling@zjou.edu.cn; qiaoyang1979@whu.edu.cn</t>
  </si>
  <si>
    <t>Lin, Kuan-Yu/JXM-6653-2024; Gao, Huimin/I-8253-2012; Li, Binxu/KDO-3273-2024</t>
  </si>
  <si>
    <t>Yang, Qiao/0000-0002-7770-5389</t>
  </si>
  <si>
    <t>Scientific Research Startup Foundation of Zhejiang Ocean University [11105092221]; National Natural Science Foundation of China [41876114]</t>
  </si>
  <si>
    <t>Scientific Research Startup Foundation of Zhejiang Ocean University; National Natural Science Foundation of China(National Natural Science Foundation of China (NSFC))</t>
  </si>
  <si>
    <t>This work was supported by the Scientific Research Startup Foundation of Zhejiang Ocean University (grant no. 11105092221 to H.-M.G.), and the National Natural Science Foundation of China (grant no. 41876114 to X.-L.Z. and Q.Y.).</t>
  </si>
  <si>
    <t>MDPI</t>
  </si>
  <si>
    <t>BASEL</t>
  </si>
  <si>
    <t>ST ALBAN-ANLAGE 66, CH-4052 BASEL, SWITZERLAND</t>
  </si>
  <si>
    <t>1660-3397</t>
  </si>
  <si>
    <t>MAR DRUGS</t>
  </si>
  <si>
    <t>Mar. Drugs</t>
  </si>
  <si>
    <t>10.3390/md19080458</t>
  </si>
  <si>
    <t>Chemistry, Medicinal; Pharmacology &amp; Pharmacy</t>
  </si>
  <si>
    <t>Pharmacology &amp; Pharmacy</t>
  </si>
  <si>
    <t>UG7QZ</t>
  </si>
  <si>
    <t>WOS:000689443200001</t>
  </si>
  <si>
    <t>Berglund, S; Döös, K; Campino, AA; Nycander, J</t>
  </si>
  <si>
    <t>Berglund, Sara; Doos, Kristofer; Campino, Aitor Aldama; Nycander, Jonas</t>
  </si>
  <si>
    <t>The Water Mass Transformation in the Upper Limb of the Overturning Circulation in the Southern Hemisphere</t>
  </si>
  <si>
    <t>JOURNAL OF GEOPHYSICAL RESEARCH-OCEANS</t>
  </si>
  <si>
    <t>trajectories; circulation; gyre; heat; water-mass transformation; salinity</t>
  </si>
  <si>
    <t>OCEAN CIRCULATION; WARM; VARIABILITY; ATLANTIC; ROUTE</t>
  </si>
  <si>
    <t>The warming and salinification of the northwards flowing water masses from the Southern Ocean to the tropics are studied with Lagrangian trajectories simulated using fields from an Earth System Model. The trajectories are used to trace the geographical distribution of the water mass transformation and connect it with the pathways of the upper limb of the overturning circulation in the Southern Hemisphere. In the Antarctic Circumpolar Current water gains heat just below the mixed layer, mainly when the layer is thin during Austral spring and summer. This gain is therefore suggested to be a consequence of heat flux from the atmosphere and mixing processes at the base of the mixed layer. In the Southern Hemispheric subtropical gyres on the other hand, a large warming and salinification of the northwards flowing water results from internal mixing with other warmer and more saline water masses. Close to the Antarctic shelf waters are getting fresher as a result of ice melting, whereas further north, in the Antarctic Circumpolar current, waters are getting more saline as a result of evaporation. Our results show that it is not only the heat and freshwater fluxes through the sea surface that control the heat and salt changes of the upper limb of the overturning circulation in the Southern Hemisphere. In fact, internal mixing accounts for 25% of the heat change, and 22% of the salinity change.</t>
  </si>
  <si>
    <t>[Berglund, Sara; Doos, Kristofer; Campino, Aitor Aldama; Nycander, Jonas] Stockholm Univ, Dept Meteorol, Stockholm, Sweden; [Berglund, Sara; Doos, Kristofer; Campino, Aitor Aldama; Nycander, Jonas] Bolin Ctr Climate Res, Stockholm, Sweden</t>
  </si>
  <si>
    <t>Stockholm University</t>
  </si>
  <si>
    <t>Berglund, S (corresponding author), Stockholm Univ, Dept Meteorol, Stockholm, Sweden.;Berglund, S (corresponding author), Bolin Ctr Climate Res, Stockholm, Sweden.</t>
  </si>
  <si>
    <t>sara.berglund@misu.su.se</t>
  </si>
  <si>
    <t>Nycander, Jonas/E-1334-2011; Doos, Kristofer/H-2838-2012</t>
  </si>
  <si>
    <t>Nycander, Jonas/0000-0002-4414-6859; Aldama-Campino, Aitor/0000-0001-8453-4322; Berglund, Sara/0000-0001-8379-6566; Doos, Kristofer/0000-0002-1309-5921</t>
  </si>
  <si>
    <t>Swedish Research Council [2018-05973]</t>
  </si>
  <si>
    <t>Swedish Research Council(Swedish Research Council)</t>
  </si>
  <si>
    <t>The authors would like to thank Peter Lundberg for constructive comments on the manuscript. Further, we would like to thank Joakim Kjellsson for all the help and interesting discussions. Finally, the authors would like to thank the three anonymous reviewers who came with constructive and helpful comments. The computations and data handling were enabled by resources provided by the Swedish National Infrastructure for Computing (SNIC) at the National Supercomputer Centre partially funded by the Swedish Research Council through grant agreement no. 2018-05973. This work has been financially supported by the Swedish Research Council.</t>
  </si>
  <si>
    <t>2169-9275</t>
  </si>
  <si>
    <t>2169-9291</t>
  </si>
  <si>
    <t>J GEOPHYS RES-OCEANS</t>
  </si>
  <si>
    <t>J. Geophys. Res.-Oceans</t>
  </si>
  <si>
    <t>e2021JC017330</t>
  </si>
  <si>
    <t>10.1029/2021JC017330</t>
  </si>
  <si>
    <t>Oceanography</t>
  </si>
  <si>
    <t>UI7BQ</t>
  </si>
  <si>
    <t>WOS:000690758000034</t>
  </si>
  <si>
    <t>Duarte, P; Meyer, A; Moreau, S</t>
  </si>
  <si>
    <t>Duarte, Pedro; Meyer, Amelie; Moreau, Sebastien</t>
  </si>
  <si>
    <t>Nutrients in Water Masses in the Atlantic Sector of the Arctic Ocean: Temporal Trends, Mixing and Links With Primary Production</t>
  </si>
  <si>
    <t>nutrients; Western Eurasian basin; Arctic Ocean; water masses; mixing; temporal trends</t>
  </si>
  <si>
    <t>NITRATE; EXPORT; PHAEOCYSTIS; SVALBARD; FLUXES; CARBON; WINTER</t>
  </si>
  <si>
    <t>There is strong evidence of an increase in primary production (PP) in the Arctic Ocean (AO) over the last two decades. Further increases will depend on the interplay between decreasing light limitation for primary producers, as the sea ice extent and thickness decrease, and the availability of nutrients, which is controlled by, but not limited to, inputs from the Atlantic and the Pacific Oceans. While these inputs are the major nutrient sources to the AO, ocean vertical mixing is required to bring the nutrients into the photic zone. We analyze data collected in the Western Eurasian Basin (WEB) between 1980 and 2016 and characterize the nutrient climatology of the various water masses. We conclude that there were no significant trends in the concentrations of the two macronutrients that typically limit PP in the AO (nitrate and silicic acid, in the case of diatoms), except a decreasing trend for silicic acid in Polar Surface Water (PSW), which is consistent with the reported increase in PP in the AO. We suggest that the Whalers Bay polynya, located in the northwestern corner of Svalbard, may act as a mixing hotspot, creating patches of nutrient replenished PSW. These patches may then be advected to higher latitudes under the ice pack, later boosting PP upon release from light limitation or else, keeping a nutrient reservoir that may be used in a subsequent growth season. It is likely that this remaining nutrient reservoir will decrease as sea ice cover retreats and light limitation alleviates.</t>
  </si>
  <si>
    <t>[Duarte, Pedro; Moreau, Sebastien] Fram Ctr, Norwegian Polar Inst, Tromso, Norway; [Meyer, Amelie] Univ Tasmania, Inst Marine &amp; Antarctic Studies, Hobart, Tas, Australia; [Meyer, Amelie] Univ Tasmania, ARC Ctr Excellence Climate Extremes, Hobart, Tas, Australia</t>
  </si>
  <si>
    <t>Norwegian Polar Institute; University of Tasmania; University of Tasmania</t>
  </si>
  <si>
    <t>Duarte, P (corresponding author), Fram Ctr, Norwegian Polar Inst, Tromso, Norway.</t>
  </si>
  <si>
    <t>Pedro.Duarte@npolar.no</t>
  </si>
  <si>
    <t>Duarte, Pedro/F-1247-2014</t>
  </si>
  <si>
    <t>Duarte, Pedro/0000-0001-7461-605X; Meyer, Amelie/0000-0003-0447-795X; Moreau, Sebastien/0000-0001-9446-812X</t>
  </si>
  <si>
    <t>Norwegian Nansen Legacy project [276730]; European Union [869154]; ARC Center of Excellence for Climate Extremes [CE170100023]; Australian research Council [DE200100414]; Australian Research Council [DE200100414] Funding Source: Australian Research Council</t>
  </si>
  <si>
    <t>Norwegian Nansen Legacy project; European Union(European Union (EU)); ARC Center of Excellence for Climate Extremes; Australian research Council(Australian Research Council); Australian Research Council(Australian Research Council)</t>
  </si>
  <si>
    <t>This work has been supported by the Norwegian Nansen Legacy project (no. 276730) and it has received funding from the European Union's Horizon 2020 research and innovation program under grant agreement No 869154. Amelie Meyer acknowledges support from the ARC Center of Excellence for Climate Extremes (CE170100023) and by the Australian research Council grant DE200100414. A special thanks to Anders Skoglund at the Norwegian Polar Institute for helping with Figure 2.</t>
  </si>
  <si>
    <t>e2021JC017413</t>
  </si>
  <si>
    <t>10.1029/2021JC017413</t>
  </si>
  <si>
    <t>Green Published, hybrid</t>
  </si>
  <si>
    <t>WOS:000690758000008</t>
  </si>
  <si>
    <t>Hendry, KR; Briggs, N; Henson, S; Opher, J; Brearley, JA; Meredith, MP; Leng, MJ; Meire, L</t>
  </si>
  <si>
    <t>Hendry, Katharine R.; Briggs, Nathan; Henson, Stephanie; Opher, Jacob; Brearley, James Alexander; Meredith, Michael P.; Leng, Melanie J.; Meire, Lorenz</t>
  </si>
  <si>
    <t>Tracing Glacial Meltwater From the Greenland Ice Sheet to the Ocean Using Gliders</t>
  </si>
  <si>
    <t>freshwater; bio-optics; particulates; productivity; coastal; autonomous</t>
  </si>
  <si>
    <t>DISSOLVED ORGANIC-MATTER; SEDIMENT RESUSPENSION; SEA-ICE; WATER; FJORD; SHELF; CDOM; KANGERLUSSUAQ; VARIABILITY; PHAEOCYSTIS</t>
  </si>
  <si>
    <t>The Greenland Ice Sheet (GrIS) is experiencing significant mass loss and freshwater discharge at glacier fronts. The freshwater input from Greenland will impact the physical properties of adjacent coastal seas, including important regions of deep water formation and contribute to global sea level rise. However, the biogeochemical impact of increasing freshwater discharge from the GrIS is less well constrained. Here, we demonstrate the use of bio-optical sensors on ocean gliders to track biogeochemical properties of meltwaters off southwest Greenland. Our results reveal that fresh, coastal waters, with an oxygen isotopic composition characteristic of glacial meltwater, are distinguished by a high optical backscatter and high levels of fluorescing dissolved organic matter (FDOM), representative of the overall colored dissolved organic matter pool. Reconstructions of geostrophic velocities are used to show that these particle and FDOM-enriched coastal waters cross the strong boundary currents into the Labrador Sea. Meltwater input into the Labrador Sea is likely driven by mesoscale processes, such as eddy formation and local bathymetric steering, in addition to wind-driven Ekman transport. Ocean gliders housing bio-optical sensors can provide the high-resolution observations of both dissolved and particulate glacially derived material that are needed to understand meltwater dispersal mechanisms and their sensitivity to future climatic change.</t>
  </si>
  <si>
    <t>[Hendry, Katharine R.] Univ Bristol, Sch Earth Sci, Bristol, Avon, England; [Briggs, Nathan; Henson, Stephanie] Natl Oceanog Ctr, Southampton, Hants, England; [Opher, Jacob; Brearley, James Alexander; Meredith, Michael P.] British Antarctic Survey, Cambridge, England; [Opher, Jacob] Univ East Anglia, Sch Environm Sci, Norwich, Norfolk, England; [Leng, Melanie J.] British Geol Survey, Natl Environm Isotope Facil, Nottingham, England; [Leng, Melanie J.] Univ Nottingham, Sch Biosci, Ctr Environm Geochem, Sutton Bonington Campus, Loughborough, Leics, England; [Meire, Lorenz] Royal Netherlands Inst Sea Res, Dept Estuarine &amp; Delta Syst, Yerseke, Netherlands; [Meire, Lorenz] Greenland Inst Nat Resources, Greenland Climate Res Ctr, Nuuk, Greenland</t>
  </si>
  <si>
    <t>University of Bristol; NERC National Oceanography Centre; UK Research &amp; Innovation (UKRI); Natural Environment Research Council (NERC); NERC British Antarctic Survey; University of East Anglia; UK Research &amp; Innovation (UKRI); Natural Environment Research Council (NERC); NERC British Geological Survey; University of Nottingham; Utrecht University; Royal Netherlands Institute for Sea Research (NIOZ); Greenland Institute of Natural Resources</t>
  </si>
  <si>
    <t>Hendry, KR (corresponding author), Univ Bristol, Sch Earth Sci, Bristol, Avon, England.</t>
  </si>
  <si>
    <t>k.hendry@bristol.ac.uk</t>
  </si>
  <si>
    <t>Brearley, Alexander/C-3313-2012; Meire, Lorenz/G-5099-2015; Hendry, Katharine/E-4793-2011</t>
  </si>
  <si>
    <t>Meire, Lorenz/0000-0001-7516-071X; Leng, Melanie/0000-0003-1115-5166; Brearley, Alexander/0000-0003-3700-8017; Hendry, Katharine/0000-0002-0790-5895</t>
  </si>
  <si>
    <t>European Research Council (ERC) [678371]; NERC DTP studentship [NE/L002582/1]; European Research Council Consolidator grant (GOCART) [724416]; research program VENI (NWO) [016.Veni.192.150]; NERC [NE/V013122/1, NE/V003917/1, bas0100033, bgs06003] Funding Source: UKRI</t>
  </si>
  <si>
    <t>European Research Council (ERC)(European Research Council (ERC)Spanish Government); NERC DTP studentship(UK Research &amp; Innovation (UKRI)Natural Environment Research Council (NERC)); European Research Council Consolidator grant (GOCART)(European Research Council (ERC)); research program VENI (NWO); NERC(UK Research &amp; Innovation (UKRI)Natural Environment Research Council (NERC))</t>
  </si>
  <si>
    <t>Many thanks to the Captain, crew, National Marine Facility technicians and all the scientists aboard RRS Discovery expedition DY081 for their assistance in deploying and retrieving the gliders, and project manager, Daniel Comben, National Oceanography Center Southampton (NOCS). Many thanks to David White, Steve Woodward, and Candice Cameron for their assistance with glider preparation, deployment and piloting. Funding for DY081 was from the European Research Council (ERC Starting Grant 678371 ICY-LAB). JO is funded by NERC DTP studentship NE/L002582/1. Thanks to H. Claustre (CNRS) for curating the Argo float data. NB and SH were supported by a European Research Council Consolidator grant (GOCART, agreement number 724416) to SH. LM was funded by research program VENI (016.Veni.192.150, NWO). Many thanks to the editor and two anonymous reviewers who provided constructive and detailed suggestions for improving the manuscript.</t>
  </si>
  <si>
    <t>e2021JC017274</t>
  </si>
  <si>
    <t>10.1029/2021JC017274</t>
  </si>
  <si>
    <t>WOS:000690758000028</t>
  </si>
  <si>
    <t>Morgan, EJ; Manizza, M; Keeling, RF; Resplandy, L; Mikaloff-Fletcher, SE; Nevison, CD; Jin, YM; Bent, JD; Aumont, O; Doney, SC; Dunne, JP; John, J; Lima, ID; Long, MC; Rodgers, KB</t>
  </si>
  <si>
    <t>Morgan, Eric J.; Manizza, Manfredi; Keeling, Ralph F.; Resplandy, Laure; Mikaloff-Fletcher, Sara E.; Nevison, Cynthia D.; Jin, Yuming; Bent, Jonathan D.; Aumont, Olivier; Doney, Scott C.; Dunne, John P.; John, Jasmin; Lima, Ivan D.; Long, Matthew C.; Rodgers, Keith B.</t>
  </si>
  <si>
    <t>An Atmospheric Constraint on the Seasonal Air-Sea Exchange of Oxygen and Heat in the Extratropics</t>
  </si>
  <si>
    <t>OCEAN CARBON UPTAKE; MEAN ANNUAL CYCLE; GAS-EXCHANGE; WIND-SPEED; CO2; O-2; TEMPERATURE; O-2/N-2; MODEL; WATER</t>
  </si>
  <si>
    <t>The air-sea exchange of oxygen (O-2) is driven by changes in solubility, biological activity, and circulation. The total air-sea exchange of O-2 has been shown to be closely related to the air-sea exchange of heat on seasonal timescales, with the ratio of the seasonal flux of O-2 to heat varying with latitude, being higher in the extratropics and lower in the subtropics. This O-2/heat ratio is both a fundamental biogeochemical property of air-sea exchange and a convenient metric for testing earth system models. Current estimates of the O-2/heat flux ratio rely on sparse observations of dissolved O-2, leaving it fairly unconstrained. From a model ensemble we show that the ratio of the seasonal amplitude of two atmospheric tracers, atmospheric potential oxygen (APO) and the argon-to-nitrogen ratio (Ar/O-2), exhibits a close relationship to the O-2/heat ratio of the extratropics (40-70 degrees). The amplitude ratio, A(APO)/A(ArN2), is relatively constant within the extratropics of each hemisphere due to the zonal mixing of the atmosphere. A(APO)/A(ArN2) is not sensitive to atmospheric transport, as most of the observed spatial variability in the seasonal amplitude of delta APO is compensated by similar variations in delta(Ar/N-2). From the relationship between O-2/heat and A(APO)/A(ArN2) in the model ensemble, we determine that the atmospheric observations suggest hemispherically distinct O-2/heat flux ratios of 3.3 +/- 0.3 and 4.7 +/- 0.8 nmol J(-1) between 40 and 70 degrees in the Northern and Southern Hemispheres respectively, providing a useful constraint for O-2 and heat air-sea fluxes in earth system models and observation-based data products. Plain Language Summary Typically, the surface of the ocean releases oxygen to the atmosphere during summer and takes it up during winter. This cycle is driven by circulation, biology (photosynthesis and respiration), and the seasonal cycle in water temperature, which changes the solubility of oxygen in surface water. We have used measurements of two atmospheric tracers, one which tracks oxygen and one which tracks heat, to estimate the amount of oxygen taken up or released by a change in ocean heat content. By looking at ocean models and atmospheric observations of the two atmospheric tracers, we find that the oxygen exchange between the ocean and atmosphere in the Southern Hemisphere is more responsive to changes in heat content than in the Northern Hemisphere. These hemispheric metrics are useful tests of how ocean models simulate some biological and physical processes.</t>
  </si>
  <si>
    <t>[Morgan, Eric J.; Manizza, Manfredi; Keeling, Ralph F.; Jin, Yuming; Bent, Jonathan D.] Univ Calif San Diego, Scripps Inst Oceanog, Geosci Res Div, La Jolla, CA 92093 USA; [Resplandy, Laure] Princeton Univ, Dept Geosci, Princeton, NJ USA; [Resplandy, Laure] Princeton Univ, High Meadows Environm Inst, Princeton, NJ USA; [Mikaloff-Fletcher, Sara E.] Natl Inst Water &amp; Atmospher Res, Wellington, New Zealand; [Nevison, Cynthia D.] Univ Colorado, INSTAAR, Boulder, CO USA; [Bent, Jonathan D.; Long, Matthew C.] Natl Ctr Atmospher Res, POB 3000, Boulder, CO 80307 USA; [Bent, Jonathan D.] Picarro Inc, Santa Clara, CA USA; [Aumont, Olivier] LOCEAN, Paris, France; [Doney, Scott C.] Univ Virginia, Dept Environm Sci, Clark Hall, Charlottesville, VA 22903 USA; [Dunne, John P.; John, Jasmin] NOAA, OAR, Geophys Fluid Dynam Lab, Princeton, NJ USA; [Lima, Ivan D.] Woods Hole Oceanog Inst, Woods Hole, MA 02543 USA; [Rodgers, Keith B.] Inst Basic Sci, Ctr Climate Phys, Busan, South Korea; [Rodgers, Keith B.] Pusan Natl Univ, Busan, South Korea</t>
  </si>
  <si>
    <t>University of California System; University of California San Diego; Scripps Institution of Oceanography; Princeton University; Princeton University; National Institute of Water &amp; Atmospheric Research (NIWA) - New Zealand; University of Colorado System; University of Colorado Boulder; National Center Atmospheric Research (NCAR) - USA; Sorbonne Universite; Museum National d'Histoire Naturelle (MNHN); University of Virginia; National Oceanic Atmospheric Admin (NOAA) - USA; Woods Hole Oceanographic Institution; Institute for Basic Science - Korea (IBS); Pusan National University</t>
  </si>
  <si>
    <t>Morgan, EJ (corresponding author), Univ Calif San Diego, Scripps Inst Oceanog, Geosci Res Div, La Jolla, CA 92093 USA.</t>
  </si>
  <si>
    <t>ejmorgan@ucsd.edu</t>
  </si>
  <si>
    <t>Lima, Ivan D/A-6823-2016; Doney, Scott/F-9247-2010; Dunne, John/F-8086-2012; Jin, Yuming/JCD-5988-2023; Long, Matthew C/H-4632-2016; aumont, olivier/G-5207-2016</t>
  </si>
  <si>
    <t>Doney, Scott/0000-0002-3683-2437; NEVISON, CYNTHIA/0000-0002-7157-092X; Resplandy, Laure/0000-0002-1212-3943; aumont, olivier/0000-0003-3954-506X; Mikaloff Fletcher, Sara/0000-0003-0741-0320; Jin, Yuming/0000-0003-3632-6697</t>
  </si>
  <si>
    <t>NSF [PLR-1440435, ARRA OCE-0850350, OCE-1130976]; National Oceanographic and Atmospheric Administration (NOAA) [1304270, OAR-CIPO-2015-2004269]; NSF; [IBS-R028-D1]</t>
  </si>
  <si>
    <t>NSF(National Science Foundation (NSF)); National Oceanographic and Atmospheric Administration (NOAA)(National Oceanic Atmospheric Admin (NOAA) - USA); NSF(National Science Foundation (NSF));</t>
  </si>
  <si>
    <t>The recent atmospheric measurements of the Scripps O2 program have been supported via funding from the NSF and the National Oceanographic and Atmospheric Administration (NOAA) under grants 1304270 and OAR-CIPO-2015-2004269. M. Manizza and R. F. Keeling thank NSF for financial support via the OCE-1130976 grant. M. Manizza thanks additional financial support from NSF via the ARRA OCE-0850350 grant. S. C. Doney acknowledges support from NSF PLR-1440435. Keith Rodgers acknowledges support from IBS-R028-D1. Gael Forget and the ECCO group kindly provided the ECCOv4 heat fluxes. The authors thank group members Stephen Walker, Sara Afshar, Shane Clark, Bill Paplawsky for support in the flask analyses and data workup. They thank staff from the U.S. Antarctic program for flask collections at Palmer Station, staff from the U.S. Weather Service for flask collections at Cold Bay, Alaska, and staff from the National Oceanographic and Atmospheric Administration for flask collections in Hawaii and Samoa. Comments from Graeme MacGilchrist helped to improve the manuscript. Any opinions, findings, and conclusions or recommendations expressed in this publication are those of the author(s) and do not necessarily reflect the views of the supporting agencies.</t>
  </si>
  <si>
    <t>e2021JC017510</t>
  </si>
  <si>
    <t>10.1029/2021JC017510</t>
  </si>
  <si>
    <t>WOS:000690758000007</t>
  </si>
  <si>
    <t>Morioka, Y; Behera, SK</t>
  </si>
  <si>
    <t>Morioka, Yushi; Behera, Swadhin K.</t>
  </si>
  <si>
    <t>Remote and Local Processes Controlling Decadal Sea Ice Variability in the Weddell Sea</t>
  </si>
  <si>
    <t>decadal variability; sea ice; Weddell Sea</t>
  </si>
  <si>
    <t>ANTARCTIC BOTTOM WATER; WAVE-ACTIVITY FLUX; TEMPERATURE VARIABILITY; CLIMATE VARIABILITY; SOUTH ATLANTIC; OCEAN; OSCILLATION; ATMOSPHERE; DRIVEN; EXTENT</t>
  </si>
  <si>
    <t>Sea ice in the Weddell Sea plays important roles in the albedo, air-sea heat, freshwater, and gas exchanges and the formation of the Antarctic Bottom Water on the continental shelf that regulates global climate through deep thermohaline circulation. Sea ice extent (SIE) in the Weddell Sea does not show any significant trend in the four-decade satellite observation period but does experience large interannual-to-decadal variability. Physical processes underlying this variability are difficult to examine because of a paucity of prolonged observations. Using a coupled general circulation model, we corroborate the observational finding that decadal increases in SIE are preceded by weakening of the mean westerly winds linked to the Southern Annular Mode. Weakening of the westerly winds over the Weddell Sea reduces the northward Ekman current and suppresses upwelling of warm water from the subsurface ocean; this lowers the upper-ocean temperature, causing an increase in sea ice. In a sensitivity experiment where the interannual sea surface temperature variations are suppressed outside the South Atlantic and the Weddell Sea, decadal increase in the SIE over the Weddell Sea is induced by a decrease in the upper-ocean temperature owing to enhanced horizontal advection by the Weddell Gyre. The strengthening of the Weddell Gyre increases the upper-ocean salinity as a result of enhanced evaporation and brine rejection associated with the sea ice increase. These results demonstrate that both the remote atmospheric forcing and local ice-ocean interaction are crucial for generation of decadal sea ice variability in the Weddell Sea.</t>
  </si>
  <si>
    <t>[Morioka, Yushi; Behera, Swadhin K.] JAMSTEC, VAiG, Applicat Lab, Yokohama, Kanagawa, Japan</t>
  </si>
  <si>
    <t>Japan Agency for Marine-Earth Science &amp; Technology (JAMSTEC)</t>
  </si>
  <si>
    <t>Morioka, Y (corresponding author), JAMSTEC, VAiG, Applicat Lab, Yokohama, Kanagawa, Japan.</t>
  </si>
  <si>
    <t>morioka@jamstec.go.jp</t>
  </si>
  <si>
    <t>Morioka, Yushi/G-3431-2014; Behera, Swadhin K./B-7839-2009</t>
  </si>
  <si>
    <t>Morioka, Yushi/0000-0002-2709-4911; Behera, Swadhin K./0000-0001-8692-2388</t>
  </si>
  <si>
    <t>JSPS KAKENHI [19K14800]; Grants-in-Aid for Scientific Research [19K14800]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</si>
  <si>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</si>
  <si>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SINTEX-F2 was run on the Data Analyzer (DA) system at the Japan Agency for Marine Earth Science and Technology (JAMSTEC). The authors are grateful to Drs. Thomas L. Delworth and Liping Zhang for their valuable comments on the model experiments and data analysis. Also, constructive comments by Profs. Hisashi Nakamura and Youichi Tanimoto, Drs. Masami Nonaka and Laurence Padman, and three anonymous reviewers are helpful for improving the quality of this paper. The present research is partly supported by JSPS KAKENHI Grant Number 19K14800.</t>
  </si>
  <si>
    <t>e2020JC017036</t>
  </si>
  <si>
    <t>10.1029/2020JC017036</t>
  </si>
  <si>
    <t>WOS:000690758000032</t>
  </si>
  <si>
    <t>Ribeiro, N; Herraiz-Borreguero, L; Rintoul, SR; McMahon, CR; Hindell, M; Harcourt, R; Williams, G</t>
  </si>
  <si>
    <t>Ribeiro, N.; Herraiz-Borreguero, L.; Rintoul, S. R.; McMahon, C. R.; Hindell, M.; Harcourt, R.; Williams, G.</t>
  </si>
  <si>
    <t>Warm Modified Circumpolar Deep Water Intrusions Drive Ice Shelf Melt and Inhibit Dense Shelf Water Formation in Vincennes Bay, East Antarctica</t>
  </si>
  <si>
    <t>mCDW intrusions; basal melt; AABW; seal CTD; Antarctic Margins; Antarctic Coastal Circulation</t>
  </si>
  <si>
    <t>BOTTOM WATER; BASAL MELT; SEA-WATER; CIRCULATION; OCEANOGRAPHY; VARIABILITY; POLYNYA; GLACIER; BENEATH; MASSES</t>
  </si>
  <si>
    <t>Antarctic Bottom Water (AABW) production supplies the deep limb of the global overturning circulation and ventilates the deep ocean. While the Weddell and Ross Seas are recognized as key sites for AABW production, additional sources have been discovered in coastal polynya regions around East Antarctica, most recently at Vincennes Bay. Vincennes Bay, despite encompassing two distinct polynya regions, is considered the weakest source, producing Dense Shelf Water (DSW) only just dense enough to contribute to the lighter density classes of AABW found offshore. Here we provide the first detailed oceanographic observations of the continental shelf in Vincennes Bay (104-111 degrees E), using CTD data from instrumented elephant seals spanning from February to November of 2012. We find that Vincennes Bay has East Antarctica's warmest recorded intrusions of modified Circumpolar Deep Water (mCDW) and that warm mCDW drives basal melt under Vanderford and Underwood ice shelves. Our study also provides the first direct observational evidence for the inflow of meltwater to this region, which increases stratification and hinders DSW formation, and thus AABW production. The Vincennes Bay glaciers, together with the Totten Glacier, drain part of the Aurora Basin, which holds up to 7 m of sea level rise equivalent. Our results highlight the vulnerability of the East Antarctic Ice Sheet to intrusions of mCDW.</t>
  </si>
  <si>
    <t>[Ribeiro, N.; Hindell, M.; Williams, G.] Univ Tasmania, Inst Marine &amp; Antarctic Studies, Hobart, Tas, Australia; [Herraiz-Borreguero, L.; Rintoul, S. R.] Commonwealth Sci &amp; Ind Res Org Oceans &amp; Atmospher, Hobart, Tas, Australia; [Herraiz-Borreguero, L.; Rintoul, S. R.] Ctr Southern Hemisphere Oceans Res CSHOR, Hobart, Tas, Australia; [Rintoul, S. R.] Univ Tasmania, Australian Antarctic Program Partnership, Hobart, Tas, Australia; [McMahon, C. R.] Sydn Inst Marine Sci, IMOS Anim Tagging, Sydney, NSW, Australia; [Harcourt, R.] Macquarie Univ, Dept Biol Sci, Sydney, NSW, Australia</t>
  </si>
  <si>
    <t>University of Tasmania; Commonwealth Scientific &amp; Industrial Research Organisation (CSIRO); University of Tasmania; Macquarie University</t>
  </si>
  <si>
    <t>Ribeiro, N (corresponding author), Univ Tasmania, Inst Marine &amp; Antarctic Studies, Hobart, Tas, Australia.</t>
  </si>
  <si>
    <t>natalia.ribeirosantos@utas.edu.au</t>
  </si>
  <si>
    <t>McMahon, Clive R/D-5713-2013; Hindell, Mark A/K-1131-2013; Herraiz-Borreguero, Laura/D-5795-2015</t>
  </si>
  <si>
    <t>McMahon, Clive R/0000-0001-5241-8917; Ribeiro Santos, Natalia/0000-0001-5427-9746; Harcourt, Robert/0000-0003-4666-2934; Williams, Guy/0000-0002-3975-2977; Herraiz-Borreguero, Laura/0000-0002-4455-801X; Hindell, Mark/0000-0002-7823-7185</t>
  </si>
  <si>
    <t>University of Tasmania; French Polar Institute [109]; Australia's Integrated Marine Observing System (IMOS); Centre for Southern Hemisphere Oceans Research; CSIRO; Qingdao National Laboratory for Marine Science and Technology (QNLM); University of New South Wales</t>
  </si>
  <si>
    <t>University of Tasmania; French Polar Institute; Australia's Integrated Marine Observing System (IMOS); Centre for Southern Hemisphere Oceans Research(Commonwealth Scientific &amp; Industrial Research Organisation (CSIRO)); CSIRO(Commonwealth Scientific &amp; Industrial Research Organisation (CSIRO)); Qingdao National Laboratory for Marine Science and Technology (QNLM); University of New South Wales</t>
  </si>
  <si>
    <t>This work was funded by University of Tasmania and supported by the French Polar Institute (program 109: PI. H. Weimerskirch and the SNO-MEMO and CNES-TOSCA) in collaboration with The Integrated Marine Observing System (IMOS). Australia's Integrated Marine Observing System (IMOS) is enabled by the National Collaborative Research Infrastructure Strategy (NCRIS). It is operated by a consortium of institutions as an unincorporated joint venture, with the University of Tasmania as Lead Agent. The study is also supported in part by the Australian Antarctic Program Partnership and by the Centre for Southern Hemisphere Oceans Research, a collaboration between CSIRO, the Qingdao National Laboratory for Marine Science and Technology (QNLM), the University of Tasmania and the University of New South Wales. The authors would like to thank the MEOP consortium and all scientists who participated in the data collection and processing, making it freely available.</t>
  </si>
  <si>
    <t>e2020JC016998</t>
  </si>
  <si>
    <t>10.1029/2020JC016998</t>
  </si>
  <si>
    <t>WOS:000690758000044</t>
  </si>
  <si>
    <t>Zheng, ZJ; Luo, XF; Wei, H; Zhao, W; Qi, D</t>
  </si>
  <si>
    <t>Zheng, Zijia; Luo, Xiaofan; Wei, Hao; Zhao, Wei; Qi, Di</t>
  </si>
  <si>
    <t>Analysis of the Seasonal and Interannual Variations of Air-Sea CO2 Flux in the Chukchi Sea Using a Coupled Ocean-Sea Ice-Biogeochemical Model</t>
  </si>
  <si>
    <t>Air-sea CO2 flux; Chukchi Sea; primary production; sea ice concentration; seasonal and interannual variations; wind speed</t>
  </si>
  <si>
    <t>CARBONATE CHEMISTRY DYNAMICS; ARCTIC-OCEAN; SPATIAL VARIABILITY; BERING-STRAIT; WATER; DIOXIDE; SHELF; DISTRIBUTIONS; EXCHANGE; MECHANISMS</t>
  </si>
  <si>
    <t>Understanding the responses of air-sea carbon dioxide (CO2) flux to rapid environmental changes in the highly productive Chukchi Sea is of great significance for the climate prediction in the Arctic Ocean. Through analyzing the 1998-2015 hindcast simulation of a coupled ocean-sea ice-biogeochemical model, this study identifies that the key factors influencing oceanic carbon uptake in the Chukchi Sea vary seasonally. The effects of these seasonal carbon uptakes on the total annual carbon sink vary at different timescales. The model solution suggests that the Chukchi Sea acts as a perennial carbon sink of atmospheric CO2 with the annual mean influx of -3.73 +/- 3.90 mmol m(-2) d(-1). Quantitative analyses reveal that the sea ice concentration predominates the annual cycle of air-sea CO2 flux, while primary production and wind speed strengthen the capacity for carbon uptake during June-July (melt season) and October-December (freeze season), respectively. The total annual carbon sink shows an increasing trend during 1998-2015 with a multi-year average of 9.22 +/- 1.93 Tg C y(-1). The carbon uptakes during June-July and August-September (open water season), which are respectively regulated by primary production and open water area at interannual scale, present significant long-term increases and jointly determine the secular increase trend of the total annual carbon sink. Interannual CO2 absorption during the freeze season is sensitive to the sea ice concentration and wind conditions, presenting the greatest year-to-year variation but insignificant long-term trend, and modulates the interannual amplitude of the total annual carbon sink.</t>
  </si>
  <si>
    <t>[Zheng, Zijia; Luo, Xiaofan; Wei, Hao; Zhao, Wei] Tianjin Univ, Sch Marine Sci &amp; Tecnnol, Tianjin, Peoples R China; [Qi, Di] Minist Nat Resources, Key Lab Global Change &amp; Marine Atmospher Chem, Inst Oceanog 3, Xiamen, Peoples R China</t>
  </si>
  <si>
    <t>Tianjin University; Third Institute of Oceanography, Ministry of Natural Resources; Ministry of Natural Resources of the People's Republic of China</t>
  </si>
  <si>
    <t>Luo, XF (corresponding author), Tianjin Univ, Sch Marine Sci &amp; Tecnnol, Tianjin, Peoples R China.</t>
  </si>
  <si>
    <t>xiaofan.luo@tju.edu.cn</t>
  </si>
  <si>
    <t>Zheng, Zijia/KFP-9989-2024</t>
  </si>
  <si>
    <t>Zheng, Zijia/0000-0002-6662-708X; Zhao, Wei/0000-0002-2035-4995; Qi, Di/0000-0003-4762-266X; Wei, Hao/0000-0002-5227-8384</t>
  </si>
  <si>
    <t>National Natural Science Foundation of China [41630969, 41941013, 41806225]; Tianjin Municipal Natural Science Foundation [20JCQNJC01290]</t>
  </si>
  <si>
    <t>National Natural Science Foundation of China(National Natural Science Foundation of China (NSFC)); Tianjin Municipal Natural Science Foundation(Natural Science Foundation of Tianjin)</t>
  </si>
  <si>
    <t>This study is supported by the National Natural Science Foundation of China (41630969, 41941013, and 41806225) and the Tianjin Municipal Natural Science Foundation (20JCQNJC01290). The authors thank the Chinese National Arctic and Antarctic Data Center, the Surface Ocean CO2 Atlas, the Lamont-Doherty Earth Observatory of Columbia University Carbon Dioxide Research Group, the CLIVAR and Carbon Hydrographic Data Office, the Japan Agency for Marine-Earth Science and Technology, and Dr. Gert L. van Dijken of Stanford University for providing the precious observed data used in this paper. The authors also greatly thank the two anonymous reviewers for constructive suggestions on the original manuscript.</t>
  </si>
  <si>
    <t>e2021JC017550</t>
  </si>
  <si>
    <t>10.1029/2021JC017550</t>
  </si>
  <si>
    <t>WOS:000690758000013</t>
  </si>
  <si>
    <t>Kalishin, AS; Blagoveshchenskaya, NF; Borisova, TD; Yeoman, TK</t>
  </si>
  <si>
    <t>Kalishin, A. S.; Blagoveshchenskaya, N. F.; Borisova, T. D.; Yeoman, T. K.</t>
  </si>
  <si>
    <t>Ion Gyro-Harmonic Structures in Stimulated Emission Excited by X-Mode High Power HF Radio Waves at EISCAT</t>
  </si>
  <si>
    <t>JOURNAL OF GEOPHYSICAL RESEARCH-SPACE PHYSICS</t>
  </si>
  <si>
    <t>high power HF radio waves; high latitude ionosphere; stimulated electromagnetic emission; EISCAT</t>
  </si>
  <si>
    <t>HIGH-LATITUDE IONOSPHERE; OUTSHIFTED PLASMA LINES; BRILLOUIN SCATTER; F-REGION; ELECTROMAGNETIC EMISSIONS; GYROHARMONIC STRUCTURES; PUMP FREQUENCIES; ENHANCED PLASMA; HEATER WAVE; RADIATION</t>
  </si>
  <si>
    <t>The distinctive features of the ion gyro-harmonic discrete structures in the narrowband stimulated electromagnetic emission (NSEE) spectra (within +/- 1 kHz of the heater frequency), excited by an extraordinary (X-mode) polarized high frequency (HF) pump wave in the F-region of the high latitude ionosphere, are reported. Results were obtained from three sets of experiments at the EISCAT (European incoherent Scatter) HF Heating facility at pump frequencies of 5.423, 6.77 and 7.953 MHz, which are below the fourth, fifth, and sixth electron gyro-harmonics. High power HF radio waves were radiated in the magnetic field-aligned direction with an effective radiated power of 238-740 MW. Discrete spectral features, ordered by the ion gyro frequency (for O+ ions), were recorded at a large distance (1,200 km) away from the Heating facility. Up to 10 downshifted discrete ion gyro-harmonic structures paired with the upshifted spectral components (Stokes and anti-Stokes modes) in the NSEE spectra have been excited in the course of these experiments. It was found that preconditioning effects have a significant impact on the temporal evolution of the discrete spectral structures. The ion gyro-harmonic structures coexisted with field-aligned artificial irregularities (FAIs). Comparing the NSEE and EISCAT incoherent scatter radar observational results, it was concluded that the electron accelerations along and across the geomagnetic field coexist during X-mode heating. The magnetized stimulated Brillouin scatter and stimulated ion Bernstein scatter are discussed as relevant processes for the observed multiple down- and upshifted ion gyro-harmonic structures in the NSEE spectra.</t>
  </si>
  <si>
    <t>[Kalishin, A. S.; Blagoveshchenskaya, N. F.; Borisova, T. D.] Arctic &amp; Antarctic Res Inst, St Petersburg, Russia; [Yeoman, T. K.] Univ Leicester, Sch Phys &amp; Astron, Leicester, Leics, England</t>
  </si>
  <si>
    <t>Arctic &amp; Antarctic Research Institute; University of Leicester</t>
  </si>
  <si>
    <t>Blagoveshchenskaya, NF (corresponding author), Arctic &amp; Antarctic Res Inst, St Petersburg, Russia.</t>
  </si>
  <si>
    <t>nataly@aari.nw.ru</t>
  </si>
  <si>
    <t>Blagoveshchenskaya, Nataly/AAE-4093-2022; Yeoman, Timothy k/L-9105-2014; Blagoveshchenskaya, Nataly F./S-4342-2017</t>
  </si>
  <si>
    <t>Blagoveshchenskaya, Nataly/0000-0003-1752-3273; Yeoman, Timothy k/0000-0002-8434-4825; Blagoveshchenskaya, Nataly F./0000-0003-1752-3273; Kalishin, Alexey/0000-0001-7299-6546</t>
  </si>
  <si>
    <t>Arctic and Antarctic Research Institute; Science and Technology Facilities Council [ST/H002480/1]</t>
  </si>
  <si>
    <t>Arctic and Antarctic Research Institute; Science and Technology Facilities Council(UK Research &amp; Innovation (UKRI)Science &amp; Technology Facilities Council (STFC))</t>
  </si>
  <si>
    <t>EISCAT is an international scientific association supported by research organizations in China (CRIRP), Finland (SA), Japan (NIPR and STEL), Norway (NFR), Sweden (VR), and the United Kingdom (NERC). The authors acknowledge the use of SuperDARN data. SuperDARN is a collection of radars funded by the national scientific funding agencies of Australia, Canada, China, France, Italy, Japan, Norway, South Africa, the United Kingdom, and the United States. The authors are thankful to Dr. M. Rietveld for the calculations of effective radiated powers under O- and X-mode HF pumping. The authors are also grateful to the reviewers for useful comments. N F. Blagoveshchenskaya, T D. Borisova, and A S. Kalishin are supported by the Arctic and Antarctic Research Institute. T K. Yeoman is supported by Science and Technology Facilities Council Grant ST/H002480/1.</t>
  </si>
  <si>
    <t>2169-9380</t>
  </si>
  <si>
    <t>2169-9402</t>
  </si>
  <si>
    <t>J GEOPHYS RES-SPACE</t>
  </si>
  <si>
    <t>J. Geophys. Res-Space Phys.</t>
  </si>
  <si>
    <t>e2020JA028989</t>
  </si>
  <si>
    <t>10.1029/2020JA028989</t>
  </si>
  <si>
    <t>Astronomy &amp; Astrophysics</t>
  </si>
  <si>
    <t>UJ0XF</t>
  </si>
  <si>
    <t>WOS:000691018000066</t>
  </si>
  <si>
    <t>Motoba, T; Ogawa, Y; Ebihara, Y; Kadokura, A; Gerrard, AJ; Weatherwax, AT</t>
  </si>
  <si>
    <t>Motoba, T.; Ogawa, Y.; Ebihara, Y.; Kadokura, A.; Gerrard, A. J.; Weatherwax, A. T.</t>
  </si>
  <si>
    <t>Daytime Pc5 Diffuse Auroral Pulsations and Their Association With Outer Magnetospheric ULF Waves</t>
  </si>
  <si>
    <t>LONG-PERIOD; CONE ANGLE; PRECIPITATION; INSTRUMENT; DEPENDENCE; DRIVER; CHORUS; ARCS</t>
  </si>
  <si>
    <t>South Pole Station, Antarctica (SPA, magnetic latitude = -74.5 degrees, magnetic local time (MLT) = UT-3.5 h), is a unique observatory which can capture daytime auroral forms throughout austral winter season. We have studied the properties and origin of ultralow-frequency (ULF) range modulation of daytime diffuse aurora, using data acquired on June 23, 2017 by multi-instrument measurements at SPA and in situ measurements in the dayside outer magnetosphere. At 1500-1600 UT, monochromatic Pc5-range pulsations (period similar to 10 min) emerged in the midday diffuse auroral region. The sequential 2-D images reveal that the auroral pulsations result from the repetitive formation of faint, diffuse auroral patches, propagating poleward at a speed of similar to 1.5 km s(-1). Interestingly, no obviously similar magnetic pulsations were found at SPA. The results differ fundamentally from the ground optical and magnetic signatures expected for a standing field line resonance. On the other hand, the co-located riometer and VLF receiver observed clearly synchronized pulsations, suggesting that tens-of-keV electrons interact with modulated chorus waves and then are scattered down to the auroral pulsation region. During the same interval, the THEMIS-D spacecraft detected corresponding Pc5 oscillations in the dayside outer magnetosphere (9-10 R-E and similar to 15 MLT). The compressional component of the magnetospheric Pc5 waves, presumably driven by an external source, exhibited a good correspondence to the daytime Pc5 auroral pulsations. The simultaneous SPA-THEMIS observations highlight the role of compressional Pc5 pulsations in the dayside outer magnetosphere in determining the periodicity of daytime high-latitude diffuse auroral pulsations.</t>
  </si>
  <si>
    <t>[Motoba, T.] Johns Hopkins Univ, Appl Phys Lab, Laurel, MD 20723 USA; [Ogawa, Y.; Kadokura, A.] Natl Inst Polar Res, Tokyo, Japan; [Ogawa, Y.; Kadokura, A.] Grad Univ Adv Studies SOKENDAI, Hayama, Kanagawa, Japan; [Ogawa, Y.; Kadokura, A.] Res Org Informat &amp; Syst, Joint Support Ctr Data Sci Res, Tokyo, Japan; [Ebihara, Y.] Kyoto Univ, Res Inst Sustainable Humanosphere, Kyoto, Japan; [Gerrard, A. J.] New Jersey Inst Technol, Ctr Solar Terr Res, Newark, NJ 07102 USA; [Weatherwax, A. T.] Merrimack Coll, N Andover, MA 01845 USA</t>
  </si>
  <si>
    <t>Johns Hopkins University; Johns Hopkins University Applied Physics Laboratory; Research Organization of Information &amp; Systems (ROIS); National Institute of Polar Research (NIPR) - Japan; Graduate University for Advanced Studies - Japan; Research Organization of Information &amp; Systems (ROIS); Kyoto University; New Jersey Institute of Technology; Merrimack College</t>
  </si>
  <si>
    <t>Motoba, T (corresponding author), Johns Hopkins Univ, Appl Phys Lab, Laurel, MD 20723 USA.</t>
  </si>
  <si>
    <t>tetsuo.motoba@gmail.com</t>
  </si>
  <si>
    <t>Ebihara, Yusuke/ABD-4430-2021; Ebihara, Yusuke/D-1638-2013; Motoba, Tetsuo/S-4554-2017</t>
  </si>
  <si>
    <t>Ebihara, Yusuke/0000-0002-2293-1557; Ebihara, Yusuke/0000-0002-2293-1557; Ogawa, Yasunobu/0000-0002-8118-4475; KADOKURA, AKIRA/0000-0002-6105-9562; Weatherwax, Allan/0000-0003-4732-358X; Motoba, Tetsuo/0000-0002-8138-7897</t>
  </si>
  <si>
    <t>NSF [PLR-1247975, ANT-1643700, ANT-0638587, PLR-1744609, 1716192, 1742693]; Japanese Antarctic Research Expedition program; NASA [NAS5-02099]; Directorate For Geosciences; Office of Polar Programs (OPP) [1742693] Funding Source: National Science Foundation; Directorate For Geosciences; Office of Polar Programs (OPP) [1716192] Funding Source: National Science Foundation</t>
  </si>
  <si>
    <t>NSF(National Science Foundation (NSF)); Japanese Antarctic Research Expedition program; NASA(National Aeronautics &amp; Space Administration (NASA)); Directorate For Geosciences; Office of Polar Programs (OPP)(National Science Foundation (NSF)NSF - Directorate for Geosciences (GEO)); Directorate For Geosciences; Office of Polar Programs (OPP)(National Science Foundation (NSF)NSF - Directorate for Geosciences (GEO))</t>
  </si>
  <si>
    <t>Work at JHU/APL was supported by an NSF grant PLR-1744609. Work at Merrimack College was supported by NSF Awards 1716192 and 1742693. The South Pole instruments and their operations have been supported by NSF grants PLR-1247975, ANT-1643700, and ANT-0638587, and the Japanese Antarctic Research Expedition program. We acknowledge NASA contract NAS5-02099 and V. Angelopoulos for use of data from the THEMIS Mission.</t>
  </si>
  <si>
    <t>e2021JA029218</t>
  </si>
  <si>
    <t>10.1029/2021JA029218</t>
  </si>
  <si>
    <t>WOS:000691018000042</t>
  </si>
  <si>
    <t>Oliva, FG; da Silva, MGAJ</t>
  </si>
  <si>
    <t>Oliva, Fabio Guimaraes; Justi da Silva, Maria Gertrudes A.</t>
  </si>
  <si>
    <t>Does Antarctic Oscillation have links and influence precipitation over the Uruguay River Drainage Basin in Southeastern South America?</t>
  </si>
  <si>
    <t>JOURNAL OF WATER AND CLIMATE CHANGE</t>
  </si>
  <si>
    <t>Antarctic Oscillation; precipitation; teleconnection; Uruguay River Drainage Basin</t>
  </si>
  <si>
    <t>EXTRATROPICAL CIRCULATION; ANNULAR MODES; SEA-ICE; IMPACTS; BRAZIL</t>
  </si>
  <si>
    <t>This article examines the links and the influence of Antarctic Oscillation (AAO) on precipitation over the Uruguay River Drainage Basin and adjacent regions, situated in Southeastern South America. In this article, we used monthly data of AAO Index obtained from the Climate Prediction Center/National Centers for Environmental Prediction (CPC/NCEP); monthly data of 500 hPa vertical motion through omega variable (omega = Dp/Dt) and converted to vertical velocity (cm/s) from the NCEP/NCAR Reanalysis; monthly data of precipitation from the NCEP Reanalysis 2 and monthly data of precipitation rate from the CPC Merged Analysis of Precipitation (CMAP) with a latitude x longitude spatial resolution of 2.5 degrees x 2.5 degrees. All data are monthly means and were obtained from January 1979 to December 2008. The methodological procedures used Grid Analysis and Display System (GrADS) software to generate composites of vertical motion and precipitation rates. In the case of CMAP precipitation data, the methodology consists of applying the Aspin Welch statistical test, which verifies the statistical significance of the difference between two means using a significance level of 5%. The study region indicates a tendency to present higher (lower) mean rates of precipitation during the AAO negative (positive) phase. The vertical motion analysis results corroborate with the precipitation rates since the higher vertical motions were found during the negative phase of AAO. The statistical test showed, to some areas of Uruguay River Drainage Basin and adjacent regions, statistically significant differences between mean rates of precipitation observed in both phases of AAO.</t>
  </si>
  <si>
    <t>[Oliva, Fabio Guimaraes] Univ Fed Rio de Janeiro, Dept Meteorol IGEO CCMN, Cidade Univ,Rua Athos da Silveira Ramos 274, BR-21941916 Rio De Janeiro, RJ, Brazil; [Justi da Silva, Maria Gertrudes A.] Univ Estadual Norte Fluminense, Lab Meteorol, CCT, POB 119562, BR-27910970 Macae, RJ, Brazil</t>
  </si>
  <si>
    <t>Universidade Federal do Rio de Janeiro; Universidade Estadual do Norte Fluminense</t>
  </si>
  <si>
    <t>Oliva, FG (corresponding author), Univ Fed Rio de Janeiro, Dept Meteorol IGEO CCMN, Cidade Univ,Rua Athos da Silveira Ramos 274, BR-21941916 Rio De Janeiro, RJ, Brazil.</t>
  </si>
  <si>
    <t>faoliva@hotmail.com</t>
  </si>
  <si>
    <t>IWA PUBLISHING</t>
  </si>
  <si>
    <t>REPUBLIC-EXPORT BLDG, UNITS 1 04 &amp; 1 05, 1 CLOVE CRESCENT, LONDON, ENGLAND</t>
  </si>
  <si>
    <t>2040-2244</t>
  </si>
  <si>
    <t>2408-9354</t>
  </si>
  <si>
    <t>J WATER CLIM CHANGE</t>
  </si>
  <si>
    <t>J. Water Clim. Chang.</t>
  </si>
  <si>
    <t>10.2166/wcc.2020.001</t>
  </si>
  <si>
    <t>Water Resources</t>
  </si>
  <si>
    <t>UJ1ZK</t>
  </si>
  <si>
    <t>WOS:000691092100011</t>
  </si>
  <si>
    <t>Guilderson, TP; Allen, K; Landers, JP; Ettwein, VJ; Cook, MS</t>
  </si>
  <si>
    <t>Guilderson, Thomas P.; Allen, Katherine; Landers, Jordan P.; Ettwein, Virginia J.; Cook, Mea S.</t>
  </si>
  <si>
    <t>Can We Better Constrain the Timing of GNAIW/UNADW Variability in the Western Equatorial Atlantic and Its Relationship to Climate Change During the Last Deglaciation?</t>
  </si>
  <si>
    <t>PALEOCEANOGRAPHY AND PALEOCLIMATOLOGY</t>
  </si>
  <si>
    <t>DEEP-SEA; CALIBRATION UNCERTAINTIES; RADIOCARBON MEASUREMENTS; TROPICAL ATLANTIC; GLACIAL MAXIMUM; SOUTHERN ALPS; C-14 AGES; CIRCULATION; CARBONATE; OCEAN</t>
  </si>
  <si>
    <t>We have revisited the well-trod VM28-122 core retrieved from the deep Colombian Basin, which includes sediments that reflect modern Upper North Atlantic Deep Water and extends through the last deglaciation into the last glacial period when the site was bathed in Glacial North Atlantic Intermediate Water. Here, we leverage the nearby Cariaco Basin's surface water radiocarbon reconstruction (reservoir age, and Delta R) on the IntCal20 timescale to recast the period of the last deglaciation with a newly constrained age model. Based on the revised age model, we observe that the multimillennial decrease in benthic delta C-13 and B/Ca (which record delta C-13 of dissolved inorganic carbon and Delta[CO3-2], respectively) began at 18,100 +/- 240 (95% CI) calibrated years BP, synchronous with Termination 1, as identified by changes in the Antarctic Ice Sheet composite and by the onset of rapid glacier recession in the Southern Hemisphere (Denton et al., 2010, ; Denton et al., 2021, ). The beginning of the decrease in benthic delta O-18 is concurrent with the changes in carbon chemistry or at most, a few hundred years later. It is no later than 17,700 +/- 300 (95% CI) yrs BP in our record, at the putative start of Heinrich Stadial 1. With sufficient data density (more than 2-3 control points per kyr) and an independent record of past surface water radiocarbon variations, it is possible to achieve late glacial and deglacial chronologies with fidelities similar to those of ice cores. Doing so in more oceanographic locations should shed light more broadly on the mechanisms instrumental to abrupt climate change.</t>
  </si>
  <si>
    <t>[Guilderson, Thomas P.] Univ Calif Santa Cruz, Dept Ocean Sci, Santa Cruz, CA 95064 USA; [Guilderson, Thomas P.; Ettwein, Virginia J.] Lawrence Livermore Natl Lab, Ctr Accelerator Mass Spectrometry, Livermore, CA 94550 USA; [Allen, Katherine] Univ Maine, Sch Earth &amp; Climate Sci, Orono, ME USA; [Landers, Jordan P.] Greenwings Biomed, Irvine, CA USA; [Ettwein, Virginia J.] Univ Oxford, Dept Earth Sci, Oxford, England; [Cook, Mea S.] Williams Coll, Dept Geosci, Williamstown, MA 01267 USA</t>
  </si>
  <si>
    <t>University of California System; University of California Santa Cruz; United States Department of Energy (DOE); Lawrence Livermore National Laboratory; University of Maine System; University of Maine Orono; University of Oxford; Williams College</t>
  </si>
  <si>
    <t>Guilderson, TP (corresponding author), Univ Calif Santa Cruz, Dept Ocean Sci, Santa Cruz, CA 95064 USA.;Guilderson, TP (corresponding author), Lawrence Livermore Natl Lab, Ctr Accelerator Mass Spectrometry, Livermore, CA 94550 USA.</t>
  </si>
  <si>
    <t>tguilder@ucsc.edu</t>
  </si>
  <si>
    <t>Guilderson, Thomas/0000-0001-9371-7059; Allen, Katherine/0000-0002-1362-5400; Landers, Jordan/0000-0001-9772-7617</t>
  </si>
  <si>
    <t>U.S. NSF; US NSF [OCE-0823549]; U.S. Department of Energy by the Center for Accelerator Mass Spectrometry at the University of California's Lawrence Livermore National Laboratory [W-7405-Eng-48]; LDEO</t>
  </si>
  <si>
    <t>U.S. NSF(National Science Foundation (NSF)); US NSF(National Science Foundation (NSF)); U.S. Department of Energy by the Center for Accelerator Mass Spectrometry at the University of California's Lawrence Livermore National Laboratory; LDEO</t>
  </si>
  <si>
    <t>The lead author is indebted to the late W. Broecker and B. Thunell. The LDEO core repository is supported by the U.S. NSF and LDEO. The authors thank M. Walczak and an anonymous reviewer for comments and criticisms of this manuscript. Their input was most welcome and helped clarify the study. We acknowledge the US NSF (OCE-0823549) to Thomas P. Guilderson in support of a portion of the radiocarbon analyses. Radiocarbon analyses were performed under the auspices of the U.S. Department of Energy by the Center for Accelerator Mass Spectrometry at the University of California's Lawrence Livermore National Laboratory (contract W-7405-Eng-48).</t>
  </si>
  <si>
    <t>2572-4517</t>
  </si>
  <si>
    <t>2572-4525</t>
  </si>
  <si>
    <t>PALEOCEANOGR PALEOCL</t>
  </si>
  <si>
    <t>Paleoceanogr. Paleoclimatology</t>
  </si>
  <si>
    <t>e2020PA004187</t>
  </si>
  <si>
    <t>10.1029/2020PA004187</t>
  </si>
  <si>
    <t>Geosciences, Multidisciplinary; Oceanography; Paleontology</t>
  </si>
  <si>
    <t>Geology; Oceanography; Paleontology</t>
  </si>
  <si>
    <t>UI7HC</t>
  </si>
  <si>
    <t>WOS:000690772300005</t>
  </si>
  <si>
    <t>Guttu, S; Orsolini, Y; Stordal, F; Otterå, OH; Omrani, NE; Tartaglione, N; Verronen, PT; Rodger, CJ; Clilverd, MA</t>
  </si>
  <si>
    <t>Guttu, Sigmund; Orsolini, Yvan; Stordal, Frode; Ottera, Odd Helge; Omrani, Nour-Eddine; Tartaglione, Nazario; Verronen, Pekka T.; Rodger, Craig J.; Clilverd, Mark A.</t>
  </si>
  <si>
    <t>Impacts of UV Irradiance and Medium-Energy Electron Precipitation on the North Atlantic Oscillation during the 11-Year Solar Cycle</t>
  </si>
  <si>
    <t>ATMOSPHERE</t>
  </si>
  <si>
    <t>11-year solar cycle; energetic particle precipitation; North Atlantic Oscillation; climate models</t>
  </si>
  <si>
    <t>GEOMAGNETIC-ACTIVITY; CLIMATE; TEMPERATURE; STRATOSPHERE; PREDICTIONS; ATMOSPHERE; OZONE; MODEL; WIND</t>
  </si>
  <si>
    <t>Observational studies suggest that part of the North Atlantic Oscillation (NAO) variability may be attributed to the spectral ultra-violet (UV) irradiance variations associated to the 11-year solar cycle. The observed maximum surface pressure response in the North Atlantic occurs 2-4 years after solar maximum, and some model studies have identified that atmosphere-ocean feedbacks explain the multi-year lag. Alternatively, medium-to-high energy electron (MEE) precipitation, which peaks in the declining phase of the solar cycle, has been suggested as a potential cause of this lag. We use a coupled (ocean-atmosphere) climate prediction model and a state-of-the-art MEE forcing to explore the respective roles of irradiance and MEE precipitation on the NAO variability. Three decadal ensemble experiments were conducted over solar cycle 23 in an idealized setting. We found a weak ensemble-mean positive NAO response to the irradiance. The simulated signal-to-noise ratio remained very small, indicating the predominance of internal NAO variability. The lack of multi-annual lag in the NAO response was likely due to lagged solar signals imprinted in temperatures below the oceanic mixed-layer re-emerging equatorward of the oceanic frontal zones, which anchor ocean-atmosphere feedbacks. While there is a clear, yet weak, signature from UV irradiance in the atmosphere and upper ocean over the North Atlantic, enhanced MEE precipitation on the other hand does not lead to any systematic changes in the stratospheric circulation, despite its marked chemical signatures.</t>
  </si>
  <si>
    <t>[Guttu, Sigmund; Stordal, Frode] Univ Oslo, Dept Geosci, N-0315 Oslo, Norway; [Orsolini, Yvan] Norwegian Inst Air Res, N-2007 Kjeller, Norway; [Orsolini, Yvan] Norwegian Univ Sci &amp; Technol, Dept Phys, N-7491 Trondheim, Norway; [Ottera, Odd Helge; Tartaglione, Nazario] NORCE Norwegian Res Ctr AS, N-5008 Bergen, Norway; [Ottera, Odd Helge; Tartaglione, Nazario] Bjerknes Ctr Climate Res, N-5007 Bergen, Norway; [Omrani, Nour-Eddine] Univ Bergen, Geophys Inst, N-5007 Bergen, Norway; [Verronen, Pekka T.] Finnish Meteorol Inst, Space &amp; Earth Observat Ctr, Helsinki 00101, Finland; [Verronen, Pekka T.] Univ Oulu, Sodankyla Geophys Observ, Sodankyla 99600, Finland; [Rodger, Craig J.] Univ Otago, Dept Phys, Dunedin 9016, New Zealand; [Clilverd, Mark A.] British Antarctic Survey UKRI NERC, Cambridge BIQQ 1ZZ, England</t>
  </si>
  <si>
    <t>University of Oslo; NILU; Norwegian University of Science &amp; Technology (NTNU); Norwegian Research Centre (NORCE); Bjerknes Centre for Climate Research; University of Bergen; Finnish Meteorological Institute; University of Oulu; University of Otago; UK Research &amp; Innovation (UKRI); Natural Environment Research Council (NERC); NERC British Antarctic Survey</t>
  </si>
  <si>
    <t>Guttu, S (corresponding author), Univ Oslo, Dept Geosci, N-0315 Oslo, Norway.</t>
  </si>
  <si>
    <t>sigmund.guttu@geo.uio.no; yvan.orsolini@nilu.no; frode.stordal@geo.uio.no; odot@norceresearch.no; Noureddine.Omrani@uib.no; nazario.tartaglione@gmail.com; pekka.verronen@fmi.fi; craig.rodger@otago.ac.nz; MACL@bas.ac.uk</t>
  </si>
  <si>
    <t>Tartaglione, Nazario/HOF-6038-2023; Omrani, Noue-Eddine/GQQ-7245-2022; Verronen, Pekka T/G-6658-2014; Otterå, Odd Helge/AAD-5006-2022; Tartaglione, Nazario/ABQ-7348-2022; Rodger, Craig/A-1501-2011; Verronen, P. T./AIE-0203-2022</t>
  </si>
  <si>
    <t>Verronen, P. T./0000-0002-3479-9071; Rodger, Craig J./0000-0002-6770-2707; Tartaglione, Nazario/0000-0002-9863-4161; Orsolini, Yvan/0000-0001-7454-026X; Guttu, Sigmund/0000-0001-8801-1166</t>
  </si>
  <si>
    <t>Norwegian Research Council [255276]; Academy of Finland [335555 ICT-SUNVAC]</t>
  </si>
  <si>
    <t>Norwegian Research Council(Research Council of Norway); Academy of Finland(Research Council of Finland)</t>
  </si>
  <si>
    <t>S.G., Y.O., F.S., O.H.O., N.-E.O., and N.T. have been funded by the Norwegian Research Council through project 255276 (Solar effects on natural climate variability in the North Atlantic and Arctic). The work of P.T.V. is supported by the Academy of Finland (project no. t335555 ICT-SUNVAC).</t>
  </si>
  <si>
    <t>2073-4433</t>
  </si>
  <si>
    <t>ATMOSPHERE-BASEL</t>
  </si>
  <si>
    <t>Atmosphere</t>
  </si>
  <si>
    <t>10.3390/atmos12081029</t>
  </si>
  <si>
    <t>UH4ZV</t>
  </si>
  <si>
    <t>Green Accepted, Green Published, gold</t>
  </si>
  <si>
    <t>WOS:000689941900001</t>
  </si>
  <si>
    <t>Castellan, G; Angeletti, L; Canese, S; Mazzoli, C; Montagna, P; Schiaparelli, S; Taviani, M</t>
  </si>
  <si>
    <t>Castellan, Giorgio; Angeletti, Lorenzo; Canese, Simonepietro; Mazzoli, Claudio; Montagna, Paolo; Schiaparelli, Stefano; Taviani, Marco</t>
  </si>
  <si>
    <t>Visual Imaging of Benthic Carbonate-Mixed Factories in the Ross Sea Region Marine Protected Area, Antarctica</t>
  </si>
  <si>
    <t>MINERALS</t>
  </si>
  <si>
    <t>Antarctica; Ross Sea region MPA; remotely operated vehicles; carbonate factories; benthos; carbonate polymorphs</t>
  </si>
  <si>
    <t>TERRA-NOVA BAY; SOUTHERN-OCEAN; ADAMUSSIUM-COLBECKI; DISTRIBUTIONAL RECORDS; MUSEUM MNA; SHALLOW; WATER; NOTOTHENIIDAE; ACIDIFICATION; ECHINODERMS</t>
  </si>
  <si>
    <t>Marine biogenic skeletal production is the prevalent source of Ca-carbonate in today's Antarctic seas. Most information, however, derives from the post-mortem legacy of calcifying organisms. Prior imagery and evaluation of Antarctic habitats hosting calcifying benthic organisms are poorly present in the literature, therefore, a Remotely Operated Vehicle survey was carried out in the Ross Sea region Marine Protected Area during the 2013-2014 austral summer. Two video surveys of the seafloor were conducted along transects between 30 and 120 m (Adelie Cove) and 230 and 260 m (Terra Nova Bay Canyon), respectively. We quantified the relative abundance of calcifiers vs. non-calcifiers in the macro- and mega-epibenthos. Furthermore, we considered the typology of the carbonate polymorphs represented by the skeletonized organisms. The combined evidence from the two sites reveals the widespread existence of carbonate-mixed factories in the area, with an overwhelming abundance of both low-Mg and (especially) high-Mg calcite calcifiers. Echinoids, serpulids, bryozoans, pectinid bivalves and octocorals prove to be the most abundant animal producers in terms of abundance. The shallower Adelie Cove site also showed evidence of seabed coverage by coralline algae. Our results will help in refining paleoenvironmental analyses since many of the megabenthic calcifiers occur in the Quaternary record of Antarctica. We set a baseline to monitor the future response of these polar biota in a rapidly changing ocean.</t>
  </si>
  <si>
    <t>[Castellan, Giorgio; Angeletti, Lorenzo; Taviani, Marco] Natl Res Council CNR ISMAR, Inst Marine Sci, Via Gobetti 101, I-40129 Bologna, Italy; [Canese, Simonepietro; Taviani, Marco] Stn Zool Anton Dohrn, I-80121 Naples, Italy; [Mazzoli, Claudio] Univ Padua, Dept Geosci, Via Gradenigo 6, I-35131 Padua, Italy; [Montagna, Paolo] Natl Res Council CNR ISP, Inst Polar Sci, Via Gobetti 101, I-40129 Bologna, Italy; [Schiaparelli, Stefano] Univ Genoa, Dept Earth Environm &amp; Life Sci DISTAV, Corso Europa 26, I-16132 Genoa, Italy; [Schiaparelli, Stefano] Univ Genoa, Sect Genoa, Italian Natl Antarctic Museum MNA, Viale Benedetto XV 5, I-16132 Genoa, Italy; [Taviani, Marco] Woods Hole Oceanog Inst, Dept Biol, 266 Woods Hole Rd, Woods Hole, MA 02543 USA; [Castellan, Giorgio] Temple Univ, Dept Biol, 1900 N 12th St, Philadelphia, PA 19122 USA</t>
  </si>
  <si>
    <t>Consiglio Nazionale delle Ricerche (CNR); Istituto di Scienze Marine (ISMAR-CNR); Stazione Zoologica Anton Dohrn di Napoli; University of Padua; Consiglio Nazionale delle Ricerche (CNR); Istituto di Scienze Polari (ISP-CNR); University of Genoa; University of Genoa; Woods Hole Oceanographic Institution; Pennsylvania Commonwealth System of Higher Education (PCSHE); Temple University</t>
  </si>
  <si>
    <t>Taviani, M (corresponding author), Natl Res Council CNR ISMAR, Inst Marine Sci, Via Gobetti 101, I-40129 Bologna, Italy.;Taviani, M (corresponding author), Stn Zool Anton Dohrn, I-80121 Naples, Italy.;Taviani, M (corresponding author), Woods Hole Oceanog Inst, Dept Biol, 266 Woods Hole Rd, Woods Hole, MA 02543 USA.</t>
  </si>
  <si>
    <t>giorgio.castellan@temple.edu; lorenzo.angeletti@bo.ismar.cnr.it; simonepietro.canese@szn.it; daudio.mazzoli@unipd.it; paolo.montagna@cnr.it; stefano.schiaparelli@unige.it; marco.taviani@bo.ismar.cnr.it</t>
  </si>
  <si>
    <t>Taviani, Marco/AAF-2168-2020; Canese, Simonepietro/AAA-5499-2019; Mazzoli, Claudio/H-9651-2015; Castellan, Giorgio/ABC-3340-2020; Angeletti, Lorenzo/AAH-1544-2020; Montagna, Paolo/H-9632-2015</t>
  </si>
  <si>
    <t>Taviani, Marco/0000-0003-0414-4274; Canese, Simonepietro/0000-0001-6049-4506; Mazzoli, Claudio/0000-0002-0374-8415; Castellan, Giorgio/0000-0001-6084-1504; Angeletti, Lorenzo/0000-0003-3159-2400; Montagna, Paolo/0000-0001-5598-2214; Schiaparelli, Stefano/0000-0002-0137-3605</t>
  </si>
  <si>
    <t>Italian National Antarctic Research Program [PNRA2013/AZ2.06, PNRA16_00069]; Cultural and Natural Heritage of the University of Bologna</t>
  </si>
  <si>
    <t>Italian National Antarctic Research Program; Cultural and Natural Heritage of the University of Bologna</t>
  </si>
  <si>
    <t>This research was supported by the GEOSMART (grantNo. PNRA2013/AZ2.06, 29 May 2014-29 May 2017) and GRACEFUL (grant No. PNRA16_00069, 11 October 2017-10 October 2020) projects and funded by the Italian National Antarctic Research Program. This contribution is supported by the Ph.D. program in the Cultural and Natural Heritage of the University of Bologna (GC).</t>
  </si>
  <si>
    <t>2075-163X</t>
  </si>
  <si>
    <t>MINERALS-BASEL</t>
  </si>
  <si>
    <t>Minerals</t>
  </si>
  <si>
    <t>10.3390/min11080833</t>
  </si>
  <si>
    <t>Geochemistry &amp; Geophysics; Mineralogy; Mining &amp; Mineral Processing</t>
  </si>
  <si>
    <t>UI5LT</t>
  </si>
  <si>
    <t>Green Published, gold</t>
  </si>
  <si>
    <t>WOS:000690649100001</t>
  </si>
  <si>
    <t>Permann, C; Herburger, K; Felhofer, M; Gierlinger, N; Lewis, LA; Holzinger, A</t>
  </si>
  <si>
    <t>Permann, Charlotte; Herburger, Klaus; Felhofer, Martin; Gierlinger, Notburga; Lewis, Louise A.; Holzinger, Andreas</t>
  </si>
  <si>
    <t>Induction of Conjugation and Zygospore Cell Wall Characteristics in the Alpine Spirogyra mirabilis (Zygnematophyceae, Charophyta): Advantage under Climate Change Scenarios?</t>
  </si>
  <si>
    <t>PLANTS-BASEL</t>
  </si>
  <si>
    <t>alpine region; cell wall; conjugation; Spirogyra; sexual reproduction; streptophyte; zygospore</t>
  </si>
  <si>
    <t>GREEN-ALGA ZYGNEMA; FRESH-WATER; SEXUAL REPRODUCTION; TERRESTRIAL ALGAE; ANTARCTIC STRAINS; NY-ALESUND; STREPTOPHYTA; DIVERSITY; EVOLUTION; PHOTOSYNTHESIS</t>
  </si>
  <si>
    <t>Extreme environments, such as alpine habitats at high elevation, are increasingly exposed to man-made climate change. Zygnematophyceae thriving in these regions possess a special means of sexual reproduction, termed conjugation, leading to the formation of resistant zygospores. A field sample of Spirogyra with numerous conjugating stages was isolated and characterized by molecular phylogeny. We successfully induced sexual reproduction under laboratory conditions by a transfer to artificial pond water and increasing the light intensity to 184 mu mol photons m(-2) s(-1). This, however was only possible in early spring, suggesting that the isolated cultures had an internal rhythm. The reproductive morphology was characterized by light- and transmission electron microscopy, and the latter allowed the detection of distinctly oriented microfibrils in the exo- and endospore, and an electron-dense mesospore. Glycan microarray profiling showed that Spirogyra cell walls are rich in major pectic and hemicellulosic polysaccharides, and immuno-fluorescence allowed the detection of arabinogalactan proteins (AGPs) and xyloglucan in the zygospore cell walls. Confocal RAMAN spectroscopy detected complex aromatic compounds, similar in their spectral signature to that of Lycopodium spores. These data support the idea that sexual reproduction in Zygnematophyceae, the sister lineage to land plants, might have played an important role in the process of terrestrialization.</t>
  </si>
  <si>
    <t>[Permann, Charlotte; Holzinger, Andreas] Univ Innsbruck, Dept Bot, Funct Plant Biol, A-6020 Innsbruck, Austria; [Herburger, Klaus] Univ Copenhagen, Sect Plant Glycobiol, Dept Plant &amp; Environm Sci, DK-1871 Frederiksberg, Denmark; [Felhofer, Martin; Gierlinger, Notburga] Univ Nat Resources &amp; Life Sci Vienna BOKU, Dept Nanobiotechnol, A-1190 Vienna, Austria; [Lewis, Louise A.] Univ Conneticut, Dept Ecol &amp; Evolutionary Biol, Storrs, CT 06269 USA</t>
  </si>
  <si>
    <t>University of Innsbruck; University of Copenhagen; BOKU University; University of Connecticut</t>
  </si>
  <si>
    <t>Holzinger, A (corresponding author), Univ Innsbruck, Dept Bot, Funct Plant Biol, A-6020 Innsbruck, Austria.</t>
  </si>
  <si>
    <t>Charlotte.Permann@uibk.ac.at; klaus.herburger@plen.ku.dk; martin.felhofer@boku.ac.at; burgi.gierlinger@boku.ac.at; louise.lewis@uconn.edu; Andreas.Holzinger@uibk.ac.at</t>
  </si>
  <si>
    <t>gierlinger, notburga/G-4787-2011; Holzinger, Andreas/A-6396-2008</t>
  </si>
  <si>
    <t>gierlinger, notburga/0000-0002-3699-9931; Permann, Charlotte/0000-0003-0276-6053; Felhofer, Martin/0000-0002-0701-3790; Lewis, Louise/0000-0003-0695-5134; Holzinger, Andreas/0000-0002-7745-3978</t>
  </si>
  <si>
    <t>Austrian Science Fund, FWF [P34181-B]; Villum Foundation [00023089]; START project [Y-728-B16]; USA NSF [DEB-1541539]; Austrian Science Fund (FWF) [P34181] Funding Source: Austrian Science Fund (FWF)</t>
  </si>
  <si>
    <t>Austrian Science Fund, FWF(Austrian Science Fund (FWF)); Villum Foundation(Villum Fonden); START project(Austrian Science Fund (FWF)); USA NSF(National Science Foundation (NSF)); Austrian Science Fund (FWF)(Austrian Science Fund (FWF))</t>
  </si>
  <si>
    <t>The study was supported by the Austrian Science Fund, FWF grant P34181-B to A.H., START project Y-728-B16 to N.G., USA NSF grant DEB-1541539 to L.A.L. and the Villum Foundation project 00023089 to K.H.</t>
  </si>
  <si>
    <t>2223-7747</t>
  </si>
  <si>
    <t>Plants-Basel</t>
  </si>
  <si>
    <t>10.3390/plants10081740</t>
  </si>
  <si>
    <t>Plant Sciences</t>
  </si>
  <si>
    <t>UH5YA</t>
  </si>
  <si>
    <t>WOS:000690004800001</t>
  </si>
  <si>
    <t>Munoz-Martin, JF; Camps, A</t>
  </si>
  <si>
    <t>Munoz-Martin, Joan Francesc; Camps, Adriano</t>
  </si>
  <si>
    <t>Sea Surface Salinity and Wind Speed Retrievals Using GNSS-R and L-Band Microwave Radiometry Data from FMPL-2 Onboard the FSSCat Mission</t>
  </si>
  <si>
    <t>REMOTE SENSING</t>
  </si>
  <si>
    <t>GNSS-R; L-band microwave radiometry; CubeSat; ocean salinity; wind speed</t>
  </si>
  <si>
    <t>STATE CORRECTION; ICE THICKNESS; SMOS</t>
  </si>
  <si>
    <t>The Federated Satellite System mission (FSSCat), winner of the 2017 Copernicus Masters Competition and the first ESA third-party mission based on CubeSats, aimed to provide coarse-resolution soil moisture estimations and sea ice concentration maps by means of the passive microwave measurements collected by the Flexible Microwave Payload-2 (FMPL-2). The mission was successfully launched on 3 September 2020. In addition to the primary scientific objectives, FMPL-2 data are used in this study to estimate sea surface salinity (SSS), correcting for the sea surface roughness using a wind speed estimate from the L-band microwave radiometer and GNSS-R data themselves. FMPL-2 was executed over the Arctic and Antarctic oceans on a weekly schedule. Different artificial neural network algorithms have been implemented, combining FMPL-2 data with the sea surface temperature, showing a root-mean-square error (RMSE) down to 1.68 m/s in the case of the wind speed (WS) retrieval algorithms, and RMSE down to 0.43 psu for the sea surface salinity algorithm in one single pass.</t>
  </si>
  <si>
    <t>[Munoz-Martin, Joan Francesc] Univ Politecn Cataluna, CommSensLab UPC, Barcelona Tech, Barcelona 08034, Spain; CTE UPC, IEEC, Barcelona 08034, Spain</t>
  </si>
  <si>
    <t>Universitat Politecnica de Catalunya; Institut d'Estudis Espacials de Catalunya (IEEC); University of Barcelona</t>
  </si>
  <si>
    <t>Munoz-Martin, JF (corresponding author), Univ Politecn Cataluna, CommSensLab UPC, Barcelona Tech, Barcelona 08034, Spain.</t>
  </si>
  <si>
    <t>joan.francesc@tsc.upc.edu; adriano.jose.camps@upc.edu</t>
  </si>
  <si>
    <t>Camps, Adriano/D-2592-2011; Munoz-Martin, Joan F./AAA-2214-2019</t>
  </si>
  <si>
    <t>Camps, Adriano/0000-0002-9514-4992; Munoz-Martin, Joan F./0000-0002-6441-6676</t>
  </si>
  <si>
    <t>ESA S3 Challenge and Copernicus Masters Overall Winner award (FSSCat project); SPOT: Sensing with Pioneering Opportunistic Techniques [RTI2018-099008-B-C21/AEI/10.13039/501100011033]; Unidad de Excelencia Maria de Maeztu [MDM-2016-0600]; AGAUR-Generalitat de Catalunya (FEDER), Spain</t>
  </si>
  <si>
    <t>ESA S3 Challenge and Copernicus Masters Overall Winner award (FSSCat project); SPOT: Sensing with Pioneering Opportunistic Techniques; Unidad de Excelencia Maria de Maeztu(Spanish Government); AGAUR-Generalitat de Catalunya (FEDER), Spain</t>
  </si>
  <si>
    <t>This work was supported by the 2017 ESA S3 Challenge and Copernicus Masters Overall Winner award (FSSCat project). This work was (partially) sponsored by project SPOT: Sensing with Pioneering Opportunistic Techniques grant RTI2018-099008-B-C21/AEI/10.13039/501100011033, and by the Unidad de Excelencia Maria de Maeztu MDM-2016-0600. Joan Francesc Munoz-Martin received support in the form of a grant for the recruitment of early-stage research staff FI-DGR 2018 from the AGAUR-Generalitat de Catalunya (FEDER), Spain.</t>
  </si>
  <si>
    <t>2072-4292</t>
  </si>
  <si>
    <t>REMOTE SENS-BASEL</t>
  </si>
  <si>
    <t>Remote Sens.</t>
  </si>
  <si>
    <t>10.3390/rs13163224</t>
  </si>
  <si>
    <t>Environmental Sciences; Geosciences, Multidisciplinary; Remote Sensing; Imaging Science &amp; Photographic Technology</t>
  </si>
  <si>
    <t>Environmental Sciences &amp; Ecology; Geology; Remote Sensing; Imaging Science &amp; Photographic Technology</t>
  </si>
  <si>
    <t>UH3JJ</t>
  </si>
  <si>
    <t>WOS:000689831500001</t>
  </si>
  <si>
    <t>Zeng, ZL; Wang, ZM; Zhang, BJ</t>
  </si>
  <si>
    <t>Zeng, Zhaoliang; Wang, Zemin; Zhang, Baojun</t>
  </si>
  <si>
    <t>An Adjustment Approach for Aerosol Optical Depth Inferred from CALIPSO</t>
  </si>
  <si>
    <t>CALIPSO; aerosol optical depth; correction; planetary boundary layer</t>
  </si>
  <si>
    <t>GROUND-BASED LIDAR; METEOROLOGICAL FACTORS; EASTERN CHINA; WATER-VAPOR; CLOUD; POLLUTION; AERONET; CALIOP; PM2.5; EXTINCTION</t>
  </si>
  <si>
    <t>The verification and correction of CALIPSO aerosol products is key to understanding the atmospheric environment and climate change. However, CALIPSO often cannot detect the full profile of aerosol for the low instrument sensitivity near the surface. Thus, a correction scheme for the aerosol extinction coefficient (AECs) in the planetary boundary layer (PBL) is proposed to improve the quality of the CALIPSO-based aerosol optical depth (AOD) at 532 nm. This scheme assumed that the aerosol is vertically and uniformly distributed below the PBL, and that the AECs in the whole PBL are equal to those at the top of the PBL; then, the CALIPSO AOD was obtained by vertically integrating AECs throughout the whole atmosphere. Additionally, the CALIPSO AOD and corrected CALIPSO AOD were validated against seven ground-based sites across eastern China during 2007-2015. Our results show that the initial CALIPSO AOD obtained by cloud filtering was generally lower than that of the ground-based observations. After accounting for the AECs in the PBL, the adjustment method tended to improve the CALIPSO AOD data quality. The average R (slope) value from all sites was improved by 7% (46%). Further, the relative distance between the ground track of CALIPSO and the ground station exhibited an influence on the validation result of CALIPSO AOD. The retrieval precision of CALIPSO AOD worsened with the increase in water vapor in the atmosphere. Our findings indicate that our scheme significantly improves the accuracy of CALIPSO AOD, which will help to provide alternative AOD products in the presence of severe atmospheric pollution.</t>
  </si>
  <si>
    <t>[Zeng, Zhaoliang; Wang, Zemin; Zhang, Baojun] Wuhan Univ, Chinese Antarctic Ctr Surveying &amp; Mapping, Wuhan 430079, Peoples R China</t>
  </si>
  <si>
    <t>Wuhan University</t>
  </si>
  <si>
    <t>Zhang, BJ (corresponding author), Wuhan Univ, Chinese Antarctic Ctr Surveying &amp; Mapping, Wuhan 430079, Peoples R China.</t>
  </si>
  <si>
    <t>zhaoliang.zeng@whu.edu.cn; zmwang@whu.edu.cn; bjzhang@whu.edu.cn</t>
  </si>
  <si>
    <t>Zhang, Baojun/0000-0001-5438-8723; Zeng, Zhaoliang/0000-0002-9108-8575</t>
  </si>
  <si>
    <t>National Natural Science Foundation of China [41941010, 42006184, 41776195]</t>
  </si>
  <si>
    <t>National Natural Science Foundation of China(National Natural Science Foundation of China (NSFC))</t>
  </si>
  <si>
    <t>This work was supported by National Natural Science Foundation of China (Grant Nos. 41941010, 42006184 and 41776195).</t>
  </si>
  <si>
    <t>10.3390/rs13163085</t>
  </si>
  <si>
    <t>UH6RZ</t>
  </si>
  <si>
    <t>WOS:000690056700001</t>
  </si>
  <si>
    <t>Florko, KRN; Carlyle, CG; Young, BG; Yurkowski, DJ; Michel, C; Ferguson, SH</t>
  </si>
  <si>
    <t>Florko, Katie R. N.; Carlyle, Cody G.; Young, Brent G.; Yurkowski, David J.; Michel, Christine; Ferguson, Steven H.</t>
  </si>
  <si>
    <t>Narwhal (Monodon monoceros) detection by infrared flukeprints from aerial survey imagery</t>
  </si>
  <si>
    <t>ECOSPHERE</t>
  </si>
  <si>
    <t>aerial survey; Arctic; cetacean; flukeprint; infrared; Monodon monoceros; population density estimate; strip transect; thermal imaging</t>
  </si>
  <si>
    <t>DIVING BEHAVIOR; POPULATIONS; SYSTEMS; ICE</t>
  </si>
  <si>
    <t>Visual and observer aerial surveys are important for monitoring wildlife populations but are subject to visibility biases where animals may go undetected. The use of infrared technology in aerial surveys has the potential to reduce visibility biases, both when recording data and in the retrospective processing of the footage, and thus complements visible wavelength photography. We used infrared video during marine mammal surveys in the high-Arctic and indirectly detected narwhal (Monodon monoceros) via their thermal flukeprints (i.e., thermo-stratified water mixing from fluke strokes). This novel indicator persisted for a longer duration than when the animal was at the water's surface, which likely improved the probability of an animal being observed by increasing the duration of its detectability. Using infrared to complement aerial photographic surveys may assist in monitoring whales, especially in remote areas. Our results highlight how infrared technology may be used to develop automatic detection and remote-monitoring methodology.</t>
  </si>
  <si>
    <t>[Florko, Katie R. N.] Univ British Columbia, Inst Oceans &amp; Fisheries, 2202 Main Mall, Vancouver, BC V6T 1Z4, Canada; [Carlyle, Cody G.; Yurkowski, David J.; Ferguson, Steven H.] Univ Manitoba, Dept Biol Sci, 50 Sifton Rd, Winnipeg, MB R3T 2N2, Canada; [Carlyle, Cody G.; Young, Brent G.; Yurkowski, David J.; Michel, Christine; Ferguson, Steven H.] Fisheries &amp; Oceans Canada, 501 Univ Crescent, Winnipeg, MB R3T 2N6, Canada</t>
  </si>
  <si>
    <t>University of British Columbia; University of Manitoba; Fisheries &amp; Oceans Canada</t>
  </si>
  <si>
    <t>Florko, KRN (corresponding author), Univ British Columbia, Inst Oceans &amp; Fisheries, 2202 Main Mall, Vancouver, BC V6T 1Z4, Canada.</t>
  </si>
  <si>
    <t>katieflorko@gmail.com</t>
  </si>
  <si>
    <t>Florko, Katie/AAU-9391-2020</t>
  </si>
  <si>
    <t>Florko, Katie/0000-0003-3829-7447; Young, Brent/0000-0001-7708-3981; Carlyle, Cody/0000-0001-7300-1627</t>
  </si>
  <si>
    <t>Fisheries and Oceans Canada; NSERC (Canada Graduate Scholarship)</t>
  </si>
  <si>
    <t>Fisheries and Oceans Canada; NSERC (Canada Graduate Scholarship)(Natural Sciences and Engineering Research Council of Canada (NSERC))</t>
  </si>
  <si>
    <t>This research was part of the Multidisciplinary Arctic Program (MAP)-Last Ice, funded by Fisheries and Oceans Canada, with logistical support provided by Polar Continental Shelf Program, Natural Resources Canada, Environment and Climate Change Canada, and Department of National Defence at Canadian Forces Station (CFS) Alert Military Base. We thank Major Tonja Kerr (Commanding Officer) and Master Warrant Officer Dwayne Fox at CFS Alert. A special thanks to our Kenn Borek Ltd. crew: Captain Troy McKerral, First Officer Jorge Barreto, and Engineer Travis Griesbecht. Thanks to Nat Kelly (Australian Antarctic Program) and an anonymous reviewer for helpful feedback that greatly improved the manuscript. KRNF is supported by NSERC (Canada Graduate Scholarship). This paper is dedicated to the memory of the late Nancy Loadman (University of Winnipeg).</t>
  </si>
  <si>
    <t>2150-8925</t>
  </si>
  <si>
    <t>Ecosphere</t>
  </si>
  <si>
    <t>e03698</t>
  </si>
  <si>
    <t>10.1002/ecs2.3698</t>
  </si>
  <si>
    <t>Ecology</t>
  </si>
  <si>
    <t>UG7VB</t>
  </si>
  <si>
    <t>WOS:000689453800044</t>
  </si>
  <si>
    <t>Esposito, R; Ruocco, N; Viel, T; Federico, S; Zupo, V; Costantini, M</t>
  </si>
  <si>
    <t>Esposito, Roberta; Ruocco, Nadia; Viel, Thomas; Federico, Serena; Zupo, Valerio; Costantini, Maria</t>
  </si>
  <si>
    <t>Sponges and Their Symbionts as a Source of Valuable Compounds in Cosmeceutical Field</t>
  </si>
  <si>
    <t>sponges; bacteria; fungi; anti-oxidant; anti-aging; skin whitening; anti-microbial; photoprotection</t>
  </si>
  <si>
    <t>ANTARCTIC MARINE SPONGES; HYRTIOS-AFF.-ERECTUS; NATURAL-PRODUCTS; ANTIOXIDANT ACTIVITY; BIOACTIVE COMPOUNDS; DERIVATIVES; EXTRACTS; FUNGI; INGREDIENTS; GENERATION</t>
  </si>
  <si>
    <t>In the last decades, the marine environment was discovered as a huge reservoir of novel bioactive compounds, useful for medicinal treatments improving human health and well-being. Among several marine organisms exhibiting biotechnological potential, sponges were highlighted as one of the most interesting phyla according to a wide literature describing new molecules every year. Not surprisingly, the first marine drugs approved for medical purposes were isolated from a marine sponge and are now used as anti-cancer and anti-viral agents. In most cases, experimental evidence reported that very often associated and/or symbiotic communities produced these bioactive compounds for a mutual benefit. Nowadays, beauty treatments are formulated taking advantage of the beneficial properties exerted by marine novel compounds. In fact, several biological activities suitable for cosmetic treatments were recorded, such as anti-oxidant, anti-aging, skin whitening, and emulsifying activities, among others. Here, we collected and discussed several scientific contributions reporting the cosmeceutical potential of marine sponge symbionts, which were exclusively represented by fungi and bacteria. Bioactive compounds specifically indicated as products of the sponge metabolism were also included. However, the origin of sponge metabolites is dubious, and the role of the associated biota cannot be excluded, considering that the isolation of symbionts represents a hard challenge due to their uncultivable features.</t>
  </si>
  <si>
    <t>[Esposito, Roberta; Ruocco, Nadia; Federico, Serena; Costantini, Maria] Stn Zool Anton Dohrn, Dept Marine Biotechnol, I-80121 Naples, Italy; [Esposito, Roberta; Federico, Serena] Univ Naples Federico II, Dept Biol, Complesso Univ Monte St Angelo, Via Cinthia 21, I-80126 Naples, Italy; [Viel, Thomas; Federico, Serena; Zupo, Valerio] Stn Zool Anton Dohrn, Dept Marine Biotechnol, I-80077 Naples, Italy</t>
  </si>
  <si>
    <t>Stazione Zoologica Anton Dohrn di Napoli; University of Naples Federico II; Stazione Zoologica Anton Dohrn di Napoli</t>
  </si>
  <si>
    <t>Costantini, M (corresponding author), Stn Zool Anton Dohrn, Dept Marine Biotechnol, I-80121 Naples, Italy.;Zupo, V (corresponding author), Stn Zool Anton Dohrn, Dept Marine Biotechnol, I-80077 Naples, Italy.</t>
  </si>
  <si>
    <t>roberta.esposito@szn.it; nadia.ruocco@szn.it; thomas.viel7@gmail.com; serena.federico@studenti.unina.it; valerio.zupo@szn.it; maria.costantini@szn.it</t>
  </si>
  <si>
    <t>Ruocco, Nadia/HGA-2143-2022; Costantini, Maria/AGH-4080-2022; Esposito, Roberta/AAS-8869-2020; Zupo, Valerio/A-5887-2011</t>
  </si>
  <si>
    <t>Esposito, Roberta/0000-0002-0051-7152; Zupo, Valerio/0000-0001-9766-8784; Costantini, Maria/0000-0003-3978-6170</t>
  </si>
  <si>
    <t>Antitumor Drugs and Vaccines from the Sea (ADViSE) project [PG/2018/0494374]</t>
  </si>
  <si>
    <t>Antitumor Drugs and Vaccines from the Sea (ADViSE) project</t>
  </si>
  <si>
    <t>This research was supported by Antitumor Drugs and Vaccines from the Sea (ADViSE) project (PG/2018/0494374).</t>
  </si>
  <si>
    <t>10.3390/md19080444</t>
  </si>
  <si>
    <t>UI4FA</t>
  </si>
  <si>
    <t>WOS:000690564000001</t>
  </si>
  <si>
    <t>Vicente, J; de Celis, M; Alonso, A; Marquina, D; Santos, A</t>
  </si>
  <si>
    <t>Vicente, Javier; de Celis, Miguel; Alonso, Alejandro; Marquina, Domingo; Santos, Antonio</t>
  </si>
  <si>
    <t>Microbial Communities Present in Hydrothermal Sediments from Deception Island, Antarctica</t>
  </si>
  <si>
    <t>MICROORGANISMS</t>
  </si>
  <si>
    <t>hydrothermal sediment; metataxonomic study; microbial populations; sediment characterization</t>
  </si>
  <si>
    <t>BRANSFIELD STRAIT; BACTERIA; BACILLUS; SOILS; SEQUENCE; PROPOSAL; VALLEY; GENUS</t>
  </si>
  <si>
    <t>Deception Island is a geothermal location in Antarctica that presents active fumaroles, which confers unique characteristics to this habitat. Several studies about microbial communities in Antarctica have been carried out, nevertheless, Antarctic microbiota is still partially unknown. Here we present a multidisciplinary study about sediments obtained by deposition during 4 years in which several approaches have been considered for their characterization. First, a physicochemical characterization, using ionic chromatography and mass spectrometry for the determination of most abundant ions (chloride and sulphate) and elements (mainly silicon), was conducted. In addition, the total microbial community was studied using a metataxonomical approach, revealing a bacterial community dominated by Proteobacteria and Thaumarchaeota as the main archaeal genera and a fungal community mainly composed by Aspergillaceae. Culture-dependent studies showed low microbial diversity, only achieving the isolation of Bacillus-related species, some of them thermophilic, and the isolation of common fungi of Aspergillus or Penicillium spp. Furthermore, diatoms were detected in the sediment and characterized attending to their morphological characteristics using scanning electron microscopy. The study reveals a high influence of the physicochemical conditions in the microbial populations and their distribution, offering valuable data on the interaction between the island and water microbiota.</t>
  </si>
  <si>
    <t>[Vicente, Javier; de Celis, Miguel; Alonso, Alejandro; Marquina, Domingo; Santos, Antonio] Univ Complutense Madrid, Biol Fac, Unit Microbiol, Dept Genet Physiol &amp; Microbiol, Madrid 28040, Spain</t>
  </si>
  <si>
    <t>Complutense University of Madrid</t>
  </si>
  <si>
    <t>Santos, A (corresponding author), Univ Complutense Madrid, Biol Fac, Unit Microbiol, Dept Genet Physiol &amp; Microbiol, Madrid 28040, Spain.</t>
  </si>
  <si>
    <t>javievic@ucm.es; migueldc@ucm.es; raalonso@uan.es; dommarq@ucm.es; ansantos@ucm.es</t>
  </si>
  <si>
    <t>Vicente, Javier/AAY-3594-2021; DE LA SEN, ANTONIO SANTOS/L-3118-2014; de Celis Rodríguez, Miguel/ADN-4942-2022</t>
  </si>
  <si>
    <t>DE LA SEN, ANTONIO SANTOS/0000-0002-1253-585X; de Celis Rodríguez, Miguel/0000-0002-3653-3031; VICENTE, JAVIER/0000-0002-2129-6096</t>
  </si>
  <si>
    <t>2076-2607</t>
  </si>
  <si>
    <t>Microorganisms</t>
  </si>
  <si>
    <t>10.3390/microorganisms9081631</t>
  </si>
  <si>
    <t>Microbiology</t>
  </si>
  <si>
    <t>UI3VF</t>
  </si>
  <si>
    <t>WOS:000690538500001</t>
  </si>
  <si>
    <t>Corsi, I; Bellingeri, A; Eliso, MC; Grassi, G; Liberatori, G; Murano, C; Sturba, L; Vannuccini, ML; Bergami, E</t>
  </si>
  <si>
    <t>Corsi, Ilaria; Bellingeri, Arianna; Eliso, Maria Concetta; Grassi, Giacomo; Liberatori, Giulia; Murano, Carola; Sturba, Lucrezia; Vannuccini, Maria Luisa; Bergami, Elisa</t>
  </si>
  <si>
    <t>Eco-Interactions of Engineered Nanomaterials in the Marine Environment: Towards an Eco-Design Framework</t>
  </si>
  <si>
    <t>NANOMATERIALS</t>
  </si>
  <si>
    <t>marine pollution; engineered nanomaterials; nanoecotoxicology; bio-nano interactions; behavior; titanium dioxide; silver nanoparticles; polystyrene nanoparticles; eco-safety; eco-design</t>
  </si>
  <si>
    <t>TITANIUM-DIOXIDE NANOPARTICLES; NATURAL ORGANIC-MATTER; CATIONIC POLYSTYRENE NANOPARTICLES; LIFE-CYCLE ASSESSMENT; SEA-URCHIN EMBRYOS; SILVER NANOPARTICLES; TIO2 NANOPARTICLES; PROTEIN CORONA; OXIDATIVE STRESS; FRESH-WATER</t>
  </si>
  <si>
    <t>Marine nano-ecotoxicology has emerged with the purpose to assess the environmental risks associated with engineered nanomaterials (ENMs) among contaminants of emerging concerns entering the marine environment. ENMs' massive production and integration in everyday life applications, associated with their peculiar physical chemical features, including high biological reactivity, have imposed a pressing need to shed light on risk for humans and the environment. Environmental safety assessment, known as ecosafety, has thus become mandatory with the perspective to develop a more holistic exposure scenario and understand biological effects. Here, we review the current knowledge on behavior and impact of ENMs which end up in the marine environment. A focus on titanium dioxide (n-TiO2) and silver nanoparticles (AgNPs), among metal-based ENMs massively used in commercial products, and polymeric NPs as polystyrene (PS), largely adopted as proxy for nanoplastics, is made. ENMs eco-interactions with chemical molecules including (bio)natural ones and anthropogenic pollutants, forming eco- and bio-coronas and link with their uptake and toxicity in marine organisms are discussed. An ecologically based design strategy (eco-design) is proposed to support the development of new ENMs, including those for environmental applications (e.g., nanoremediation), by balancing their effectiveness with no associated risk for marine organisms and humans.</t>
  </si>
  <si>
    <t>[Corsi, Ilaria; Bellingeri, Arianna; Eliso, Maria Concetta; Grassi, Giacomo; Liberatori, Giulia; Murano, Carola; Sturba, Lucrezia; Vannuccini, Maria Luisa; Bergami, Elisa] Univ Siena, Dept Phys Earth &amp; Environm Sci, Via PA Mattioli 4, I-53100 Siena, Italy; [Eliso, Maria Concetta; Murano, Carola] Stn Zool Anton Dohrn, Dept Biol &amp; Evolut Marine Organisms, I-80121 Naples, Italy; [Grassi, Giacomo] Univ Paris Saclay, Agro Paris Tech, INRAE, UMR ECOSYS, F-78026 Versailles, France; [Bergami, Elisa] British Antarctic Survey, Nat Environm Res Council, Madingley Rd, Cambridge CB3 0ET, England</t>
  </si>
  <si>
    <t>University of Siena; Stazione Zoologica Anton Dohrn di Napoli; Universite Paris Cite; Universite Paris Saclay; AgroParisTech; INRAE; UK Research &amp; Innovation (UKRI); Natural Environment Research Council (NERC); NERC British Antarctic Survey</t>
  </si>
  <si>
    <t>Corsi, I (corresponding author), Univ Siena, Dept Phys Earth &amp; Environm Sci, Via PA Mattioli 4, I-53100 Siena, Italy.</t>
  </si>
  <si>
    <t>ilaria.corsi@unisi.it; arianna.bellingeri@student.unisi.it; maria.eliso@student.unisi.it; giacomo.grassi@student.unisi.it; giulia.liberatori@student.unisi.it; carola.murano@student.unisi.it; lucrezia.sturba@student.unisi.it; marialuisa.vannuccini@unisi.it; elisa.bergami@unisi.it</t>
  </si>
  <si>
    <t>Eliso, Maria Concetta/JDM-7323-2023; Murano, Carola/HCI-1150-2022; Corsi, Ilaria/D-3795-2012; Bergami, Elisa/JFJ-1703-2023</t>
  </si>
  <si>
    <t>Corsi, Ilaria/0000-0002-1811-3041; Bergami, Elisa/0000-0001-8149-9584; Vannuccini, Maria Luisa/0000-0002-1465-1926; Murano, Carola/0000-0003-4180-0410; Bellingeri, Arianna/0000-0002-7409-3866; Eliso, Maria Concetta/0000-0002-5914-8312</t>
  </si>
  <si>
    <t>PNRA 2014, Plastic in Polar Environments (PLANET) [140090]; Regione Toscana 2017-2020, NanoBonD (Nanomaterials for Remediation of Environmental Matrices associated to Dewatering) POR CReO FESR Toscana [2014-2020-30/07/2014-LA 1.1.5]; NERC [bas0100035] Funding Source: UKRI</t>
  </si>
  <si>
    <t>PNRA 2014, Plastic in Polar Environments (PLANET); Regione Toscana 2017-2020, NanoBonD (Nanomaterials for Remediation of Environmental Matrices associated to Dewatering) POR CReO FESR Toscana; NERC(UK Research &amp; Innovation (UKRI)Natural Environment Research Council (NERC))</t>
  </si>
  <si>
    <t>Part of this research was funded by PNRA 2014 (140090), Plastic in Polar Environments (PLANET); Regione Toscana 2017-2020, NanoBonD (Nanomaterials for Remediation of Environmental Matrices associated to Dewatering) POR CReO FESR Toscana 2014-2020-30/07/2014-LA 1.1.5</t>
  </si>
  <si>
    <t>2079-4991</t>
  </si>
  <si>
    <t>NANOMATERIALS-BASEL</t>
  </si>
  <si>
    <t>Nanomaterials</t>
  </si>
  <si>
    <t>10.3390/nano11081903</t>
  </si>
  <si>
    <t>Chemistry, Multidisciplinary; Nanoscience &amp; Nanotechnology; Materials Science, Multidisciplinary; Physics, Applied</t>
  </si>
  <si>
    <t>Chemistry; Science &amp; Technology - Other Topics; Materials Science; Physics</t>
  </si>
  <si>
    <t>UH7ED</t>
  </si>
  <si>
    <t>WOS:000690088300001</t>
  </si>
  <si>
    <t>Wang, SJ; Yang, YD; Gong, WY; Che, YJ; Ma, XG; Xie, J</t>
  </si>
  <si>
    <t>Wang, Shijin; Yang, Yuande; Gong, Wenyu; Che, Yanjun; Ma, Xinggang; Xie, Jia</t>
  </si>
  <si>
    <t>Reason Analysis of the Jiwenco Glacial Lake Outburst Flood (GLOF) and Potential Hazard on the Qinghai-Tibetan Plateau</t>
  </si>
  <si>
    <t>glacial lake outburst floods (GLOFs); outburst risk assessment; reason analysis; Qinghai-Tibetan Plateau (QTP)</t>
  </si>
  <si>
    <t>CLIMATE-CHANGE; INVENTORY; DRIVERS</t>
  </si>
  <si>
    <t>Glacial lake outburst flood (GLOF) is one of the major natural disasters in the Qinghai-Tibetan Plateau (QTP). On 25 June 2020, the outburst of the Jiwenco Glacial Lake (JGL) in the upper reaches of Nidu river in Jiari County of the QTP reached the downstream Niwu Township on 26 June, causing damage to many bridges, roads, houses, and other infrastructure, and disrupting telecommunications for several days. Based on radar and optical image data, the evolution of the JGL before and after the outburst was analyzed. The results showed that the area and storage capacity of the JGL were 0.58 square kilometers and 0.071 cubic kilometers, respectively, before the outburst (29 May), and only 0.26 square kilometers and 0.017 cubic kilometers remained after the outburst (27 July). The outburst reservoir capacity was as high as 5.4 million cubic meters. The main cause of the JGL outburst was the heavy precipitation process before outburst and the ice/snow/landslides entering the lake was the direct inducement. The outburst flood/debris flow disaster also led to many sections of the river and buildings in Niwu Township at high risk. Therefore, it is urgent to pay more attention to glacial lake outburst floods and other low-probability disasters, and early real-time engineering measures should be taken to minimize their potential impacts.</t>
  </si>
  <si>
    <t>[Wang, Shijin; Che, Yanjun; Ma, Xinggang; Xie, Jia] Chinese Acad Sci, Yulong Snow Mt Glacier &amp; Environm Observat &amp; Res, State Key Lab Cryospher Sci, Northwest Inst Ecoenvironm &amp; Resources, Lanzhou 730000, Peoples R China; [Wang, Shijin] Univ Chinese Acad Sci, Coll Resources &amp; Environm, Beijing 100049, Peoples R China; [Yang, Yuande] Wuhan Univ, Chinese Antarctic Ctr Surveying &amp; Mapping, Wuhan 430079, Peoples R China; [Gong, Wenyu] China Earthquake Adm, Inst Geol, Beijing 100029, Peoples R China</t>
  </si>
  <si>
    <t>Chinese Academy of Sciences; Chinese Academy of Sciences; University of Chinese Academy of Sciences, CAS; Wuhan University; China Earthquake Administration</t>
  </si>
  <si>
    <t>Yang, YD (corresponding author), Wuhan Univ, Chinese Antarctic Ctr Surveying &amp; Mapping, Wuhan 430079, Peoples R China.</t>
  </si>
  <si>
    <t>wangshijin@lzb.ac.cn; yuandeyang@whu.edu.cn; gwenyu@ies.ac.cn; cheyanjun@jxycu.edu.cn; maxingang@nieer.ac.cn; xj15193149296@163.com</t>
  </si>
  <si>
    <t>, Wenyu/0000-0001-6806-8974; Wang, Shijin/0000-0002-4788-0530</t>
  </si>
  <si>
    <t>Strategic priority research program of the Chinese Academy of Sciences [XDA19070503, XDA2002010]; Applied Technology Research and Development Fund Project of Aba Prefecture, China [20YYJSYJ0076]</t>
  </si>
  <si>
    <t>Strategic priority research program of the Chinese Academy of Sciences(Chinese Academy of Sciences); Applied Technology Research and Development Fund Project of Aba Prefecture, China</t>
  </si>
  <si>
    <t>This research is funded by Strategic priority research program of the Chinese Academy of Sciences (XDA19070503, XDA2002010) and Applied Technology Research and Development Fund Project of Aba Prefecture, China (20YYJSYJ0076).</t>
  </si>
  <si>
    <t>10.3390/rs13163114</t>
  </si>
  <si>
    <t>UH4KA</t>
  </si>
  <si>
    <t>WOS:000689900800001</t>
  </si>
  <si>
    <t>Vagnoni, F; Illuminati, S; Annibaldi, A; Memmola, F; Giglione, G; Falgiani, AM; Girolametti, F; Fanelli, M; Scarponi, G; Truzzi, C</t>
  </si>
  <si>
    <t>Vagnoni, Flavio; Illuminati, Silvia; Annibaldi, Anna; Memmola, Francesco; Giglione, Giada; Falgiani, Anna Maria; Girolametti, Federico; Fanelli, Matteo; Scarponi, Giuseppe; Truzzi, Cristina</t>
  </si>
  <si>
    <t>Seasonal Evolution of the Chemical Composition of Atmospheric Aerosol in Terra Nova Bay (Antarctica)</t>
  </si>
  <si>
    <t>sequential extraction procedure; metals; Antarctic aerosol; seasonal evolution; enrichment factors</t>
  </si>
  <si>
    <t>AIRBORNE PARTICULATE MATTER; ANODIC-STRIPPING VOLTAMMETRY; PARTICLE-SIZE DISTRIBUTIONS; TRACE-ELEMENTS; HEAVY-METALS; SEQUENTIAL EXTRACTION; SOLUBLE COMPONENTS; DEPOSITION FLUXES; SURFACE SNOW; ROSS SEA</t>
  </si>
  <si>
    <t>Atmospheric aerosol samples were collected at Faraglione Camp, 3 km away from the Italian Mario Zucchelli Station (Terra Nova Bay, Ross Sea), from 1 December 2013 to 2 February 2014. A two-step extraction procedure was applied to characterize the soluble and insoluble components of PM10-bound metals. Samples were analyzed for Al, Fe, Cd, Cu, and Pb by square wave anodic stripping voltammetry (SWASV) and by graphite furnace atomic absorption spectrophotometer (GF-AAS). The mean atmospheric concentrations were (reported as means +/- SD) Al 24 +/- 3 ng m(-3); Fe 23 +/- 4 ng m(-3); Cd 0.92 +/- 0.53 pg m(-3); Cu 43 +/- 9 pg m(-3), and Pb 16 +/- 5 pg m(-3). The fractionation pattern was metal-specific, with Al, Fe, and Pb mainly present in the insoluble fractions, Cd in the soluble one, and Cu equally distributed between the two fractions. The summer evolution showed overall constant behavior of both fractions for Al and Fe, while a bell-shaped trend was observed for the three trace metals. Cd and Cu showed a bell-shaped evolution involving both fractions. A seasonal increase in Pb occurred only for the insoluble fraction, while the soluble fraction remained almost constant. Sequential extraction and enrichment factors indicated a crustal origin for Al, Fe, and Pb, and additional (marine or anthropogenic) contributions for Cd and Cu. Back trajectory analysis showed a strong contribution of air masses derived from the Antarctic plateau. A potential low contribution from anthropized areas cannot be excluded. Further studies are necessary to better characterize the chemical composition of the aerosol, to discriminate between natural and anthropogenic sources, and to evaluate a quantitative source apportionment.</t>
  </si>
  <si>
    <t>[Vagnoni, Flavio; Illuminati, Silvia; Annibaldi, Anna; Memmola, Francesco; Giglione, Giada; Falgiani, Anna Maria; Girolametti, Federico; Fanelli, Matteo; Scarponi, Giuseppe; Truzzi, Cristina] Univ Politecn Marche, Dept Life &amp; Environm Sci, Via Brecce Manche, I-60131 Ancona, Italy; [Falgiani, Anna Maria] Reg Agcy Environm Protect ARPA, I-63100 Ascoli Piceno, Italy</t>
  </si>
  <si>
    <t>Marche Polytechnic University; Regional Environmental Protection Agency - Italy</t>
  </si>
  <si>
    <t>Illuminati, S; Annibaldi, A (corresponding author), Univ Politecn Marche, Dept Life &amp; Environm Sci, Via Brecce Manche, I-60131 Ancona, Italy.</t>
  </si>
  <si>
    <t>f.vagnoni@univpm.it; silluminati@univpm.it; a.annibaldi@univpm.it; f.memmola@univpm.it; g.giglione@pm.univpm.it; a.falgiani@pm.univpm.it; f.girolametti@pm.univpm.it; matteo.fanelli@virgilio.it; g.scarponi@univpm.it; c.truzzi@univpm.it</t>
  </si>
  <si>
    <t>Illuminati, Silvia/GXZ-5038-2022; Girolametti, Federico/IWD-5923-2023; Illuminati, Silvia/T-7873-2019</t>
  </si>
  <si>
    <t>Girolametti, Federico/0000-0003-1882-1619; Illuminati, Silvia/0000-0001-6465-5477; Giglione, Giada/0000-0002-4035-2671; Vagnoni, Flavio/0000-0001-9369-6243; ANNIBALDI, ANNA/0000-0002-7628-093X; Memmola, Francesco/0009-0005-8003-6728; SCARPONI, Giuseppe/0000-0003-2932-0596; TRUZZI, Cristina/0000-0002-7429-9880; FANELLI, MATTEO/0000-0002-2567-7873</t>
  </si>
  <si>
    <t>MIUR/PNRA program [2013/AZ2.01]</t>
  </si>
  <si>
    <t>MIUR/PNRA program(Ministry of Education, Universities and Research (MIUR))</t>
  </si>
  <si>
    <t>This research was financially supported by the MIUR/PNRA program in the framework of the PNRA project 2013/AZ2.01 entitled Evaluation and evolution of chemical contamination from organic and inorganic components in Antarctic coastal areas.</t>
  </si>
  <si>
    <t>10.3390/atmos12081030</t>
  </si>
  <si>
    <t>UF8MT</t>
  </si>
  <si>
    <t>WOS:000688823300001</t>
  </si>
  <si>
    <t>Peng, XQ; Zhang, TJ; Frauenfeld, OW; Du, R; Jin, HD; Mu, CC</t>
  </si>
  <si>
    <t>Peng, Xiaoqing; Zhang, Tingjun; Frauenfeld, Oliver W.; Du, Ran; Jin, Haodong; Mu, Cuicui</t>
  </si>
  <si>
    <t>A Holistic Assessment of 1979-2016 Global Cryospheric Extent</t>
  </si>
  <si>
    <t>EARTHS FUTURE</t>
  </si>
  <si>
    <t>climate; cryosphere</t>
  </si>
  <si>
    <t>ANTARCTIC SEA-ICE; NORTHERN-HEMISPHERE; CLIMATE-CHANGE; OCEAN; SOIL; GLACIERS; TRENDS; MASS</t>
  </si>
  <si>
    <t>The cryosphere plays a major role in earth's climate system. Most cryospheric assessments focus on one or more of its components and their response to climate change. However, to date, there has not been a comprehensive evaluation of the entire global cryosphere. We therefore determine such a holistic estimate and quantify changes to the hemispheric and global cryosphere due to climate change, by synthesizing sea ice, snow cover, and frozen ground extents into one global cryospheric extent data set. The 1981-2010 climatology of daily global cryospheric extent ranges from 45.7 +/- 0.7 x 10(6) to 87.2 +/- 2.0 x 10(6) km(2) (9.0%-17.1%), from 13.3 +/- 0.8 x 10(6)-66.3 +/- 1.7 x 10(6) km(2) (5.2%-26.0%) in the Northern Hemisphere (NH), and from 17.9 +/- 0.3 x 10(6) to 33.6 +/- 0.4 x 10(6) km(2) (7.0%-13.2%) in the Southern Hemisphere (SH). The monthly maximum cryospheric extent of 85.84 +/- 1.91 x 10(6) km(2) occurs in December, whereas minimum occurs in July with 45.92 +/- 0.70 x 10(6) km(2). During 1979-2016, global cryospheric area extent lost approximately 87 +/- 11 x 10(3) km(2)/yr, with a decrease of 102 +/- 9.7 x 10(3) km(2)/yr in the NH that was partly offset by an increase of 14.6 +/- 4.4 x 10(3) km(2)/yr in the SH. The first day of cryospheric cover was delayed by 3.6 days at a rate of 0.95 days/decade, and the last day advanced by 5.7 days, at a rate of 1.5 days/decade. The duration and number of cryospheric cover days decreased by 8.7 days and 7.6 days over the study period, respectively. These variations of global cryospheric extent are correlated with rising air temperatures. Our findings highlight the importance of assessing the cryosphere as a whole, and provide a way to quantitatively estimate its overall changes.</t>
  </si>
  <si>
    <t>[Peng, Xiaoqing; Zhang, Tingjun; Du, Ran; Jin, Haodong; Mu, Cuicui] Lanzhou Univ, Coll Earth &amp; Environm Sci, Key Lab Western Chinas Environm Syst, Minist Educ, Lanzhou, Peoples R China; [Frauenfeld, Oliver W.] Texas A&amp;M Univ, Dept Geog, College Stn, TX USA</t>
  </si>
  <si>
    <t>Lanzhou University; Texas A&amp;M University System; Texas A&amp;M University College Station</t>
  </si>
  <si>
    <t>Zhang, TJ; Mu, CC (corresponding author), Lanzhou Univ, Coll Earth &amp; Environm Sci, Key Lab Western Chinas Environm Syst, Minist Educ, Lanzhou, Peoples R China.</t>
  </si>
  <si>
    <t>tjzhang@lzu.edu.cn; Mucc@lzu.edu.cn</t>
  </si>
  <si>
    <t>Mu, Cuicui/KBD-1913-2024; peng, xiaoqing/ABE-1509-2021</t>
  </si>
  <si>
    <t>peng, xiaoqing/0000-0002-1789-7809</t>
  </si>
  <si>
    <t>National Key R&amp;D Program of China [2019YFA0607003]; Strategic Priority Research Program of Chinese Academy of Sciences [XDA20100313]; National Natural Science Foundation of China [41801028]; Applied Basic Research of Qinghai Science and Technology Department [2019-ZJ-7036]</t>
  </si>
  <si>
    <t>National Key R&amp;D Program of China; Strategic Priority Research Program of Chinese Academy of Sciences(Chinese Academy of Sciences); National Natural Science Foundation of China(National Natural Science Foundation of China (NSFC)); Applied Basic Research of Qinghai Science and Technology Department</t>
  </si>
  <si>
    <t>We thank the anonymous reviewers for their comments which helped improve this manuscript. This study was supported by the National Key R&amp;D Program of China (2019YFA0607003), the Strategic Priority Research Program of Chinese Academy of Sciences (Grant No. XDA20100313), the National Natural Science Foundation of China (grant No. 41801028), Applied Basic Research of Qinghai Science and Technology Department (2019-ZJ-7036).</t>
  </si>
  <si>
    <t>2328-4277</t>
  </si>
  <si>
    <t>Earth Future</t>
  </si>
  <si>
    <t>e2020EF001969</t>
  </si>
  <si>
    <t>10.1029/2020EF001969</t>
  </si>
  <si>
    <t>UF4FP</t>
  </si>
  <si>
    <t>WOS:000688531200011</t>
  </si>
  <si>
    <t>Huth, A; Duddu, R; Smith, B</t>
  </si>
  <si>
    <t>Huth, Alex; Duddu, Ravindra; Smith, Ben</t>
  </si>
  <si>
    <t>A Generalized Interpolation Material Point Method for Shallow Ice Shelves. 2: Anisotropic Nonlocal Damage Mechanics and Rift Propagation</t>
  </si>
  <si>
    <t>JOURNAL OF ADVANCES IN MODELING EARTH SYSTEMS</t>
  </si>
  <si>
    <t>Damage; fracture; glaciology; ice shelves; material point method; particle method</t>
  </si>
  <si>
    <t>CREEP CRACK-GROWTH; FRACTURE-MECHANICS; BASAL CREVASSES; OUTLET GLACIERS; SHELF; MODEL; SHEET; FLOW; ANTARCTICA; RETREAT</t>
  </si>
  <si>
    <t>Ice shelf fracture is responsible for roughly half of Antarctic ice mass loss in the form of calving and can weaken buttressing of upstream ice flow. Large uncertainties associated with the ice sheet response to climate variations are due to a poor understanding of these fracture processes and how to model them. Here, we address these problems by implementing an anisotropic, nonlocal integral formulation of creep damage within a large-scale shallow-shelf ice flow model. This model can be used to study the full evolution of fracture from initiation of crevassing to rifting that eventually causes tabular calving. While previous ice shelf fracture models have largely relied on simple expressions to estimate crevasse depths, our model parameterizes fracture as a progressive damage evolution process in three-dimensions (3-D). We also implement an efficient numerical framework based on the material point method, which avoids advection errors. Using an idealized marine ice sheet, we test the creep damage model and a crevasse-depth based damage model, including a modified version of the latter that accounts for damage evolution due to necking and mass balance. We demonstrate that the creep damage model is best suited for capturing weakening and rifting over shorter (monthly/yearly) timescales, and that anisotropic damage reproduces typically observed fracture patterns better than isotropic damage. Because necking and mass balance can significantly influence damage on longer (decadal) timescales, we discuss the potential for a combined approach between models to best represent mechanical weakening and tabular calving within long-term simulations.</t>
  </si>
  <si>
    <t>[Huth, Alex] Univ Washington, Dept Earth &amp; Space Sci, Seattle, WA 98195 USA; [Huth, Alex] Princeton Univ, Atmospher &amp; Ocean Sci, Princeton, NJ 08544 USA; [Duddu, Ravindra] Vanderbilt Univ, Dept Civil &amp; Environm Engn, Nashville, TN 37235 USA; [Duddu, Ravindra] Vanderbilt Univ, Dept Earth &amp; Environm Sci, 221 Kirkland Hall, Nashville, TN 37235 USA; [Smith, Ben] Univ Washington, Appl Phys Lab, Polar Sci Ctr, Seattle, WA 98105 USA</t>
  </si>
  <si>
    <t>University of Washington; University of Washington Seattle; Princeton University; Vanderbilt University; Vanderbilt University; University of Washington; University of Washington Seattle</t>
  </si>
  <si>
    <t>Huth, A (corresponding author), Univ Washington, Dept Earth &amp; Space Sci, Seattle, WA 98195 USA.;Huth, A (corresponding author), Princeton Univ, Atmospher &amp; Ocean Sci, Princeton, NJ 08544 USA.</t>
  </si>
  <si>
    <t>ahuth@princeton.edu</t>
  </si>
  <si>
    <t>Huth, Alex/HNI-9516-2023; Huth, Alex/GPP-1333-2022; Duddu, Ravindra/A-6854-2015</t>
  </si>
  <si>
    <t>Huth, Alex/0000-0002-7590-3525; Huth, Alex/0000-0002-7590-3525; Duddu, Ravindra/0000-0002-4205-0247</t>
  </si>
  <si>
    <t>NASA Earth and Space Sciences fellowship [NNX15AN99H]; National Science Foundation's Office of Polar Programs via CAREER [PLR-1847173]; NASA [NNX17AI62G, NNX13AP96G]; NASA [NNX13AP96G, 465181, NNX15AN99H, 799981] Funding Source: Federal RePORTER</t>
  </si>
  <si>
    <t>NASA Earth and Space Sciences fellowship; National Science Foundation's Office of Polar Programs via CAREER; NASA(National Aeronautics &amp; Space Administration (NASA)); NASA(National Aeronautics &amp; Space Administration (NASA))</t>
  </si>
  <si>
    <t>A. Huth was funded by NASA Earth and Space Sciences fellowship under grant no. NNX15AN99H. R. Duddu gratefully acknowledges the funding support provided by the National Science Foundation's Office of Polar Programs via CAREER grant no. PLR-1847173. B. Smith was funded under NASA grants no. NNX17AI62G and NNX13AP96G. The authors also thank reviewer Bradley Lipovsky and an anonymous reviewer for their insightful comments and suggestions that helped improve this study.</t>
  </si>
  <si>
    <t>1942-2466</t>
  </si>
  <si>
    <t>J ADV MODEL EARTH SY</t>
  </si>
  <si>
    <t>J. Adv. Model. Earth Syst.</t>
  </si>
  <si>
    <t>e2020MS002292</t>
  </si>
  <si>
    <t>10.1029/2020MS002292</t>
  </si>
  <si>
    <t>UF3IZ</t>
  </si>
  <si>
    <t>Green Published, Green Submitted, gold</t>
  </si>
  <si>
    <t>WOS:000688471600004</t>
  </si>
  <si>
    <t>Soldatenko, S</t>
  </si>
  <si>
    <t>Soldatenko, Sergei</t>
  </si>
  <si>
    <t>Effects of Global Warming on the Poleward Heat Transport by Non-Stationary Large-Scale Atmospheric Eddies, and Feedbacks Affecting the Formation of the Arctic Climate</t>
  </si>
  <si>
    <t>JOURNAL OF MARINE SCIENCE AND ENGINEERING</t>
  </si>
  <si>
    <t>Arctic; climate change; radiative feedbacks; static stability; meridional heat transport; global warming</t>
  </si>
  <si>
    <t>SEA-ICE; POLAR AMPLIFICATION; GENERAL-CIRCULATION; ENERGY; ATLANTIC; VARIABILITY; ENERGETICS; IMPACTS; SYSTEM</t>
  </si>
  <si>
    <t>It is a well-known fact that the observed rise in the Arctic near-surface temperature is more than double the increase in global mean temperature. However, the entire scientific picture of the formation of the Arctic amplification has not yet taken final shape and the causes of this phenomenon are still being discussed within the scientific community. Some recent studies suggest that the atmospheric equator-to-pole transport of heat and moisture, and also radiative feedbacks, are among the possible reasons for the Arctic amplification. In this paper, we highlight and summarize some of our research related to assessing the response of climate in the Arctic to global warming and vice versa. Since extratropical transient eddies dominate the meridional transport of sensible and latent heat from low to high latitudes, we estimated the effect of climate change on meridional heat transport by means of the beta-plane model of baroclinic instability. It has been shown that the heat transport from low and middle latitudes to the Arctic by large scale transient eddies increases by about 9% due to global warming, contributing to the polar amplification and thereby a decrease in the extent of the Arctic sea, which, in turn, is an important factor in the formation of the Arctic climate. The main radiative feedback mechanisms affecting the formation of the Arctic climate are also considered and discussed. It was emphasized that the influence of feedbacks depends on a season since the total feedback in the winter season is negative, while in the summer season, it is positive. Thus, further research is required to diminish the uncertainty regarding the character of various feedback mechanisms in the shaping of the Artic climate and, through that, in predicting the extent of Arctic sea ice.</t>
  </si>
  <si>
    <t>[Soldatenko, Sergei] Russian Acad Sci, St Petersburg Fed Res Ctr, 39,14th Line VO, St Petersburg 199178, Russia; [Soldatenko, Sergei] Arctic &amp; Antarctic Res Inst, 38 Bering St, St Petersburg 199397, Russia</t>
  </si>
  <si>
    <t>Russian Academy of Sciences; St. Petersburg Federal Research Center of the Russian Academy of Sciences; Arctic &amp; Antarctic Research Institute</t>
  </si>
  <si>
    <t>Soldatenko, S (corresponding author), Russian Acad Sci, St Petersburg Fed Res Ctr, 39,14th Line VO, St Petersburg 199178, Russia.;Soldatenko, S (corresponding author), Arctic &amp; Antarctic Res Inst, 38 Bering St, St Petersburg 199397, Russia.</t>
  </si>
  <si>
    <t>soldatenko@iias.spb.su</t>
  </si>
  <si>
    <t>SOLDATENKO, SERGEI/S-1223-2016</t>
  </si>
  <si>
    <t>SOLDATENKO, SERGEI/0000-0002-6304-7434</t>
  </si>
  <si>
    <t>2077-1312</t>
  </si>
  <si>
    <t>J MAR SCI ENG</t>
  </si>
  <si>
    <t>J. Mar. Sci. Eng.</t>
  </si>
  <si>
    <t>10.3390/jmse9080867</t>
  </si>
  <si>
    <t>Engineering, Marine; Engineering, Ocean; Oceanography</t>
  </si>
  <si>
    <t>Engineering; Oceanography</t>
  </si>
  <si>
    <t>UG7HB</t>
  </si>
  <si>
    <t>WOS:000689417400001</t>
  </si>
  <si>
    <t>Riccio, G; Nuzzo, G; Zazo, G; Coppola, D; Senese, G; Romano, L; Costantini, M; Ruocco, N; Bertolino, M; Fontana, A; Ianora, A; Verde, C; Giordano, D; Lauritano, C</t>
  </si>
  <si>
    <t>Riccio, Gennaro; Nuzzo, Genoveffa; Zazo, Gianluca; Coppola, Daniela; Senese, Giuseppina; Romano, Lucia; Costantini, Maria; Ruocco, Nadia; Bertolino, Marco; Fontana, Angelo; Ianora, Adrianna; Verde, Cinzia; Giordano, Daniela; Lauritano, Chiara</t>
  </si>
  <si>
    <t>Bioactivity Screening of Antarctic Sponges Reveals Anticancer Activity and Potential Cell Death via Ferroptosis by Mycalols</t>
  </si>
  <si>
    <t>Antarctica; sponges; drug discovery; mycalols; marine biotechnology</t>
  </si>
  <si>
    <t>MARINE NATURAL-PRODUCTS; PHYLOGENY; EVOLUTION; PORIFERA; SESTERTERPENOIDS; COMPLEX</t>
  </si>
  <si>
    <t>Sponges are known to produce a series of compounds with bioactivities useful for human health. This study was conducted on four sponges collected in the framework of the XXXIV Italian National Antarctic Research Program (PNRA) in November-December 2018, i.e., Mycale (Oxymycale) acerata, Haliclona (Rhizoniera) dancoi, Hemimycale topsenti, and Hemigellius pilosus. Sponge extracts were fractioned and tested against hepatocellular carcinoma (HepG2), lung carcinoma (A549), and melanoma cells (A2058), in order to screen for antiproliferative or cytotoxic activity. Two different chemical classes of compounds, belonging to mycalols and suberitenones, were identified in the active fractions. Mycalols were the most active compounds, and their mechanism of action was also investigated at the gene and protein levels in HepG2 cells. Of the differentially expressed genes, ULK1 and GALNT5 were the most down-regulated genes, while MAPK8 was one of the most up-regulated genes. These genes were previously associated with ferroptosis, a programmed cell death triggered by iron-dependent lipid peroxidation, confirmed at the protein level by the down-regulation of GPX4, a key regulator of ferroptosis, and the up-regulation of NCOA4, involved in iron homeostasis. These data suggest, for the first time, that mycalols act by triggering ferroptosis in HepG2 cells.</t>
  </si>
  <si>
    <t>[Riccio, Gennaro; Coppola, Daniela; Costantini, Maria; Ruocco, Nadia; Ianora, Adrianna; Verde, Cinzia; Giordano, Daniela; Lauritano, Chiara] Stn Zool Anton Dohrn, Dept Marine Biotechnol, I-80121 Naples, Italy; [Nuzzo, Genoveffa; Senese, Giuseppina; Romano, Lucia; Fontana, Angelo] CNR, Ist Chim Biomol, Via Campi Flegrei 34, I-80078 Pozzuoli, Italy; [Zazo, Gianluca] Stn Zool Anton Dohrn, Res Infrastruct Marine Biol Resources Dept, I-80121 Naples, Italy; [Costantini, Maria; Verde, Cinzia; Giordano, Daniela] Natl Res Council CNR, Inst Biosci &amp; BioResources IBBR, Via Pietro Castellino 111, I-80131 Naples, Italy; [Bertolino, Marco] Univ Genoa, Dipartimento Sci Terra Ambiente &amp; Vita DISTAV, Corso Europa 26, I-16132 Genoa, Italy; [Fontana, Angelo] Univ Napoli Federico II, Dept Biol, Lab Bioorgan Chem &amp; Chem Biol, Via Cupa Nuova Cinthia 21, I-80126 Naples, Italy</t>
  </si>
  <si>
    <t>Stazione Zoologica Anton Dohrn di Napoli; Consiglio Nazionale delle Ricerche (CNR); Istituto di Chimica Biomolecolare (ICB-CNR); Stazione Zoologica Anton Dohrn di Napoli; Consiglio Nazionale delle Ricerche (CNR); Istituto di Bioscienze e Biorisorse (IBBR-CNR); University of Genoa; University of Naples Federico II</t>
  </si>
  <si>
    <t>Lauritano, C (corresponding author), Stn Zool Anton Dohrn, Dept Marine Biotechnol, I-80121 Naples, Italy.</t>
  </si>
  <si>
    <t>gennaro.riccio@szn.it; nuzzo.genoveffa@icb.cnr.it; gzazo@inogs.it; daniela.coppola@szn.it; giusi.senese@icb.cnr.it; l.romano@icb.cnr.it; maria.costantini@szn.it; nadia.ruocco@szn.it; marco.bertolino@unige.it; angelo.fontana@icb.cnr.it; adrianna.ianora@szn.it; c.verde@ibp.cnr.it; daniela.giordano@ibbr.cnr.it; chiara.lauritano@szn.it</t>
  </si>
  <si>
    <t>Giordano, Daniela/AFK-7772-2022; Fontana, Angelo/C-3354-2012; Coppola, Daniela/ABG-4430-2020; Fontana, Angelo/AAO-2741-2021; Ruocco, Nadia/HGA-2143-2022; Bertolino, Marco/AAI-7707-2020; Costantini, Maria/AGH-4080-2022; Riccio, Gennaro/AAH-6275-2020; Lauritano, Chiara/Q-4166-2018</t>
  </si>
  <si>
    <t>Giordano, Daniela/0000-0002-8891-6245; Fontana, Angelo/0000-0002-5453-461X; Coppola, Daniela/0000-0001-6699-8967; Lauritano, Chiara/0000-0003-4580-9594; Riccio, Gennaro/0000-0003-2541-5790; Costantini, Maria/0000-0003-3978-6170; Nuzzo, Genoveffa/0000-0001-7065-2379; VERDE, Cinzia/0000-0001-6185-282X</t>
  </si>
  <si>
    <t>Cosmeceuticals And Nutraceuticals From Antarctic Biological REsources (CAN FARE) [PNRA16_00043]; project Antitumor Drugs and Vaccines from the Sea (ADViSE) by POR Campania FESR [CUP B43D18000240007-SURF 17061BP000000011, PG/2018/0494374]</t>
  </si>
  <si>
    <t>Cosmeceuticals And Nutraceuticals From Antarctic Biological REsources (CAN FARE); project Antitumor Drugs and Vaccines from the Sea (ADViSE) by POR Campania FESR</t>
  </si>
  <si>
    <t>This research was supported by PNRA16_00043, Cosmeceuticals And Nutraceuticals From Antarctic Biological REsources (CAN FARE). It was carried out in the framework of the SCAR Programme Antarctic Thresholds-Ecosystem Resilience and Adaptation (AnT-ERA). Authors acknowledge the financial support of the project Antitumor Drugs and Vaccines from the Sea (ADViSE) (CUP B43D18000240007-SURF 17061BP000000011; PG/2018/0494374) funded by POR Campania FESR 2014-2020 Technology Platform for Therapeutic Strategies against Cancer-Action 1.1.2 and 1.2.2.</t>
  </si>
  <si>
    <t>10.3390/md19080459</t>
  </si>
  <si>
    <t>UG6LM</t>
  </si>
  <si>
    <t>WOS:000689361300001</t>
  </si>
  <si>
    <t>Kudinova, AG; Dolgih, AV; Mergelov, NS; Shorkunov, IG; Maslova, OA; Petrova, MA</t>
  </si>
  <si>
    <t>Kudinova, Alina G.; Dolgih, Andrey, V; Mergelov, Nikita S.; Shorkunov, Ilya G.; Maslova, Olga A.; Petrova, Mayya A.</t>
  </si>
  <si>
    <t>The Abundance and Taxonomic Diversity of Filterable Forms of Bacteria during Succession in the Soils of Antarctica (Bunger Hills)</t>
  </si>
  <si>
    <t>ultramicrobacteria; dormant cells; next-generation sequencing; bacterial community structure; mesomorphology and micromorphology of soil</t>
  </si>
  <si>
    <t>LARSEMANN HILLS; RIBOSOMAL-RNA; GEN. NOV.; ULTRAMICROBACTERIA; CULTIVATION; OLIGOFLEXIA; PERSISTENT; COMMUNITY; LINEAGE</t>
  </si>
  <si>
    <t>Previous studies have shown that a significant part of the bacterial communities of Antarctic soils is represented by cells passing through filters with pore sizes of 0.2 mu m. These results raised new research questions about the composition and diversity of the filterable forms of bacteria (FFB) in Antarctic soils and their role in the adaptation of bacteria to the extreme living conditions. To answer such questions, we analyzed the succession of bacterial communities during incubation of Antarctic soil samples from the Bunger Hills at increased humidity and positive temperatures (5 degrees C and 20 degrees C). We determined the total number of viable cells by fluorescence microscopy in all samples and assessed the taxonomic diversity of bacteria by next-generation sequencing of the 16S rRNA gene region. Our results have shown that at those checkpoints where the total number of cells reached the maximum, the FFB fraction reached its minimum, and vice versa. We did not observe significant changes in taxonomic diversity in the soil bacterial communities during succession. During our study, we found that the soil bacterial communities as a whole and the FFB fraction consist of almost the same phylogenetic groups. We suppose rapid transition of the cells of the active part of the bacterial population to small dormant forms is one of the survival strategies in extreme conditions and contributes to the stable functioning of microbial communities in Antarctic soils.</t>
  </si>
  <si>
    <t>[Kudinova, Alina G.; Maslova, Olga A.; Petrova, Mayya A.] Natl Res Ctr, Inst Mol Genet, Kurchatov Inst, Akad Kurchatova Sq 2, Moscow 123182, Russia; [Dolgih, Andrey, V; Mergelov, Nikita S.; Shorkunov, Ilya G.] Russian Acad Sci, Inst Geog, Staromonetnyy Lane 29, Moscow 119017, Russia</t>
  </si>
  <si>
    <t>National Research Centre - Kurchatov Institute; Russian Academy of Sciences; Institute of Geography, Russian Academy of Sciences</t>
  </si>
  <si>
    <t>Kudinova, AG; Petrova, MA (corresponding author), Natl Res Ctr, Inst Mol Genet, Kurchatov Inst, Akad Kurchatova Sq 2, Moscow 123182, Russia.</t>
  </si>
  <si>
    <t>alina-kudinova91@mail.ru; dolgikh@igras.ru; mergelov@igras.ru; shorkunov@igras.ru; elvi.23@mail.ru; petrova@img.ras.ru</t>
  </si>
  <si>
    <t>Maslova, Olga A./D-3327-2019; Dolgikh, Andrey/D-2575-2015; Kudinova, Alina/ABC-7359-2021; Mergelov, Nikita S/D-2585-2015; Petrova, Mayya/J-5386-2018</t>
  </si>
  <si>
    <t>Maslova, Olga A./0000-0002-4301-8783; Dolgikh, Andrey/0000-0002-9316-9440; Petrova, Mayya/0000-0001-5411-0457</t>
  </si>
  <si>
    <t>Ministry of Education and Science of Russian Federation</t>
  </si>
  <si>
    <t>Ministry of Education and Science of Russian Federation(Ministry of Education and Science, Russian Federation)</t>
  </si>
  <si>
    <t>This research was supported by the Ministry of Education and Science of Russian Federation within the framework of the Kurchatov Genome Center Development Program. Scanning electron microscopy of the soil samples were carried out within the framework of the State assignment 0148-2019-0006 (Institute of Geography, Russian Academy of Sciences).</t>
  </si>
  <si>
    <t>10.3390/microorganisms9081728</t>
  </si>
  <si>
    <t>UG6YG</t>
  </si>
  <si>
    <t>WOS:000689394500001</t>
  </si>
  <si>
    <t>Papa, R; Vrenna, G; D'Angelo, C; Casillo, A; Relucenti, M; Donfrancesco, O; Corsaro, MM; Fiscarelli, EV; Assanti, VTG; Tutino, ML; Parrilli, E; Artini, M; Selan, L</t>
  </si>
  <si>
    <t>Papa, Rosanna; Vrenna, Gianluca; D'Angelo, Caterina; Casillo, Angela; Relucenti, Michela; Donfrancesco, Orlando; Corsaro, Maria Michela; Fiscarelli, Ersilia Vita; Assanti, Vanessa Tuccio Guarna; Tutino, Maria Luisa; Parrilli, Ermenegilda; Artini, Marco; Selan, Laura</t>
  </si>
  <si>
    <t>Anti-Virulence Activity of the Cell-Free Supernatant of the Antarctic Bacterium Psychrobacter sp. TAE2020 against Pseudomonas aeruginosa Clinical Isolates from Cystic Fibrosis Patients</t>
  </si>
  <si>
    <t>ANTIBIOTICS-BASEL</t>
  </si>
  <si>
    <t>Pseudomonas aeruginosa; cystic fibrosis; anti-virulence; SEM; motility; biofilm; pyocyanin; proteases; Antarctic bacteria</t>
  </si>
  <si>
    <t>BIOFILM; DIVERSIFICATION; CONTAMINATION; INHIBITION</t>
  </si>
  <si>
    <t>Pseudomonas aeruginosa is an opportunistic pathogen often involved in airway infections of cystic fibrosis (CF) patients. Its pathogenicity is related to several virulence factors, such as biofilm formation, motility and production of toxins and proteases. The expression of these virulence factors is controlled by quorum sensing (QS). Thus, QS inhibition is considered a novel strategy for the development of antipathogenic compounds acting on specific bacterial virulence programs without affecting bacterial vitality. In this context, cold-adapted marine bacteria living in polar regions represent an untapped reservoir of biodiversity endowed with an interesting chemical repertoire. In this paper, we investigated the biological activity of a supernatant derived from a novel Antarctic bacterium (SN_TAE2020) against specific virulence factors produced by P. aeruginosa strains isolated from FC patients. Our results clearly show a reduction in pyocyanin and protease production in the presence of SN_TAE2020. Finally, SN_TAE2020 was also able to strongly affect swarming and swimming motility for almost all tested strains. Furthermore, the effect of SN_TAE2020 was investigated on biofilm growth and texture, captured by SEM analysis. In consideration of the novel results obtained on clinical strains, polar bacteria might represent potential candidates for the discovery of new compounds limiting P. aeruginosa virulence in CF patients.</t>
  </si>
  <si>
    <t>[Papa, Rosanna; Vrenna, Gianluca; Artini, Marco; Selan, Laura] Sapienza Univ, Dept Publ Hlth &amp; Infect Dis, Ple Aldo Moro 5, I-00185 Rome, Italy; [D'Angelo, Caterina; Casillo, Angela; Corsaro, Maria Michela; Tutino, Maria Luisa; Parrilli, Ermenegilda] Univ Naples Federico II, Dept Chem Sci, Complesso Univ Monte S Angelo,Via Cintia 4, I-80126 Naples, Italy; [Relucenti, Michela; Donfrancesco, Orlando] Sapienza Univ Rome, Dept Anat Histol Forens Med &amp; Orthopaed, Via Alfonso Borelli 50, I-00161 Rome, Italy; [Fiscarelli, Ersilia Vita; Assanti, Vanessa Tuccio Guarna] Bambino Gesu Childrens IRCCS Hosp, Diagnost Med &amp; Lab Dept, Unit Cyst Fibrosis Diagnost Microbiol &amp; Immunol D, I-00165 Rome, Italy</t>
  </si>
  <si>
    <t>Sapienza University Rome; University of Naples Federico II; Sapienza University Rome</t>
  </si>
  <si>
    <t>Papa, R; Artini, M (corresponding author), Sapienza Univ, Dept Publ Hlth &amp; Infect Dis, Ple Aldo Moro 5, I-00185 Rome, Italy.</t>
  </si>
  <si>
    <t>rosanna.papa@uniroma1.it; gianluca.vrenna@uniroma1.it; caterina.dangelo@unina.it; angela.casillo@unina.it; michela.relucenti@uniroma1.it; orlando.donfrancesco@uniroma1.it; corsaro@unina.it; evita.fiscarelli@opbg.net; vanessa.tuccio@opbg.net; tutino@unina.it; erparril@unina.it; marco.artini@uniroma1.it; laura.selan@uniroma1.it</t>
  </si>
  <si>
    <t>TUTINO, MARIA LUISA/L-1834-2013; Relucenti, Michela/I-2377-2012; parrilli, ermenegilda/K-4616-2016; parrilli, ermenegilda/JAZ-0586-2023; Corsaro, Maria Michela/T-6190-2019; Fiscarelli, Ersilia Vita/K-3035-2016</t>
  </si>
  <si>
    <t>Relucenti, Michela/0000-0002-3805-9505; parrilli, ermenegilda/0000-0002-9002-5409; Corsaro, Maria Michela/0000-0002-6834-8682; Fiscarelli, Ersilia Vita/0000-0003-4156-1835; D'Angelo, Caterina/0000-0002-0372-7809; Tutino, Maria Luisa/0000-0002-4978-6839</t>
  </si>
  <si>
    <t>PNRA 2013 [0030683.13-12-2013]</t>
  </si>
  <si>
    <t>PNRA 2013</t>
  </si>
  <si>
    <t>This research was funded by PNRA 2013 (prot 0030683.13-12-2013).</t>
  </si>
  <si>
    <t>2079-6382</t>
  </si>
  <si>
    <t>Antibiotics-Basel</t>
  </si>
  <si>
    <t>10.3390/antibiotics10080944</t>
  </si>
  <si>
    <t>Infectious Diseases; Pharmacology &amp; Pharmacy</t>
  </si>
  <si>
    <t>UF7HZ</t>
  </si>
  <si>
    <t>WOS:000688742700001</t>
  </si>
  <si>
    <t>Prado, LF; Wainer, I; de Souza, RB</t>
  </si>
  <si>
    <t>Prado, Luciana F.; Wainer, Ilana; de Souza, Ronald B.</t>
  </si>
  <si>
    <t>The Representation of the Southern Annular Mode Signal in the Brazilian Earth System Model</t>
  </si>
  <si>
    <t>Southern Annular Mode; model evaluation; mean sea level pressure; temperature; precipitation; South America</t>
  </si>
  <si>
    <t>ANTARCTIC OSCILLATION; CLIMATE VARIABILITY; CMIP5; SIMULATION; VERSION; TEMPERATURES; PERFORMANCE; ANOMALIES; PATTERNS; IMPACTS</t>
  </si>
  <si>
    <t>The Southern Annular Mode (SAM, also known as the Antarctic Oscillation-AAO) explains most of the climate variability in the Southern Hemisphere. A ring pattern in mean sea level pressure (MSLP) or 500 hPa geopotential height around Antarctica characterizes SAM. Differences of MSLP values between SH mid and high latitudes define positive and negative SAM phases with impacts on mean atmospheric circulation. Thus, investigating how different models represent SAM is of paramount importance, as it can improve their ability to describe or even predict most of the SH climate variability. Here we examine how the Brazilian Earth System Model (BESM) represents SAM's signal compared with observations, reanalysis, and other climate models contributing to the Coupled Modeling Intercomparison Project version 5 (CMIP5). We also evaluate how SAM relates to the South American surface temperature and precipitation and discuss the models' limitations and biases compared with reanalysis data.</t>
  </si>
  <si>
    <t>[Prado, Luciana F.; Wainer, Ilana] Univ Sao Paulo, Inst Oceanog, Praca Oceanog 191,Cidade Univ, BR-05508120 Sao Paulo, Brazil; [de Souza, Ronald B.] Inst Nacl Pesquisas Espaciais CPTEC INPE, Ctr Previsao Tempo &amp; Estudos Climat, Div Modelagem Numer Sistema Terr, Rodovia Presidente Dutra Km 40, BR-12630000 Cachoeira Paulista, SP, Brazil</t>
  </si>
  <si>
    <t>Universidade de Sao Paulo</t>
  </si>
  <si>
    <t>Prado, LF (corresponding author), Univ Sao Paulo, Inst Oceanog, Praca Oceanog 191,Cidade Univ, BR-05508120 Sao Paulo, Brazil.</t>
  </si>
  <si>
    <t>luciana.prado@usp.br; wainer@usp.br; ronald.buss@inpe.br</t>
  </si>
  <si>
    <t>Souza, Ronald Buss de/R-5867-2016; Prado, Luciana Figueiredo/M-9312-2019; WAINER, ILANA/B-4540-2011</t>
  </si>
  <si>
    <t>Souza, Ronald Buss de/0000-0003-3346-3370; Prado, Luciana Figueiredo/0000-0002-6446-8986; WAINER, ILANA/0000-0003-3784-623X</t>
  </si>
  <si>
    <t>Brazilian CNPq; CAPES; FAPERGS; project: National Institute for Science and Technology of the Cryosphere [CNPq 704222/2009, FAPERGS 17/2551-0000518-0]; project: Use and Development of the BESM Model for Studying the Ocean-Atmosphere-Cryosphere in high and medium latitudes [CAPES 88887-145668/2017-00]; CAPES [001, 88887.495715/2020-00, 88887.136384/201700]; FAPESP [2018/14789-9]; CNPq [301726/2013-2, 405869/20134]</t>
  </si>
  <si>
    <t>Brazilian CNPq(Conselho Nacional de Desenvolvimento Cientifico e Tecnologico (CNPQ)); CAPES(Coordenacao de Aperfeicoamento de Pessoal de Nivel Superior (CAPES)); FAPERGS(Fundacao de Amparo a Ciencia e Tecnologia do Estado do Rio Grande do Sul (FAPERGS)); project: National Institute for Science and Technology of the Cryosphere; project: Use and Development of the BESM Model for Studying the Ocean-Atmosphere-Cryosphere in high and medium latitudes; CAPES(Coordenacao de Aperfeicoamento de Pessoal de Nivel Superior (CAPES)); FAPESP(Fundacao de Amparo a Pesquisa do Estado de Sao Paulo (FAPESP)); CNPq(Conselho Nacional de Desenvolvimento Cientifico e Tecnologico (CNPQ))</t>
  </si>
  <si>
    <t>This research was funded by the Brazilian Agencies CNPq, CAPES and FAPERGS to the following projects: (i) National Institute for Science and Technology of the Cryosphere (CNPq 704222/2009 and FAPERGS 17/2551-0000518-0); Use and Development of the BESM Model for Studying the Ocean-Atmosphere-Cryosphere in high and medium latitudes (CAPES 88887-145668/2017-00). This study was also financed by CAPES-Finance Code 001 (88887.495715/2020-00; 88887.136384/201700), FAPESP: 2018/14789-9; CNPq: 301726/2013-2, 405869/20134.</t>
  </si>
  <si>
    <t>10.3390/atmos12081045</t>
  </si>
  <si>
    <t>UF8BK</t>
  </si>
  <si>
    <t>WOS:000688793800001</t>
  </si>
  <si>
    <t>Bertini, L; Cozzolino, F; Proietti, S; Falconieri, GS; Iacobucci, I; Salvia, R; Falabella, P; Monti, M; Caruso, C</t>
  </si>
  <si>
    <t>Bertini, Laura; Cozzolino, Flora; Proietti, Silvia; Falconieri, Gaia Salvatore; Iacobucci, Ilaria; Salvia, Rosanna; Falabella, Patrizia; Monti, Maria; Caruso, Carla</t>
  </si>
  <si>
    <t>What Antarctic Plants Can Tell Us about Climate Changes: Temperature as a Driver for Metabolic Reprogramming</t>
  </si>
  <si>
    <t>BIOMOLECULES</t>
  </si>
  <si>
    <t>Colobanthus quitensis; differential proteomic analysis; open top chambers; response to stress; temperature changes</t>
  </si>
  <si>
    <t>OPEN-TOP CHAMBERS; VASCULAR PLANTS; PHOTOSYSTEM-II; MONODEHYDROASCORBATE REDUCTASE; ARABIDOPSIS-THALIANA; PHOTORESPIRATION; STRESS; PROTEINS; PHOTOPROTECTION; PHOTOSYNTHESIS</t>
  </si>
  <si>
    <t>Global warming is strongly affecting the maritime Antarctica climate and the consequent melting of perennial snow and ice covers resulted in increased colonization by plants. Colobanthus quitensis is a vascular plant highly adapted to the harsh environmental conditions of Antarctic Peninsula and understanding how the plant is responding to global warming is a new challenging target for modern cell physiology. To this aim, we performed differential proteomic analysis on C. quitensis plants grown in natural conditions compared to plants grown for one year inside open top chambers (OTCs) which determine an increase of about 4 degrees C at midday, mimicking the effect of global warming. A thorough analysis of the up- and downregulated proteins highlighted an extensive metabolism reprogramming leading to enhanced photoprotection and oxidative stress control as well as reduced content of cell wall components. Overall, OTCs growth seems to be advantageous for C. quitensis plants which could benefit from a better CO2 diffusion into the mesophyll and a reduced ROS-mediated photodamage.</t>
  </si>
  <si>
    <t>[Bertini, Laura; Proietti, Silvia; Falconieri, Gaia Salvatore; Caruso, Carla] Univ Tuscia, Dept Ecol &amp; Biol Sci, I-01100 Viterbo, Italy; [Cozzolino, Flora; Iacobucci, Ilaria; Monti, Maria] Univ Naples Federico II, Dept Chem Sci, I-80126 Naples, Italy; [Cozzolino, Flora; Iacobucci, Ilaria; Monti, Maria] Univ Naples Federico II, CEINGE Adv Biotechnol, I-80145 Naples, Italy; [Salvia, Rosanna; Falabella, Patrizia] Univ Basilicata, Dept Sci, I-85100 Potenza, Italy; [Salvia, Rosanna; Falabella, Patrizia] Univ Basilicata, Spinoff XFlies Srl, I-85100 Potenza, Italy</t>
  </si>
  <si>
    <t>Tuscia University; University of Naples Federico II; CEINGE Biotecnologie Avanzate; University of Naples Federico II; University of Basilicata; Italfarmaco; University of Basilicata</t>
  </si>
  <si>
    <t>Caruso, C (corresponding author), Univ Tuscia, Dept Ecol &amp; Biol Sci, I-01100 Viterbo, Italy.;Monti, M (corresponding author), Univ Naples Federico II, Dept Chem Sci, I-80126 Naples, Italy.;Monti, M (corresponding author), Univ Naples Federico II, CEINGE Adv Biotechnol, I-80145 Naples, Italy.</t>
  </si>
  <si>
    <t>lbertini@unitus.it; flora.cozzolino@unina.it; s.proietti@unitus.it; gfalconieri@unitus.it; iacobucci@ceinge.unina.it; r.salvia@unibas.it; patrizia.falabella@unibas.it; maria.monti@unina.it; caruso@unitus.it</t>
  </si>
  <si>
    <t>Iacobucci, Ilaria/AAN-8009-2021; cozzolino, flora/AAA-3155-2022; caruso, carla/AAC-4123-2019; salvia, rosanna/G-4996-2017; MONTI, Maria/J-2816-2018</t>
  </si>
  <si>
    <t>Iacobucci, Ilaria/0000-0001-6210-5607; caruso, carla/0000-0002-2482-8254; salvia, rosanna/0000-0002-6661-7164; Falabella, Patrizia/0000-0003-0304-6867; BERTINI, Laura/0000-0001-6335-3880; Falconieri, Gaia Salvatore/0000-0003-1923-1688; proietti, silvia/0000-0002-4795-3293; MONTI, Maria/0000-0002-7775-7154; cozzolino, flora/0000-0002-4648-8107</t>
  </si>
  <si>
    <t>Ministero dell'Istruzione, Universita e Ricerca Scientifica (MIUR) [2013/C1.02]</t>
  </si>
  <si>
    <t>Ministero dell'Istruzione, Universita e Ricerca Scientifica (MIUR)(Ministry of Education, Universities and Research (MIUR))</t>
  </si>
  <si>
    <t>This research was funded by Ministero dell'Istruzione, Universita e Ricerca Scientifica (MIUR) in the framework of the PNRA (National Program for Antarctic Research), grant number 2013/C1.02.</t>
  </si>
  <si>
    <t>2218-273X</t>
  </si>
  <si>
    <t>Biomolecules</t>
  </si>
  <si>
    <t>10.3390/biom11081094</t>
  </si>
  <si>
    <t>Biochemistry &amp; Molecular Biology</t>
  </si>
  <si>
    <t>UG1GW</t>
  </si>
  <si>
    <t>WOS:000689010800001</t>
  </si>
  <si>
    <t>Mace, GG; Protat, A; Benson, S</t>
  </si>
  <si>
    <t>Mace, Gerald G.; Protat, Alain; Benson, Sally</t>
  </si>
  <si>
    <t>Mixed-phase Clouds Over the Southern Ocean as Observed From Satellite and Surface Based Lidar and Radar</t>
  </si>
  <si>
    <t>JOURNAL OF GEOPHYSICAL RESEARCH-ATMOSPHERES</t>
  </si>
  <si>
    <t>SECONDARY ICE PRODUCTION; BACKSCATTER; PARTICLES; DEPOLARIZATION; MICROPHYSICS; CIRCULATION; RADIATION; CLIMATE; BUDGET; RATIO</t>
  </si>
  <si>
    <t>This study investigates the occurrence of mixed-phase clouds (MPC, i.e., cloud layers containing both liquid and ice water at sub-freezing temperatures) over the Southern Ocean (SO) using space- and surface-based lidar and radar observations. The occurrence of supercooled clouds is dominated by geometrically thin (&lt;1 km) layers that rarely contain ice. We diagnose layers that are geometrically thicker than 1 km to contain ice similar to 65% and similar to 4% of the time from below by surface remote sensors and from above by orbiting remote sensors, respectively. We examine the discrepancy in MPC occurrence statistics as diagnosed from below and above the cloud layer. From above, we find that MPC occurrence has a gradient associated with the Antarctic Polar Front near 55 degrees S with a rare occurrence of satellite-derived MPC south of that latitude. In contrast, surface sensors find ice in 33% of supercooled liquid water layers. We infer using observing system simulation experiments and data analysis that space-based lidar cannot identify the occurrence of MPC except when secondary ice-forming processes operate in convection that is, sufficiently strong to loft ice crystals to cloud tops. We conclude that the CALIPSO phase statistics of MPC have a severe low bias in MPC occurrence. Based on surface-based statistics in the SO, we present a parameterization of the frequency of MPC as a function of cloud top temperature that differs substantially from that used in recent climate model simulations. Plain Language Summary The existence of snow in predominantly liquid clouds has important implications for the amount of sunlight absorbed mostly at the sea surface over the high latitude oceans. Particularly over the Southern Ocean, where satellite measurements suggest that ice concentrations are low, knowledge of how often clouds are snowing has critical climate implications. Observations from the surface have high fidelity in identifying snow below cold clouds. We use new measurements collected from Australian research vessels to establish an accurate survey of snow occurrence. We find that the occurrence of snow below cold clouds is much higher from ship observations than inferred from satellite. We explore reasons for this discrepancy and settle on an explanation that the low concentrations of ice-nucleating aerosol particles result in low concentrations of ice particles except where convective motions are strong enough to create ice particles spontaneously by freezing large drops. We provide a simple temperature-based parameterization of snow occurrence using surface-based measurements for atmospheric models to use.</t>
  </si>
  <si>
    <t>[Mace, Gerald G.; Benson, Sally] Univ Utah, Dept Atmospher Sci, Salt Lake City, UT 84112 USA; [Protat, Alain] Australian Bur Meteorol, Melbourne, Vic, Australia; [Protat, Alain] Univ Tasmania, Australian Antarctic Partnership Program, Inst Marine &amp; Antarctic Studies, Hobart, Tas, Australia</t>
  </si>
  <si>
    <t>Utah System of Higher Education; University of Utah; Bureau of Meteorology - Australia; University of Tasmania</t>
  </si>
  <si>
    <t>Mace, GG (corresponding author), Univ Utah, Dept Atmospher Sci, Salt Lake City, UT 84112 USA.</t>
  </si>
  <si>
    <t>jay.mace@utah.edu</t>
  </si>
  <si>
    <t>BER Award [DE-SC0018995]; NASA [80NSSC19K1251, 80NSSC19K1084]; Australian Government as part of the Antarctic Science Collaboration Initiative program; Australian Antarctic Division through Australia Antarctic Science [4292, 4387]; Australian Government; U.S. Department of Energy; U.S. Department of Energy (DOE) [DE-SC0018995] Funding Source: U.S. Department of Energy (DOE)</t>
  </si>
  <si>
    <t>BER Award; NASA(National Aeronautics &amp; Space Administration (NASA)); Australian Government as part of the Antarctic Science Collaboration Initiative program(Australian Government); Australian Antarctic Division through Australia Antarctic Science; Australian Government(Australian Government); U.S. Department of Energy(United States Department of Energy (DOE)); U.S. Department of Energy (DOE)(United States Department of Energy (DOE))</t>
  </si>
  <si>
    <t>This research was supported in part by BER Award DE-SC0018995 (G. Mace and S. Benson) and NASA grants 80NSSC19K1251 and 80NSSC19K1084 (G. Mace and S. Benson). The ECCC simulation was kindly provided by Pavlos Kollias, Zhipeng Qu, and Howard Barker. Their assistance is gratefully acknowledged. This project received grant funding from the Australian Government as part of the Antarctic Science Collaboration Initiative program. The Australian Antarctic Program Partnership is led by the University of Tasmania, and includes the Australian Antarctic Division, CSIRO Oceans and Atmosphere, Geoscience Australia, the Bureau of Meteorology, the Tasmanian State Government and Australia's Integrated Marine Observing System (A. Protat). Technical, logistical, and ship support for MARCUS were provided by the Australian Antarctic Division through Australia Antarctic Science projects 4292 and 4387 and we thank Steven Whiteside, Lloyd Symonds, Rick van den Enden, Peter de Vries, Chris Young, and Chris Richards for assistance. The authors would like to thank the staff of the Marine National Facility for providing the infrastructure and logistical and financial support for the voyages of the RV Investigator. Funding for these voyages was provided by the Australian Government and the U.S. Department of Energy. This work benefited from SST thermal gradient data and help in interpreting the data provided by Natalie Freeman of the University of Colorado, Boulder.</t>
  </si>
  <si>
    <t>2169-897X</t>
  </si>
  <si>
    <t>2169-8996</t>
  </si>
  <si>
    <t>J GEOPHYS RES-ATMOS</t>
  </si>
  <si>
    <t>J. Geophys. Res.-Atmos.</t>
  </si>
  <si>
    <t>e2021JDO34569</t>
  </si>
  <si>
    <t>10.1029/2021JD034569</t>
  </si>
  <si>
    <t>UF6UG</t>
  </si>
  <si>
    <t>WOS:000688706400002</t>
  </si>
  <si>
    <t>Mooney, MK; Marsh, MS; Forsyth, C; Sharpe, M; Hughes, T; Bingham, S; Jackson, DR; Rae, IJ; Chisham, G</t>
  </si>
  <si>
    <t>Mooney, M. K.; Marsh, M. S.; Forsyth, C.; Sharpe, M.; Hughes, T.; Bingham, S.; Jackson, D. R.; Rae, I. J.; Chisham, G.</t>
  </si>
  <si>
    <t>Evaluating Auroral Forecasts Against Satellite Observations</t>
  </si>
  <si>
    <t>SPACE WEATHER-THE INTERNATIONAL JOURNAL OF RESEARCH AND APPLICATIONS</t>
  </si>
  <si>
    <t>Aurora; auroral forecasting; forecast verification; OVATION-Prime 2013; ROC scores; space weather</t>
  </si>
  <si>
    <t>STATISTICAL-MODEL; IMAGE SPACECRAFT; PRECIPITATION; OVATION; REPRESENTATION; ACCELERATION; VERIFICATION; VALIDATION; SYSTEM</t>
  </si>
  <si>
    <t>The aurora is a readily visible phenomenon of interest to many members of the public. However, the aurora and associated phenomena can also significantly impact communications, ground-based infrastructure, and high-altitude radiation exposure. Forecasting the location of the auroral oval is therefore a key component of space weather forecast operations. A version of the OVATION-Prime 2013 auroral precipitation model (Newell et al., 2014, ) was used by the UK Met Office Space Weather Operations Centre (MOSWOC). The operational implementation of the OVATION-Prime 2013 model at the UK Met Office delivered a 30-min forecast of the location of the auroral oval and the probability of observing the aurora. Using weather forecast evaluation techniques, we evaluate the ability of the OVATION-Prime 2013 model forecasts to predict the location and probability of the aurora occurring by comparing the forecasts with auroral boundaries determined from data from the IMAGE satellite between 2000 and 2002. Our analysis shows that the operational model performs well at predicting the location of the auroral oval, with a relative operating characteristic (ROC) score of 0.82. The model performance is reduced in the dayside local time sectors (ROC score = 0.59) and during periods of higher geomagnetic activity (ROC score of 0.55 for Kp = 8). As a probabilistic forecast, OVATION-Prime 2013 tends to underpredict the occurrence of aurora by a factor of 1.1-6, while probabilities of over 90% are overpredicted.</t>
  </si>
  <si>
    <t>[Mooney, M. K.; Forsyth, C.] Univ Coll London, Mullard Space Sci Lab, Surrey, England; [Mooney, M. K.; Marsh, M. S.; Sharpe, M.; Hughes, T.; Bingham, S.; Jackson, D. R.] Met Off, Exeter, Devon, England; [Rae, I. J.] Northumbria Univ, Newcastle Upon Tyne, Tyne &amp; Wear, England; [Chisham, G.] British Antarctic Survey, Cambridge, England</t>
  </si>
  <si>
    <t>University of London; University College London; Met Office - UK; Northumbria University; UK Research &amp; Innovation (UKRI); Natural Environment Research Council (NERC); NERC British Antarctic Survey</t>
  </si>
  <si>
    <t>Mooney, MK (corresponding author), Univ Coll London, Mullard Space Sci Lab, Surrey, England.;Mooney, MK (corresponding author), Met Off, Exeter, Devon, England.</t>
  </si>
  <si>
    <t>m.mooney.16@ucl.ac.uk</t>
  </si>
  <si>
    <t>Rae, Jonathan/D-8132-2013; Forsyth, Colin/E-4159-2010; Marsh, Michael/I-3920-2012</t>
  </si>
  <si>
    <t>Rae, Jonathan/0000-0002-2637-4786; Mooney, Michaela/0000-0001-8892-3675; Bingham, Suzy/0000-0002-6977-0885; Chisham, Gareth/0000-0003-1151-5934; Forsyth, Colin/0000-0002-0026-8395; Jackson, David/0000-0001-6387-6876; Marsh, Michael/0000-0003-2765-0874</t>
  </si>
  <si>
    <t>UK NERC NPIF [1926376]; NERC Independent Research Fellowship [NE/N014480/1]; STFC Consolidated Grant [ST/S000240/1]; BAS Polar Science for Planet Earth Programme - UK Natural Environment Research Council (NERC) as part of United Kingdom Research and Innovation (UKRI); NERC [1926376, NE/N014480/1] Funding Source: UKRI; STFC [ST/V006320/1, ST/S000240/1] Funding Source: UKRI</t>
  </si>
  <si>
    <t>UK NERC NPIF; NERC Independent Research Fellowship(UK Research &amp; Innovation (UKRI)Natural Environment Research Council (NERC)); STFC Consolidated Grant(UK Research &amp; Innovation (UKRI)Science &amp; Technology Facilities Council (STFC)); BAS Polar Science for Planet Earth Programme - UK Natural Environment Research Council (NERC) as part of United Kingdom Research and Innovation (UKRI)(UK Research &amp; Innovation (UKRI)Natural Environment Research Council (NERC)); NERC(UK Research &amp; Innovation (UKRI)Natural Environment Research Council (NERC)); STFC(UK Research &amp; Innovation (UKRI)Science &amp; Technology Facilities Council (STFC))</t>
  </si>
  <si>
    <t>M. K. Mooney is supported by a UK NERC NPIF studentship 1926376. C. Forsyth is supported by NERC Independent Research Fellowship NE/N014480/1. I. J. Rae and C. Forsyth are supported by the STFC Consolidated Grant to MSSL ST/S000240/1. G. Chisham is supported as part of the BAS Polar Science for Planet Earth Programme, funded by the UK Natural Environment Research Council (NERC) as part of United Kingdom Research and Innovation (UKRI). This work was carried out in partnership with the Met Office. The authors thank the PI, the IMAGE mission, and the IMAGE FUV team for data usage and processing tools. The authors thank Rodney Viereck at SWPC and Edmund Henley at the Met Office for useful discussion.</t>
  </si>
  <si>
    <t>1542-7390</t>
  </si>
  <si>
    <t>SPACE WEATHER</t>
  </si>
  <si>
    <t>Space Weather</t>
  </si>
  <si>
    <t>e2020SW002688</t>
  </si>
  <si>
    <t>10.1029/2020SW002688</t>
  </si>
  <si>
    <t>Astronomy &amp; Astrophysics; Geochemistry &amp; Geophysics; Meteorology &amp; Atmospheric Sciences</t>
  </si>
  <si>
    <t>UE9GY</t>
  </si>
  <si>
    <t>Green Accepted, Green Published, hybrid</t>
  </si>
  <si>
    <t>WOS:000688191800007</t>
  </si>
  <si>
    <t>Acikel, AS; Rowe, RK; McWatters, RS</t>
  </si>
  <si>
    <t>Acikel, A. S.; Rowe, R. K.; McWatters, R. S.</t>
  </si>
  <si>
    <t>Unsaturated behaviour and cation self-diffusion of geosynthetic clay liners in Antarctica</t>
  </si>
  <si>
    <t>GEOSYNTHETICS INTERNATIONAL</t>
  </si>
  <si>
    <t>Geosynthetics; GCLs; Water retention; Extreme environment; Self-diffusion; Geotextiles; Cations</t>
  </si>
  <si>
    <t>WATER-RETENTION BEHAVIOR; HYDRAULIC CONDUCTIVITY; SUCTION MEASUREMENT; BENTONITE EROSION; GCL HYDRATION; PERFORMANCE; LEACHATES; CURVE; SOIL; COMPATIBILITY</t>
  </si>
  <si>
    <t>The impact of time-dependent unsaturated behaviour of virgin and the impact of cation self-diffusion on the time-dependent unsaturated behaviour of exhumed geosynthetic clay liner (GCL) specimens were investigated using a chilled mirror hygrometer. Total suction values (after 7 weeks' water homogenisation) are reported for ten virgin (six different bentonites) and one GCL exhumed after exposure to the thermo-hydro-mechanical (THM) conditions in Antarctica. The time-dependent unsaturated responses of four different virgin GCLs 1 day and 1 week after hydration are compared with the results at homogenisation and the implications discussed. For the suction (0.1-300 MPa) and water content range (5-140%) examined, the post-water homogenisation water retention behaviour of the GCLs is affected by bentonite characteristics. At a given gravimetric water content, the total suction of GCLs increased with increasing smectite content and total soluble salt content and decreased with increasing total bound cation content in the bentonite. Cation self-diffusion also increased the total suction in the GCL exhumed after exposure to Antarctic THM conditions. It is concluded that the impact of cation self-diffusion on the unsaturated behaviour of a GCL during its time in service before exposure to pollutants needs to be considered in designing hydraulic and gas barriers.</t>
  </si>
  <si>
    <t>[Acikel, A. S.] Queens Univ, Kingston, ON, Canada; [Rowe, R. K.] Queens Univ, Geotech &amp; Geoenvironm Engn, Kingston, ON, Canada; [McWatters, R. S.] Australian Antarctic Div, Antarctic Conservat &amp; Management, Kingston, Tas, Australia</t>
  </si>
  <si>
    <t>Queens University - Canada; Queens University - Canada; Australian Antarctic Division</t>
  </si>
  <si>
    <t>Rowe, RK (corresponding author), Queens Univ, Geotech &amp; Geoenvironm Engn, Kingston, ON, Canada.</t>
  </si>
  <si>
    <t>asliacikel@gmail.com; kerry.rowe@queensu.ca; rebecca.mcwatters@aad.gov.au</t>
  </si>
  <si>
    <t>Australian Antarctic Program (Australian Antarctic Science Project) [1136, 4036]</t>
  </si>
  <si>
    <t>Australian Antarctic Program (Australian Antarctic Science Project)</t>
  </si>
  <si>
    <t>This is a collaborative project between the Australian Antarctic Division, Kingston, Australia, and the GeoEngineering Centre at Queen's University, Kingston, Canada. The authors acknowledge the logistical and financial support provided by the Australian Antarctic Program (Australian Antarctic Science Project No. 1136, 4036). The authors acknowledge the work and assistance of B. Sfiligoj, J. Mets and T. Spedding at the Australian Antarctic Division, Casey Station and research collaborators on broader ongoing aspects of this study, namely, D. Jones and J. Garcia at Queen's University, A. Bouazza at Monash University, and W.P. Gates at Deakin University.</t>
  </si>
  <si>
    <t>ICE PUBLISHING</t>
  </si>
  <si>
    <t>WESTMINISTER</t>
  </si>
  <si>
    <t>INST CIVIL ENGINEERS, 1 GREAT GEORGE ST, WESTMINISTER SW 1P 3AA, ENGLAND</t>
  </si>
  <si>
    <t>1072-6349</t>
  </si>
  <si>
    <t>1751-7613</t>
  </si>
  <si>
    <t>GEOSYNTH INT</t>
  </si>
  <si>
    <t>Geosynth. Int.</t>
  </si>
  <si>
    <t>10.1680/jgein.20.00048</t>
  </si>
  <si>
    <t>Engineering, Geological; Geosciences, Multidisciplinary; Materials Science, Multidisciplinary</t>
  </si>
  <si>
    <t>Engineering; Geology; Materials Science</t>
  </si>
  <si>
    <t>UE4AC</t>
  </si>
  <si>
    <t>WOS:000687831800002</t>
  </si>
  <si>
    <t>Ni, WJ; Zhang, ZG; Guo, JX; Tang, X</t>
  </si>
  <si>
    <t>Ni, WangJing; Zhang, ZhiGang; Guo, JingXue; Tang, XueYuan</t>
  </si>
  <si>
    <t>10Be exposure ages of Quaternary Glaciers in Antarctica</t>
  </si>
  <si>
    <t>SCIENCES IN COLD AND ARID REGIONS</t>
  </si>
  <si>
    <t>Be-10 exposure ages; in situ terrestrial cosmogenic nuclides; Antarctica</t>
  </si>
  <si>
    <t>ICE-SHEET; DEGLACIAL HISTORY; DRY VALLEYS; CONSTRAINTS; CHRONOLOGY; MOUNTAINS; PENINSULA; GEOMORPHOLOGY; CALIBRATION; EVOLUTION</t>
  </si>
  <si>
    <t>In situ terrestrial cosmogenic nuclides (TCN) have been widely applied to date the ages of Quaternary glacial deposits in Antarctica and plays an important role in reconstructing the glacial evolution and climate change. It helps to understand the Antarctic ice sheet's evolution process in Quaternary and shed light on the application of Cosmogenic Nuclide exposure dating technique in glacial geomorphology. In this paper, we retrieved 495 Be-10 age samples in Antarctica from literature published between 2004 and 2020 and recalculated the TCN ages using version 3.0 online calculator of Cosmic-Ray Produced Nuclide Systematics on Earth (CRONUS-Earth). Several conclusions can be drawn from the results: (1) 75% of the exposure ages are younger than 400 ka, and 91% younger than 1,100 ka. Northern Antarctic Peninsula exposure result is visibly younger than the main glaciers area in East Antarctica due to climate change and geological evaluation since the LGM (Last Glacial Maximum). (2) TCN ages are relevant to the samples' relative positions in the Antarctic continent, but a relationship between their ages and elevations is yet to be determined based on the collected data.</t>
  </si>
  <si>
    <t>[Ni, WangJing] Nanjing Normal Univ, Sch Teacher Educ, Nanjing 210023, Jiangsu, Peoples R China; [Zhang, ZhiGang] Nanjing Normal Univ, Sch Geog Sci, 1 Wenyuan Rd, Nanjing 210023, Jiangsu, Peoples R China; [Zhang, ZhiGang] Nanjing Normal Univ, Minist Educ, Key Lab Virtual Geog Environm, Nanjing 210023, Jiangsu, Peoples R China; [Zhang, ZhiGang] Jiangsu Ctr Collaborat Innovat Geog Ormat Resourc, Nanjing 210023, Jiangsu, Peoples R China; [Zhang, ZhiGang] Chinese Acad Sci, Northwest Inst Ecoenvironm &amp; Resources, State Key Lab Cryospher Sci, Lanzhou 730000, Gansu, Peoples R China; [Guo, JingXue; Tang, XueYuan] Polar Res Inst China, 451 Jinqiao Rd, Shanghai 200136, Peoples R China</t>
  </si>
  <si>
    <t>Nanjing Normal University; Nanjing Normal University; Nanjing Normal University; Chinese Academy of Sciences; Polar Research Institute of China</t>
  </si>
  <si>
    <t>Zhang, ZG (corresponding author), Nanjing Normal Univ, Sch Geog Sci, 1 Wenyuan Rd, Nanjing 210023, Jiangsu, Peoples R China.</t>
  </si>
  <si>
    <t>zhangzhigang840620@126.com</t>
  </si>
  <si>
    <t>National Natural Science Foundation of China [41971009, 41503054]; China Postdoctoral Science Foundation [2015M582728]; Priority Academic Program Development of Jiangsu Higher Education Institutions [64320H116]</t>
  </si>
  <si>
    <t>National Natural Science Foundation of China(National Natural Science Foundation of China (NSFC)); China Postdoctoral Science Foundation(China Postdoctoral Science Foundation); Priority Academic Program Development of Jiangsu Higher Education Institutions</t>
  </si>
  <si>
    <t>This work was supported by the National Natural Science Foundation of China (No. 41971009 and No. 41503054), the China Postdoctoral Science Foundation (No. 2015M582728), and the Priority Academic Program Development of Jiangsu Higher Education Institutions (No. 64320H116).</t>
  </si>
  <si>
    <t>EPHRATA</t>
  </si>
  <si>
    <t>300 WEST CHESNUT ST, EPHRATA, PA 17522 USA</t>
  </si>
  <si>
    <t>1674-3822</t>
  </si>
  <si>
    <t>SCI COLD ARID REG</t>
  </si>
  <si>
    <t>Sci. Cold Arid Reg.</t>
  </si>
  <si>
    <t>10.3724/SP.J.1226.2021.20043</t>
  </si>
  <si>
    <t>Geography, Physical</t>
  </si>
  <si>
    <t>Emerging Sources Citation Index (ESCI)</t>
  </si>
  <si>
    <t>Physical Geography</t>
  </si>
  <si>
    <t>UC5LK</t>
  </si>
  <si>
    <t>WOS:000686566700002</t>
  </si>
  <si>
    <t>Savita, A; Zika, JD; Domingues, CM; Marsland, SJ; Evans, GD; Dias, FB; Holmes, RM; Hogg, AM</t>
  </si>
  <si>
    <t>Savita, Abhishek; Zika, Jan D.; Domingues, Catia M.; Marsland, Simon J.; Evans, Gwyn Dafydd; Dias, Fabio Boeira; Holmes, Ryan M.; McC. Hogg, Andrew</t>
  </si>
  <si>
    <t>Super Residual Circulation: A New Perspective on Ocean Vertical Heat Transport</t>
  </si>
  <si>
    <t>JOURNAL OF PHYSICAL OCEANOGRAPHY</t>
  </si>
  <si>
    <t>Advection; Lagrangian circulation/transport; Mesoscale processes; Mixing; Ocean circulation; Vertical motion</t>
  </si>
  <si>
    <t>REPRESENTATION; MODEL; IMPACT; WATER; TEMPERATURE; SENSITIVITY; ENERGETICS; DIFFUSION; HEIGHT; CORE</t>
  </si>
  <si>
    <t>Ocean circulation and mixing regulate Earth's climate by moving heat vertically within the ocean. We present a new formalism to diagnose the role of ocean circulation and diabatic processes in setting vertical heat transport in ocean models. In this formalism we use temperature tendencies, rather than explicit vertical velocities, to diagnose circulation. Using quasi-steady-state simulations from the Australian Community Climate and Earth-System Simulator Ocean Model (ACCESS-OM2), we diagnose a diathermal overturning circulation in temperature-depth space. Furthermore, projection of tendencies due to diabatic processes onto this coordinate permits us to represent these as apparent overturning circulations. Our framework permits us to extend the concept of Super Residual Transport,'' which combines mean and eddy advection terms with subgridscale isopycnal mixing due to mesoscale eddies but excludes small-scale threedimensional turbulent mixing effect, to construct a new overturning circulation-the Super Residual Circulation'' (SRC). We find that in the coarse-resolution version of ACCESS-OM2 (nominally 1 degrees horizontal resolution) the SRC is dominated by an similar to 11-Sv (1 Sv [10(6) m(3) s(-1)) circulation that transports heat upward. The SRC's upward heat transport is;2 times as large in a finer-horizontal-resolution (0.1 degrees) version of ACCESS, suggesting that a differing balance of super-residual and parameterized small-scale processes may emerge as eddies are resolved. Our analysis adds new insight into superresidual processes, because the SRC elucidates the pathways in temperature and depth space along which water mass transformation occurs.</t>
  </si>
  <si>
    <t>[Savita, Abhishek; Domingues, Catia M.; Marsland, Simon J.; Dias, Fabio Boeira] Univ Tasmania, Inst Marine &amp; Antarctic Studies, Hobart, Tas, Australia; [Savita, Abhishek; Marsland, Simon J.; Dias, Fabio Boeira] CSIRO, Oceans &amp; Atmosphere, Aspendale, Vic, Australia; [Savita, Abhishek; Domingues, Catia M.; Marsland, Simon J.; Dias, Fabio Boeira; Holmes, Ryan M.; McC. Hogg, Andrew] Australian Res Council, Ctr Excellence Climate Extremes, Sydney, NSW, Australia; [Zika, Jan D.] Univ New South Wales, Sch Math &amp; Stat, Sydney, NSW, Australia; [Domingues, Catia M.; Evans, Gwyn Dafydd] Natl Oceanog Ctr, Southampton, Hants, England; [Dias, Fabio Boeira] Univ Helsinki, Inst Atmospher &amp; Earth Syst Res, Helsinki, Finland; [Holmes, Ryan M.] Univ New South Wales, Climate Change Res Ctr, Sydney, NSW, Australia; [McC. Hogg, Andrew] Australian Natl Univ, Res Sch Earth Sci, Canberra, ACT, Australia</t>
  </si>
  <si>
    <t>University of Tasmania; Commonwealth Scientific &amp; Industrial Research Organisation (CSIRO); University of New South Wales Sydney; NERC National Oceanography Centre; University of Helsinki; University of New South Wales Sydney; Australian National University</t>
  </si>
  <si>
    <t>Savita, A (corresponding author), Univ Tasmania, Inst Marine &amp; Antarctic Studies, Hobart, Tas, Australia.;Savita, A (corresponding author), CSIRO, Oceans &amp; Atmosphere, Aspendale, Vic, Australia.;Savita, A (corresponding author), Australian Res Council, Ctr Excellence Climate Extremes, Sydney, NSW, Australia.</t>
  </si>
  <si>
    <t>abhishek.abhisheksavita@utas.edu.au</t>
  </si>
  <si>
    <t>Hogg, Andy McC./A-7553-2011; Hogg, Andy/AAZ-8733-2021; Marsland, Simon J/A-1453-2012; Holmes, Ryan/J-3024-2019; Domingues, Catia M./A-2901-2015</t>
  </si>
  <si>
    <t>Hogg, Andy McC./0000-0001-5898-7635; Hogg, Andy/0000-0001-5898-7635; Marsland, Simon J/0000-0002-5664-5276; Holmes, Ryan/0000-0002-6799-9109; Savita, Abhishek/0000-0003-2800-3636; Boeira Dias, Fabio/0000-0002-2965-2120; Domingues, Catia M./0000-0001-5100-4595; Zika, Jan/0000-0003-3462-3559</t>
  </si>
  <si>
    <t>Tasmanian Graduate Research Scholarship; CSIRO-UTAS Quantitative Marine Science top-up; Australian Research Council (ARC) [DP160103130, DP190101173]; CSIRO; Earth Systems and Climate Change Hub of the Australian Government's National Environmental Science Programme; ARC [DP160103130, FT130101532]; U.K.'s Natural Environment Research Council [NE/P019293/1]; Consortium for Ocean-Sea Ice Modelling in Australia (COSIMA); National Computational Infrastructure (NCI); Australian Government; Australian Research Council [FT130101532] Funding Source: Australian Research Council; NERC [NE/P019293/1] Funding Source: UKRI</t>
  </si>
  <si>
    <t>Tasmanian Graduate Research Scholarship; CSIRO-UTAS Quantitative Marine Science top-up; Australian Research Council (ARC)(Australian Research Council); CSIRO(Commonwealth Scientific &amp; Industrial Research Organisation (CSIRO)); Earth Systems and Climate Change Hub of the Australian Government's National Environmental Science Programme; ARC(Australian Research Council); U.K.'s Natural Environment Research Council(UK Research &amp; Innovation (UKRI)Natural Environment Research Council (NERC)); Consortium for Ocean-Sea Ice Modelling in Australia (COSIMA); National Computational Infrastructure (NCI)(United States Department of Health &amp; Human ServicesNational Institutes of Health (NIH) - USANIH National Cancer Institute (NCI)); Australian Government(Australian Government); Australian Research Council(Australian Research Council); NERC(UK Research &amp; Innovation (UKRI)Natural Environment Research Council (NERC))</t>
  </si>
  <si>
    <t>Authors Savita and Boeira Dias are supported by a Tasmanian Graduate Research Scholarship and CSIRO-UTAS Quantitative Marine Science top-up. Author Zika was supported by the Australian Research Council (ARC; DP160103130 and DP190101173). Author Marsland is supported by projects jointly funded through CSIRO and the Earth Systems and Climate Change Hub of the Australian Government's National Environmental Science Programme. Author Domingues was supported by the ARC (FT130101532 and DP160103130) and U.K.'s Natural Environment Research Council (NE/P019293/1). We are thankful for support from the Consortium for Ocean-Sea Ice Modelling in Australia (COSIMA). This research was undertaken with the support of resources and services from the National Computational Infrastructure (NCI), which is supported by the Australian Government. The model output and configuration files are available upon reasonable request to the corresponding author.</t>
  </si>
  <si>
    <t>0022-3670</t>
  </si>
  <si>
    <t>1520-0485</t>
  </si>
  <si>
    <t>J PHYS OCEANOGR</t>
  </si>
  <si>
    <t>J. Phys. Oceanogr.</t>
  </si>
  <si>
    <t>10.1175/JPO-D-21-0008.1</t>
  </si>
  <si>
    <t>UB7HH</t>
  </si>
  <si>
    <t>Bronze, Green Accepted</t>
  </si>
  <si>
    <t>WOS:000686012200003</t>
  </si>
  <si>
    <t>Bai, Y; Wang, Y; Stewart, AL</t>
  </si>
  <si>
    <t>Bai, Yue; Wang, Yan; Stewart, Andrew L.</t>
  </si>
  <si>
    <t>Does Topographic Form Stress Impede Prograde Ocean Currents?</t>
  </si>
  <si>
    <t>Ocean; Southern Ocean; Channel flows; Forcing; Momentum; Ocean dynamics</t>
  </si>
  <si>
    <t>ANTARCTIC CIRCUMPOLAR CURRENT; SOUTHERN-OCEAN; WIND-DRIVEN; BETA-PLANE; OBSCURANTIST PHYSICS; MOMENTUM BALANCE; OVERTURNING CIRCULATION; POTENTIAL ENSTROPHY; DYNAMICAL BALANCE; EDDY SATURATION</t>
  </si>
  <si>
    <t>Topographic form stress (TFS) plays a central role in constraining the transport of the Antarctic Circumpolar Current (ACC), and thus the rate of exchange between the major ocean basins. Topographic form stress generation in the ACC has been linked to the formation of standing Rossby waves, which occur because the current is retrograde (opposing the direction of Rossby wave propagation). However, it is unclear whether TFS similarly retards current systems that are prograde (in the direction of Rossby wave propagation), which cannot arrest Rossby waves. An isopycnal model is used to investigate the momentum balance of wind-driven prograde and retrograde flows in a zonal channel, with bathymetry consisting of either a single ridge or a continental shelf and slope with a meridional excursion. Consistent with previous studies, retrograde flows are almost entirely impeded by TFS, except in the limit of flat bathymetry, whereas prograde flows are typically impeded by a combination of TFS and bottom friction. A barotropic theory for standing waves shows that bottom friction serves to shift the phase of the standing wave's pressure field from that of the bathymetry, which is necessary to produce TFS. The mechanism is the same in prograde and retrograde flows, but is most efficient when the mean flow arrests a Rossby wave with a wavelength comparable to that of the bathymetry. The asymmetry between prograde and retrograde momentum balances implies that prograde current systems may be more sensitive to changes in wind forcing, for example associated with climate shifts.</t>
  </si>
  <si>
    <t>[Bai, Yue; Stewart, Andrew L.] Univ Calif Los Angeles, Dept Atmospher &amp; Ocean Sci, Los Angeles, CA 90095 USA; [Wang, Yan] Hong Kong Univ Sci &amp; Technol, Dept Ocean Sci, Hong Kong, Peoples R China; [Wang, Yan] Hong Kong Univ Sci &amp; Technol, Ctr Ocean Res Hong Kong &amp; Macau, Hong Kong, Peoples R China</t>
  </si>
  <si>
    <t>University of California System; University of California Los Angeles; Hong Kong University of Science &amp; Technology; Hong Kong University of Science &amp; Technology</t>
  </si>
  <si>
    <t>Bai, Y (corresponding author), Univ Calif Los Angeles, Dept Atmospher &amp; Ocean Sci, Los Angeles, CA 90095 USA.</t>
  </si>
  <si>
    <t>baiyue@ucla.edu</t>
  </si>
  <si>
    <t>Stewart, Andrew/0000-0001-5861-4070</t>
  </si>
  <si>
    <t>National Science Foundation [ACI-1548562, OPP-1543388, OCE-1751386]; Research Grants Council of Hong Kong [ECS26307720]; Center for Ocean Research (CORE)</t>
  </si>
  <si>
    <t>National Science Foundation(National Science Foundation (NSF)); Research Grants Council of Hong Kong(Hong Kong Research Grants Council); Center for Ocean Research (CORE)</t>
  </si>
  <si>
    <t>This material is based in part upon work supported by the National Science Foundation under Grant Numbers OPP-1543388 and OCE-1751386. YW is supported by the Research Grants Council ofHong Kong (ECS26307720), and the Center for Ocean Research (CORE), a joint research center between QNLM and HKUST. This work used the Extreme Science and Engineering Discovery Environment (XSEDE, Towns et al. 2014), which is supported by National Science Foundation Grant ACI-1548562. The authors thank Geoff Stanley and an anonymous reviewer for many constructive comments that improved the submitted manuscript.</t>
  </si>
  <si>
    <t>10.1175/JPO-D-20-0189.1</t>
  </si>
  <si>
    <t>WOS:000686012200013</t>
  </si>
  <si>
    <t>Pütz, K; Gherardi-Fuentes, C; García-Borboroglu, P; Godoy, C; Flagg, M; Pedrana, J; Vianna, JA; Simeone, A; Lüthi, B</t>
  </si>
  <si>
    <t>Puetz, Klemens; Gherardi-Fuentes, Camila; Garcia-Borboroglu, Pablo; Godoy, Claudia; Flagg, Marco; Pedrana, Julieta; Vianna, Juliana A.; Simeone, Alejandro; Luthi, Benno</t>
  </si>
  <si>
    <t>Exceptional foraging plasticity in King Penguins (Aptenodytes patagonicus) from a recently established breeding site in Tierra del Fuego, Chile</t>
  </si>
  <si>
    <t>GLOBAL ECOLOGY AND CONSERVATION</t>
  </si>
  <si>
    <t>Range expansion; Foraging area; Diving behavior; Diet; Trip duration; Dispersal</t>
  </si>
  <si>
    <t>SPHENISCUS-MAGELLANICUS; DIVING BEHAVIOR; CLIMATE-CHANGE; SEA; HABITAT; ISLAND; RANGE; PERFORMANCE; PARAMETERS; STRATEGIES</t>
  </si>
  <si>
    <t>Animals constantly test the borders of their own ecological niche and tend to expand their range, which is now additionally challenged by global climate change. Following human exploitation throughout the Southern Ocean in the 19th and the beginning of the 20th century, numbers of King Penguin breeding pairs have increased and former breeding sites have been re-colonized. Since 2010 a breeding colony became (re-)established at Bahia Inutil, Strait of Magellan, Tierra del Fuego, Chile. The aims of this study were to study the foraging ecology of King Penguins at this new breeding site, which is characterized by a set of different environmental variables as it is located within the confined environment of the Magellan Strait, more than 300 km from the open ocean. During the course of this study, thirty-two birds were successfully equipped with external devices that recorded 206 foraging trips by breeding and non-breeding birds. With one exception, all birds foraged throughout the year exclusively in the Magellan Strait with the main foraging areas located within 100 km from the colony. The diving activities of 15 King Penguins were recorded during 59 foraging trips, the deepest dive was 160 m and the longest dive lasted 6.75 mins. Based on a representative subsample of 3000 dives, mean dive depth was 32 +/- 34 m and mean dive duration 117 +/- 84 s. Accordingly, foraging trip durations throughout the year were significantly shorter than those recorded for conspecifics elsewhere. In accordance with these changes in foraging behavior, stomach contents from seven birds showed a mix of fish and squid, with Falkland sprats Sprattus fuegensis as the main prey item present in all samples. The implications of these behavioral adaptations are discussed with regard to this unusual confined foraging environment and predicted changes in the performance of King Penguins breeding elsewhere following global change.</t>
  </si>
  <si>
    <t>[Puetz, Klemens] Antarctic Res Trust, Oste Hamme Kanal 10, D-27432 Bremervorde, Germany; [Gherardi-Fuentes, Camila; Simeone, Alejandro] Univ Andres Bello, Fac Ciencias Vida, Dept Ciencias Biol, Republ 440, Santiago, Chile; [Garcia-Borboroglu, Pablo; Godoy, Claudia] Global Penguin Soc, 209 Mississippi St, San Francisco, CA 94107 USA; [Garcia-Borboroglu, Pablo] CESIMAR CONICET, Blvd Brown 2925, RA-9120 Puerto Madryn, Chubut Patagoni, Argentina; [Godoy, Claudia] Parque Pinguino Rey, Porvenir, Chile; [Flagg, Marco] Desert Star Syst LLC, 3261 Imjin Rd, Marina, CA 93933 USA; [Pedrana, Julieta] Estn Expt Agropecuaria EEA Balcarce, Inst Nacl Tecnol Agropecuaria INTA, Consejo Nacl Invest Cient &amp; Tecn CONICET, Recursos Nat &amp; Gest Ambiental, Ruta 226 Km 73-5, RA-7620 Balcarce, Argentina; [Vianna, Juliana A.] Pontificia Univ Catolica Chile, Dept Ecosistemas &amp; Med Ambiente, Vicuna Mackenna 4860, Santiago, Chile; [Luthi, Benno] Zoo Zurich, Antarctic Res Trust, Zurichbergstr 221, CH-8044 Zurich, Switzerland; [Gherardi-Fuentes, Camila] Univ Austral Chile, Inst Ciencias Marinas &amp; Limnol, Bird Ecol Lab, Valdivia, Chile</t>
  </si>
  <si>
    <t>Universidad Andres Bello; Instituto Nacional de Tecnologia Agropecuaria (INTA); Pontificia Universidad Catolica de Chile; Universidad Austral de Chile</t>
  </si>
  <si>
    <t>Pütz, K (corresponding author), Antarctic Res Trust, Oste Hamme Kanal 10, D-27432 Bremervorde, Germany.</t>
  </si>
  <si>
    <t>puetz@antarctic-research.de</t>
  </si>
  <si>
    <t>Vianna, Juliana A/E-9847-2015</t>
  </si>
  <si>
    <t>pedrana, julieta/0000-0002-0908-7865</t>
  </si>
  <si>
    <t>Antarctic Research Trust; Parque Pinguino Rey; Global Penguin Society</t>
  </si>
  <si>
    <t>This work was supported by the Antarctic Research Trust, the Parque Pinguino Rey and the Global Penguin Society. Research permits were issued by the Chilean Undersecretary for Fisheries: Resolucion Exenta No. 3199 (2014) and 1014 (2016).</t>
  </si>
  <si>
    <t>2351-9894</t>
  </si>
  <si>
    <t>GLOB ECOL CONSERV</t>
  </si>
  <si>
    <t>Glob. Ecol. Conserv.</t>
  </si>
  <si>
    <t>e01669</t>
  </si>
  <si>
    <t>10.1016/j.gecco.2021.e01669</t>
  </si>
  <si>
    <t>Biodiversity Conservation; Ecology</t>
  </si>
  <si>
    <t>TY4TV</t>
  </si>
  <si>
    <t>WOS:000683779400006</t>
  </si>
  <si>
    <t>Swain, AK</t>
  </si>
  <si>
    <t>Swain, Ashit Kumar</t>
  </si>
  <si>
    <t>Status Note on Indian Attempts to Search for Meteorites in Antarctica</t>
  </si>
  <si>
    <t>JOURNAL OF THE GEOLOGICAL SOCIETY OF INDIA</t>
  </si>
  <si>
    <t>COLLECTION</t>
  </si>
  <si>
    <t>The study of meteorites is gaining importance due to its importance in understanding the development of our solar system. Published data shows that out of a total of 57186 meteorites recovered from the earth, 42398 are from Antarctica. This huge contribution of Antarctic meteorites is unique to Antarctica, as it allows the preservation of meteorites and concentrates them in highly ablative stranding surfaces. These surface or meteorite traps are formed as a result of topographic obstacles to the flow of the Polar ice sheet. Large tracts of central Droning Maud Land (cDML) in East Antarctica are still unexplored for meteorites. For the benefit of the global scientific community, it is desirable to recover as many Antarctic meteorites as possible before sinking deeper into the ice as a result of the changing climate and eventually being lost to the sea. The meteorite search programme was launched in the 32nd Indian Scientific Expedition to Antarctica. The primary objective of that investigation was to conduct a preliminary survey in the vicinity of the Somovken glacier flowing between the Humboldt and the Orvin mountain ranges for the prospect of finding meteorites. The search exercise was used to gain an understanding of the science of meteorites operating in Antarctica and the meteorite concentration mechanism. It was later complimented with the micrometeorite search programme in Antarctica.</t>
  </si>
  <si>
    <t>[Swain, Ashit Kumar] Geol Survey India, SU Odisha, Bhubaneswar 751012, India</t>
  </si>
  <si>
    <t>Geological Survey India</t>
  </si>
  <si>
    <t>Swain, AK (corresponding author), Geol Survey India, SU Odisha, Bhubaneswar 751012, India.</t>
  </si>
  <si>
    <t>ashit.swain@gsi.gov.in</t>
  </si>
  <si>
    <t>SPRINGER INDIA</t>
  </si>
  <si>
    <t>NEW DELHI</t>
  </si>
  <si>
    <t>7TH FLOOR, VIJAYA BUILDING, 17, BARAKHAMBA ROAD, NEW DELHI, 110 001, INDIA</t>
  </si>
  <si>
    <t>0016-7622</t>
  </si>
  <si>
    <t>0974-6889</t>
  </si>
  <si>
    <t>J GEOL SOC INDIA</t>
  </si>
  <si>
    <t>J. Geol. Soc. India</t>
  </si>
  <si>
    <t>10.1007/s12594-021-1791-2</t>
  </si>
  <si>
    <t>TW8TZ</t>
  </si>
  <si>
    <t>WOS:000682666300012</t>
  </si>
  <si>
    <t>Wang, TF; Wan, XX; Chen, BW; Shi, S</t>
  </si>
  <si>
    <t>Wang, Tengfeng; Wan, Xiaoxia; Chen, Bowen; Shi, Shuo</t>
  </si>
  <si>
    <t>True-Color Reconstruction Based on Hyperspectral LiDAR Echo Energy</t>
  </si>
  <si>
    <t>true-color reconstruction; multispectral correction; spectrum reconstruction; hyperspectral LiDAR</t>
  </si>
  <si>
    <t>DATA FUSION; JUNK BANDS; RECOVERY; IMAGERY; SYSTEM; MODEL</t>
  </si>
  <si>
    <t>With the development of remote sensing technology, the simultaneous acquisition of 3D point cloud and color information has become the constant goal for scientific research and commercial applications in this field. However, since radar echo data in practice refer to the value of the spectral channel and its corresponding energy, it is still impossible to obtain accurate tristimulus values of the point through color integral calculation after traditional normalization and multispectral correction. Furthermore, the reflectance of the target, the laser transmission power and other factors lead to the problems of no echo energy or weak echo energy in some bands of the visible spectrum, which further leads to large chromatic difference compared to the color calculated from the spectral reflectance of standard color card. In response to these problems, the hyperbolic tangent spectrum correction model with parameters is proposed for the spectrum correction of the acquired hyperspectral LiDAR in the 470-700 nm band. In addition, the improved gradient boosting decision tree sequence prediction algorithm is proposed for the reconstruction of missing spectrum in the 400-470 nm band where the echo energy is weak and missing. Experimental results show that there is relatively small chromatic difference between the obtained spectral information after correction and reconstruction and the spectrum of standard color card, achieving the purpose of true color reconstruction.</t>
  </si>
  <si>
    <t>[Wang, Tengfeng; Wan, Xiaoxia] Wuhan Univ, Sch Printing &amp; Packaging, Wuhan 430079, Peoples R China; [Wan, Xiaoxia] Hubei Prov Engn Tech Ctr Digitizat &amp; Virtual Repr, Wuhan 430079, Peoples R China; [Chen, Bowen] Wuhan Univ, Chinese Antarctic Ctr Surveying &amp; Mapping, Wuhan 430079, Peoples R China; [Chen, Bowen; Shi, Shuo] Wuhan Univ, State Key Lab Informat Engn Surveying Mapping &amp; R, Wuhan 430079, Peoples R China</t>
  </si>
  <si>
    <t>Wuhan University; Wuhan University; Wuhan University</t>
  </si>
  <si>
    <t>Wan, XX (corresponding author), Wuhan Univ, Sch Printing &amp; Packaging, Wuhan 430079, Peoples R China.;Wan, XX (corresponding author), Hubei Prov Engn Tech Ctr Digitizat &amp; Virtual Repr, Wuhan 430079, Peoples R China.</t>
  </si>
  <si>
    <t>wangtengfeng@whu.edu.cn; wan@whu.edu.cn; chenbowen1204@whu.edu.cn; shishuo@whu.edu.cn</t>
  </si>
  <si>
    <t>Chen, Bowen/0000-0001-9975-7983; tengfeng, wang/0000-0002-3786-4588</t>
  </si>
  <si>
    <t>10.3390/rs13152854</t>
  </si>
  <si>
    <t>TW3MG</t>
  </si>
  <si>
    <t>WOS:000682308100001</t>
  </si>
  <si>
    <t>Li, RX; Lv, D; Xie, H; Tian, YX; Xu, Y; Lu, SS; Tong, XH; Weng, HX</t>
  </si>
  <si>
    <t>Li, Rongxing; Lv, Da; Xie, Huan; Tian, Yixiang; Xu, Yang; Lu, Saisai; Tong, Xiaohua; Weng, Hexia</t>
  </si>
  <si>
    <t>A comprehensive assessment and analysis of Antarctic satellite grounding line products from 1992 to 2009</t>
  </si>
  <si>
    <t>SCIENCE CHINA-EARTH SCIENCES</t>
  </si>
  <si>
    <t>Grounding line products; Assessment; Antarctic; Ice shelves</t>
  </si>
  <si>
    <t>ICE SHELF; WEST ANTARCTICA; EAST ANTARCTICA; KOHLER GLACIERS; MASS-LOSS; GRAVITY; RETREAT; SMITH; MODIS; ZONE</t>
  </si>
  <si>
    <t>In this paper, we present the results of a comprehensive assessment and analysis of five major Antarctic grounding line (GL) products from remote sensing data. The systematic assessment of this large amount of GL data was performed using a new two-step framework and implementation strategy, in which 84.4% of the product data were processed effectively by using a set of developed assessment metrics, with the remaining 15.6% handled by a comprehensive manual processing procedure aided by additional multisource data. The radar GL product shows a high quality (inconsistency of 0.3%) and is recommended for use wherever available. Meanwhile, the optical image GL products show a lower quality (inconsistency of 3-12%) but offer complete coverage, particularly in areas of weak tides. The GL analysis based on the assessed products (1992-2009) showed that 9.5% of the entire Antarctic GL were retreating or advancing, classified as a dynamic state. At the basin scale, the highest retreat rate was -1544 +/- 51 m a(-1) in Basin 22 (including Pine Island Glacier) and the highest advancement rate was 304 +/- 16 m a(-1) in Basin 14 (including Mertz Glacier). The West Antarctic Ice Sheet (WAIS) and the East Antarctic Ice Sheet (EAIS) showed the average GL change rates of -370 +/- 8 m a(-1) and 5 +/- 7 m a(-1), respectively, indicating that there was a clear trend of GL retreat in WAIS and a balanced to slightly advanced GL state in EAIS (except for the region around Totten).</t>
  </si>
  <si>
    <t>[Li, Rongxing; Lv, Da; Xie, Huan; Tian, Yixiang; Xu, Yang; Lu, Saisai; Tong, Xiaohua; Weng, Hexia] Tongji Univ, Ctr Spatial Informat Sci &amp; Sustainable Dev &amp; Appl, Shanghai 200092, Peoples R China; [Li, Rongxing; Lv, Da; Xie, Huan; Tian, Yixiang; Xu, Yang; Lu, Saisai; Tong, Xiaohua; Weng, Hexia] Tongji Univ, Coll Surveying &amp; Geoinformat, Shanghai 200092, Peoples R China</t>
  </si>
  <si>
    <t>Tongji University; Tongji University</t>
  </si>
  <si>
    <t>Li, RX; Xie, H (corresponding author), Tongji Univ, Ctr Spatial Informat Sci &amp; Sustainable Dev &amp; Appl, Shanghai 200092, Peoples R China.;Li, RX; Xie, H (corresponding author), Tongji Univ, Coll Surveying &amp; Geoinformat, Shanghai 200092, Peoples R China.</t>
  </si>
  <si>
    <t>ronli_282@hotmail.com; huanxie@tongji.edu.cn</t>
  </si>
  <si>
    <t>xie, huan/GQQ-4398-2022</t>
  </si>
  <si>
    <t>Lv, Da/0000-0002-4869-2304</t>
  </si>
  <si>
    <t>16 DONGHUANGCHENGGEN NORTH ST, BEIJING 100717, PEOPLES R CHINA</t>
  </si>
  <si>
    <t>1674-7313</t>
  </si>
  <si>
    <t>1869-1897</t>
  </si>
  <si>
    <t>SCI CHINA EARTH SCI</t>
  </si>
  <si>
    <t>Sci. China-Earth Sci.</t>
  </si>
  <si>
    <t>10.1007/s11430-020-9729-6</t>
  </si>
  <si>
    <t>TT8GV</t>
  </si>
  <si>
    <t>WOS:000680582500009</t>
  </si>
  <si>
    <t>Zingerle, P; Pail, R; Willberg, M; Scheinert, M</t>
  </si>
  <si>
    <t>Zingerle, P.; Pail, R.; Willberg, M.; Scheinert, M.</t>
  </si>
  <si>
    <t>A partition-enhanced least-squares collocation approach (PE-LSC)</t>
  </si>
  <si>
    <t>JOURNAL OF GEODESY</t>
  </si>
  <si>
    <t>Gravity field; Least squares collocation (LSC); Covariance function; Data combination; Prediction; Antarctica</t>
  </si>
  <si>
    <t>AIRBORNE GRAVITY</t>
  </si>
  <si>
    <t>We present a partition-enhanced least-squares collocation (PE-LSC) which comprises several modifications to the classical LSC method. It is our goal to circumvent various problems of the practical application of LSC. While these investigations are focused on the modeling of the exterior gravity field the elaborated methods can also be used in other applications. One of the main drawbacks and current limitations of LSC is its high computational cost which grows cubically with the number of observation points. A common way to mitigate this problem is to tile the target area into sub-regions and solve each tile individually. This procedure assumes a certain locality of the LSC kernel functions which is generally not given and, therefore, results in fringe effects. To avoid this, it is proposed to localize the LSC kernels such that locality is preserved, and the estimated variances are not notably increased in comparison with the classical LSC method. Using global covariance models involves the calculation of a large number of Legendre polynomials which is usually a time-consuming task. Hence, to accelerate the creation of the covariance matrices, as an intermediate step we pre-calculate the covariance function on a two-dimensional grid of isotropic coordinates. Based on this grid, and under the assumption that the covariances are sufficiently smooth, the final covariance matrices are then obtained by a simple and fast interpolation algorithm. Applying the generalized multi-variate chain rule, also cross-covariance matrices among arbitrary linear spherical harmonic functionals can be obtained by this technique. Together with some further minor alterations these modifications are implemented in the PE-LSC method. The new PE-LSC is tested using selected data sets in Antarctica where altogether more than 800,000 observations are available for processing. In this case, PE-LSC yields a speed-up of computation time by a factor of about 55 (i.e., the computation needs only hours instead of weeks) in comparison with the classical unpartitioned LSC. Likewise, the memory requirement is reduced by a factor of about 360 (i.e., allocating memory in the order of GB instead of TB).</t>
  </si>
  <si>
    <t>[Zingerle, P.; Pail, R.; Willberg, M.] Tech Univ Munich, Inst Astron &amp; Phys Geodesy, Munich, Germany; [Scheinert, M.] Tech Univ Dresden, Inst Planetare Geodasie, Dresden, Germany</t>
  </si>
  <si>
    <t>Technical University of Munich; Technische Universitat Dresden</t>
  </si>
  <si>
    <t>Zingerle, P (corresponding author), Tech Univ Munich, Inst Astron &amp; Phys Geodesy, Munich, Germany.</t>
  </si>
  <si>
    <t>zingerle@tum.de</t>
  </si>
  <si>
    <t>Pail, Roland/H-5621-2011; Pail, Roland/ABE-8800-2021</t>
  </si>
  <si>
    <t>Scheinert, Mirko/0000-0002-0892-8941; Willberg, Martin/0000-0003-0549-6992; Zingerle, Philipp/0000-0003-4792-4406</t>
  </si>
  <si>
    <t>German Research Foundation (DFG) [PA 1543/18-1, SCHE 1426/24-1]</t>
  </si>
  <si>
    <t>German Research Foundation (DFG)(German Research Foundation (DFG))</t>
  </si>
  <si>
    <t>The investigations were supported by funding of the German Research Foundation (DFG), Projects PA 1543/18-1 and SCHE 1426/24-1, within the DFG Priority Program Antarctic Research (SPP 1158). Computations were carried out using resources of the Leibniz Supercomputing Centre (LRZ).</t>
  </si>
  <si>
    <t>ONE NEW YORK PLAZA, SUITE 4600, NEW YORK, NY, UNITED STATES</t>
  </si>
  <si>
    <t>0949-7714</t>
  </si>
  <si>
    <t>1432-1394</t>
  </si>
  <si>
    <t>J GEODESY</t>
  </si>
  <si>
    <t>J. Geodesy</t>
  </si>
  <si>
    <t>10.1007/s00190-021-01540-6</t>
  </si>
  <si>
    <t>Geochemistry &amp; Geophysics; Remote Sensing</t>
  </si>
  <si>
    <t>TS6YB</t>
  </si>
  <si>
    <t>WOS:000679791800001</t>
  </si>
  <si>
    <t>Smith, JA; Hillenbrand, CD; Subt, C; Rosenheim, BE; Frederichs, T; Ehrmann, W; Andersen, TJ; Wacker, L; Makinson, K; Anker, P; Venables, EJ; Nicholls, KW</t>
  </si>
  <si>
    <t>Smith, J. A.; Hillenbrand, C. -d.; Subt, C.; Rosenheim, B. E.; Frederichs, T.; Ehrmann, W.; Andersen, T. J.; Wacker, L.; Makinson, K.; Anker, P.; Venables, E. J.; Nicholls, K. W.</t>
  </si>
  <si>
    <t>History of the Larsen C Ice Shelf reconstructed from sub-ice shelf and offshore sediments</t>
  </si>
  <si>
    <t>GEOLOGY</t>
  </si>
  <si>
    <t>ANTARCTIC PENINSULA; SURFACE SEDIMENTS; HOLOCENE CLIMATE; RECORD; MELT</t>
  </si>
  <si>
    <t>Because ice shelves respond to climatic forcing over a range of time scales, from years to millennia, an understanding of their long-term history is critically needed for predicting their future evolution. We present the first detailed reconstruction of the Larsen C Ice Shelf (LCIS), eastern Antarctic Peninsula (AP), based on data from sediment cores recovered from below and in front of the ice shelf. Sedimentologic and chronologic information reveals that the grounding line (GL) of an expanded AP ice sheet had started its retreat from the midshelf prior to 17.7 +/- 0.53 calibrated (cal.) kyr B.P., with the calving line following similar to 6 k.y. later. The GL had reached the inner shelf as early as 9.83 +/- 0.85 cal. kyr B.P. Since ca. 7.3 ka, the ice shelf has undergone two phases of retreat but without collapse, indicating that the climatic limit of LCIS stability was not breached during the Holocene. Future collapse of the LCIS would therefore confirm that the magnitudes of both ice loss along the eastern AP and underlying climatic forcing are unprecedented during the past 11.5 k.y.</t>
  </si>
  <si>
    <t>[Smith, J. A.; Hillenbrand, C. -d.; Makinson, K.; Anker, P.; Nicholls, K. W.] British Antarctic Survey, Madingley Rd, Cambridge CB3 0ET, England; [Subt, C.] El Paso Community Coll, Dept Geol, El Paso, TX 79915 USA; [Rosenheim, B. E.] Univ S Florida, Coll Marine Sci, St Petersburg, FL 33701 USA; [Frederichs, T.] Univ Bremen, Fac Geosci, D-28359 Bremen, Germany; [Frederichs, T.] Univ Bremen, MARUM Ctr Marine Environm Sci, D-28359 Bremen, Germany; [Ehrmann, W.] Univ Leipzig, Inst Geol &amp; Geophys, D-04103 Leipzig, Germany; [Andersen, T. J.] Univ Copenhagen, Dept Geosci &amp; Nat Resource Management, DK-1350 Copenhagen, Denmark; [Wacker, L.] Swiss Fed Inst Technol, Lab Ion Beam Phys, CH-8093 Zurich, Switzerland; [Venables, E. J.] UiT Arctic Univ Norway, Dept Arctic &amp; Marine Biol, N-9037 Tromso, Norway</t>
  </si>
  <si>
    <t>UK Research &amp; Innovation (UKRI); Natural Environment Research Council (NERC); NERC British Antarctic Survey; State University System of Florida; University of South Florida; University of Bremen; University of Bremen; Leipzig University; University of Copenhagen; Swiss Federal Institutes of Technology Domain; ETH Zurich; UiT The Arctic University of Tromso</t>
  </si>
  <si>
    <t>Smith, JA (corresponding author), British Antarctic Survey, Madingley Rd, Cambridge CB3 0ET, England.</t>
  </si>
  <si>
    <t>Rosenheim, Brad/F-6349-2012; Andersen, Thorbjørn J/N-7560-2014; Makinson, Keith/A-2495-2013</t>
  </si>
  <si>
    <t>Rosenheim, Brad/0000-0001-6141-4651; Makinson, Keith/0000-0002-5791-1767</t>
  </si>
  <si>
    <t>British Antarctic Survey's, Polar Science for Planet Earth programme; NERC [NE/H009205/1]; NERC [bas0100033, NE/S00954X/1] Funding Source: UKRI</t>
  </si>
  <si>
    <t>British Antarctic Survey's, Polar Science for Planet Earth programme; NERC(UK Research &amp; Innovation (UKRI)Natural Environment Research Council (NERC)); NERC(UK Research &amp; Innovation (UKRI)Natural Environment Research Council (NERC))</t>
  </si>
  <si>
    <t>This research has been supported by the British Antarc-tic Survey's, Polar Science for Planet Earth programme and NERC grant NE/H009205/1. We are indebted to Mike Brian for his support in the field. Finally, we thank Stefanie Brachfeld, Rob McKay, and Becky Minzoni for their constructive reviews that improved our paper.</t>
  </si>
  <si>
    <t>GEOLOGICAL SOC AMER, INC</t>
  </si>
  <si>
    <t>BOULDER</t>
  </si>
  <si>
    <t>PO BOX 9140, BOULDER, CO 80301-9140 USA</t>
  </si>
  <si>
    <t>0091-7613</t>
  </si>
  <si>
    <t>1943-2682</t>
  </si>
  <si>
    <t>10.1130/G48503.1</t>
  </si>
  <si>
    <t>TQ6PP</t>
  </si>
  <si>
    <t>WOS:000678401400019</t>
  </si>
  <si>
    <t>Garmendia, G; Alvarez, A; Villarreal, R; Martínez-Silveira, A; Wisniewski, M; Vero, S</t>
  </si>
  <si>
    <t>Garmendia, Gabriela; Alvarez, Angie; Villarreal, Romina; Martinez-Silveira, Adalgisa; Wisniewski, Michael; Vero, Silvana</t>
  </si>
  <si>
    <t>Fungal diversity in the coastal waters of King George Island (maritime Antarctica)</t>
  </si>
  <si>
    <t>WORLD JOURNAL OF MICROBIOLOGY &amp; BIOTECHNOLOGY</t>
  </si>
  <si>
    <t>Antarctica; Fungal diversity; Antarctic yeasts; High throughput sequencing</t>
  </si>
  <si>
    <t>COMMUNITIES; CULTURE; YEASTS; ECOLOGY; IDENTIFICATION; BIODIVERSITY; ADAPTATION; MAGNITUDE; IMPACTS; SEARCH</t>
  </si>
  <si>
    <t>Fungi have been reported as common inhabitants of the maritime waters in Antarctica by studies based on culture-dependent methods. More recently, results obtained using DNA sequencing technologies, revealed that fungal diversity worldwide has been underestimated by culture methods. The present study provides the first characterization of fungal communities in the coastal waters of King George Island (maritime Antarctica) using both culture-dependent and high-throughput sequencing (HTS) methods. HTS demostrated a higher level of fungal diversity than the obtained by culture methods. A high prevalence of basidiomycetous yeasts and ascomycetous filamentous fungi was confirmed by both methods, however, Chythriomycota, Rozellomycota, lichenized fungi and Malassezia spp. were detected only by HTS. Correspondingly, members of some genera, such as Metschnikowia, were only found by culture-dependent methods. Our results confirm that culturing and HTS, should be seen as complementary approaches that enable one to obtain a more comprehensive picture of the composition of microbial communities.</t>
  </si>
  <si>
    <t>[Garmendia, Gabriela; Alvarez, Angie; Villarreal, Romina; Martinez-Silveira, Adalgisa; Vero, Silvana] Univ Republica, Fac Quim, Area Microbiol, Dept Biociencias, Gral Flores 2124, Montevideo, Uruguay; [Wisniewski, Michael] USDA ARS, 2217 Wiltshire Rd, Kearneysville, WV USA</t>
  </si>
  <si>
    <t>Universidad de la Republica, Uruguay; United States Department of Agriculture (USDA)</t>
  </si>
  <si>
    <t>Vero, S (corresponding author), Univ Republica, Fac Quim, Area Microbiol, Dept Biociencias, Gral Flores 2124, Montevideo, Uruguay.</t>
  </si>
  <si>
    <t>svero@fq.edu.uy</t>
  </si>
  <si>
    <t>Martínez-Silveira, Adalgisa/M-6469-2019</t>
  </si>
  <si>
    <t>Martínez-Silveira, Adalgisa/0000-0002-7287-9515; Vero, Silvana/0000-0002-8934-6379</t>
  </si>
  <si>
    <t>Comision Sectorial de Investigacion Cientifica (CSIC Uruguay); Instituto Antartico Uruguayo and Programa de Desarrollo de Ciencias Basicas (Pedeciba)</t>
  </si>
  <si>
    <t>Comision Sectorial de Investigacion Cientifica (CSIC Uruguay); Instituto Antartico Uruguayo and Programa de Desarrollo de Ciencias Basicas (Pedeciba).</t>
  </si>
  <si>
    <t>0959-3993</t>
  </si>
  <si>
    <t>1573-0972</t>
  </si>
  <si>
    <t>WORLD J MICROB BIOT</t>
  </si>
  <si>
    <t>World J. Microbiol. Biotechnol.</t>
  </si>
  <si>
    <t>10.1007/s11274-021-03112-4</t>
  </si>
  <si>
    <t>TQ9ES</t>
  </si>
  <si>
    <t>WOS:000678579700001</t>
  </si>
  <si>
    <t>Garcia-Eidell, C; Comiso, JC; Berkelhammer, M; Stock, L</t>
  </si>
  <si>
    <t>Garcia-Eidell, Cynthia; Comiso, Josefino C.; Berkelhammer, Max; Stock, Larry</t>
  </si>
  <si>
    <t>Interrelationships of Sea Surface Salinity, Chlorophyll-α Concentration, and Sea Surface Temperature near the Antarctic Ice Edge</t>
  </si>
  <si>
    <t>JOURNAL OF CLIMATE</t>
  </si>
  <si>
    <t>Sea ice; Southern Ocean; Radiances; Sea surface temperature; Salinity; Satellite observations</t>
  </si>
  <si>
    <t>SOUTHERN-OCEAN; ROSS SEA; IN-SITU; PRIMARY PRODUCTIVITY; MIXED-LAYER; TRENDS; VARIABILITY; SATELLITE; ZONE; HEMISPHERE</t>
  </si>
  <si>
    <t>Satellite data can now provide a coherent picture of sea surface salinity (SSS), chlorophyll-alpha concentration (Chl alpha), sea surface temperature (SST), and sea ice cover across the Southern Ocean. The availability of these data at the basin scale enables novel insight into the physical and biological processes in an area that has historically been difficult to gather in situ data from. The analysis shows large regional and interannual variability of these parameters but also strong coherence across the Southern Ocean. The covariability of the parameters near the marginal ice zone shows a generally negative relationship between SSS and Chl alpha (r = -0.87). This may in part be attributed to the large seasonality of the variables, but analysis of data within the spring period (from November to December) shows similarly high correlation (r = -0.81). This is the first time that a large-scale robust connection between low salinity and high phytoplankton concentration during ice melt period has been quantified. Chlorophyll-alpha concentration is also well correlated with SST (r = 0.79) providing a potential indicator of the strength of the temperature limitation on primary productivity in the region. The observed correlation also varied regionally due to differences in ice melt patterns during spring and summer. Overall, this study provides new insights into the physical characteristics of the Southern Ocean as observed from space. In a continually warming and freshening Southern Ocean, the relationships observed here provide a key data source for testing ocean biogeochemical models and assessing the effect of sea ice-ocean processes on primary production.</t>
  </si>
  <si>
    <t>[Garcia-Eidell, Cynthia; Berkelhammer, Max] Univ Illinois, Dept Earth &amp; Environm Sci, Chicago, IL USA; [Comiso, Josefino C.] NASA, Cryospher Sci Lab, Goddard Space Flight Ctr, Greenbelt, MD 20771 USA; [Stock, Larry] KBR Inc, Greenbelt, MD USA</t>
  </si>
  <si>
    <t>University of Illinois System; University of Illinois Chicago; University of Illinois Chicago Hospital; National Aeronautics &amp; Space Administration (NASA); NASA Goddard Space Flight Center</t>
  </si>
  <si>
    <t>Comiso, JC (corresponding author), NASA, Cryospher Sci Lab, Goddard Space Flight Ctr, Greenbelt, MD 20771 USA.</t>
  </si>
  <si>
    <t>josefino.c.comiso@nasa.gov</t>
  </si>
  <si>
    <t>ACM/SIGHPC Intel Computational and Data Science Fellowship; NASA Ocean Biology and Biochemistry Program</t>
  </si>
  <si>
    <t>We are grateful to the ACM/SIGHPC Intel Computational and Data Science Fellowship and for the NASA Ocean Biology and Biochemistry Program for providing funding support. The Aquarius L2 end-of-mission v.5.0 satellite product that served as the input source data in processing AqGSFC is from the NASA PO.DAAC. The chlorophylla concentration measured by the MODIS Aqua is provided by the Ocean Biology Processing Group, NASA Goddard Space Flight Center. The sea ice concentration known as SB2 is provided by the NSIDC, while the SST from AVHRR by the NOAANCEI.</t>
  </si>
  <si>
    <t>0894-8755</t>
  </si>
  <si>
    <t>1520-0442</t>
  </si>
  <si>
    <t>J CLIMATE</t>
  </si>
  <si>
    <t>J. Clim.</t>
  </si>
  <si>
    <t>10.1175/JCLI-D-20-0716.1</t>
  </si>
  <si>
    <t>TI2SA</t>
  </si>
  <si>
    <t>WOS:000672642500003</t>
  </si>
  <si>
    <t>Bushuk, M; Winton, M; Haumann, FA; Delworth, T; Lu, FY; Zhang, YF; Jia, LW; Zhang, LP; Cooke, W; Harrison, M; Hurlin, B; Johnson, NC; Kapnick, SB; McHugh, C; Murakami, H; Rosati, A; Tseng, KC; Wittenberg, AT; Yang, XS; Zeng, FR</t>
  </si>
  <si>
    <t>Bushuk, Mitchell; Winton, Michael; Haumann, F. Alexander; Delworth, Thomas; Lu, Feiyu; Zhang, Yongfei; Jia, Liwei; Zhang, Liping; Cooke, William; Harrison, Matthew; Hurlin, Bill; Johnson, Nathaniel C.; Kapnick, Sarah B.; McHugh, Colleen; Murakami, Hiroyuki; Rosati, Anthony; Tseng, Kai-Chih; Wittenberg, Andrew T.; Yang, Xiaosong; Zeng, Fanrong</t>
  </si>
  <si>
    <t>Seasonal Prediction and Predictability of Regional Antarctic Sea Ice</t>
  </si>
  <si>
    <t>Antarctica; Sea ice; Climate variability; Seasonal forecasting; Coupled models; Data assimilation</t>
  </si>
  <si>
    <t>GFDL GLOBAL ATMOSPHERE; COUPLED CLIMATE MODELS; CIRCUMPOLAR WAVE; THICKNESS DISTRIBUTION; SOUTHERN-OCEAN; VARIABILITY; SYSTEM; SKILL; WIND; INITIALIZATION</t>
  </si>
  <si>
    <t>Compared to the Arctic, seasonal predictions of Antarctic sea ice have received relatively little attention. In this work, we utilize three coupled dynamical prediction systems developed at the Geophysical Fluid Dynamics Laboratory to assess the seasonal prediction skill and predictability of Antarctic sea ice. These systems, based on the FLOR, SPEAR_LO, and SPEAR_MED dynamical models, differ in their coupled model components, initialization techniques, atmospheric resolution, and model biases. Using suites of retrospective initialized seasonal predictions spanning 1992-2018, we investigate the role of these factors in determining Antarctic sea ice prediction skill and examine the mechanisms of regional sea ice predictability. We find that each system is capable of skillfully predicting regional Antarctic sea ice extent (SIE) with skill that exceeds a persistence forecast. Winter SIE is skillfully predicted 11 months in advance in the Weddell, Amundsen/Bellingshausen, Indian, and west Pacific sectors, whereas winter skill is notably lower in the Ross sector. Zonally advected upper-ocean heat content anomalies are found to provide the crucial source of prediction skill for the winter sea ice edge position. The recently developed SPEAR systems are more skillful than FLOR for summer sea ice predictions, owing to improvements in sea ice concentration and sea ice thickness initialization. Summer Weddell SIE is skillfully predicted up to 9 months in advance in SPEAR_MED, due to the persistence and drift of initialized sea ice thickness anomalies from the previous winter. Overall, these results suggest a promising potential for providing operational Antarctic sea ice predictions on seasonal time scales.</t>
  </si>
  <si>
    <t>[Bushuk, Mitchell; Winton, Michael; Delworth, Thomas; Lu, Feiyu; Zhang, Yongfei; Jia, Liwei; Zhang, Liping; Cooke, William; Harrison, Matthew; Hurlin, Bill; Johnson, Nathaniel C.; Kapnick, Sarah B.; McHugh, Colleen; Murakami, Hiroyuki; Rosati, Anthony; Tseng, Kai-Chih; Wittenberg, Andrew T.; Yang, Xiaosong; Zeng, Fanrong] NOAA, Geophys Fluid Dynam Lab, Princeton, NJ 08540 USA; [Bushuk, Mitchell; Jia, Liwei; Zhang, Liping; Murakami, Hiroyuki; Rosati, Anthony] Univ Corp Atmospher Res, Boulder, CO 80301 USA; [Haumann, F. Alexander; Lu, Feiyu; Zhang, Yongfei] Princeton Univ, Atmospher &amp; Ocean Sci Program, Princeton, NJ 08544 USA; [McHugh, Colleen] Sci Applicat Int Corp, SAIC, Reston, VA USA</t>
  </si>
  <si>
    <t>National Oceanic Atmospheric Admin (NOAA) - USA; National Center Atmospheric Research (NCAR) - USA; Princeton University; National Oceanic Atmospheric Admin (NOAA) - USA; Science Applications International Corporation (SAIC)</t>
  </si>
  <si>
    <t>Bushuk, M (corresponding author), NOAA, Geophys Fluid Dynam Lab, Princeton, NJ 08540 USA.;Bushuk, M (corresponding author), Univ Corp Atmospher Res, Boulder, CO 80301 USA.</t>
  </si>
  <si>
    <t>mitchell.bushuk@noaa.gov</t>
  </si>
  <si>
    <t>Wittenberg, Andrew T/G-9619-2013; Li, Jiaxi/HTS-3430-2023; Murakami, Hiroyuki/L-5745-2015; wang, yue/KDO-9209-2024; Kapnick, Sarah B/C-5209-2014; Bushuk, Mitch/L-7032-2015; Haumann, Alexander/J-6679-2014; Yang, Xiaosong/C-7260-2009; Johnson, Nathaniel C/L-8045-2015; Delworth, Thomas L/C-5191-2014; Zhang, Liping/L-6480-2015</t>
  </si>
  <si>
    <t>Wittenberg, Andrew T/0000-0003-1680-8963; Li, Jiaxi/0000-0002-8197-8590; Kapnick, Sarah B/0000-0003-0979-3070; Haumann, Alexander/0000-0002-8218-977X; Zhang, Liping/0000-0003-1122-8927; Tseng, Kai-Chih/0000-0002-4789-705X; Lu, Feiyu/0000-0001-6532-0740</t>
  </si>
  <si>
    <t>NOAA's Science Collaboration Program [NA16NWS4620043, NA18NWS4620043B]; SNSF [P2EZP2_175162, P400P2_186681]; NSF's Southern Ocean Carbon and Climate Observations and Modeling (SOCCOM) [PLR-1425989]; Swiss National Science Foundation (SNF) [P2EZP2_175162, P400P2_186681] Funding Source: Swiss National Science Foundation (SNF)</t>
  </si>
  <si>
    <t>NOAA's Science Collaboration Program; SNSF(Swiss National Science Foundation (SNSF)); NSF's Southern Ocean Carbon and Climate Observations and Modeling (SOCCOM); Swiss National Science Foundation (SNF)(Swiss National Science Foundation (SNSF))</t>
  </si>
  <si>
    <t>We thank three anonymous reviewers for insightful comments that improved the manuscript. We also thank Olga Sergienko and Graeme MacGilchrist for comments on a preliminary version of this manuscript. This research from the Geophysical Fluid Dynamics Laboratory is supported by NOAA's Science Collaboration Program and administered by UCAR's Cooperative Programs for the Advancement of Earth System Science (CPAESS) under Awards NA16NWS4620043 and NA18NWS4620043B. F.A.H. was supported by the SNSF Grants P2EZP2_175162 and P400P2_186681, and NSF's Southern Ocean Carbon and Climate Observations and Modeling (SOCCOM; PLR-1425989) Project.</t>
  </si>
  <si>
    <t>10.1175/JCLI-D-20-0965.1</t>
  </si>
  <si>
    <t>WOS:000672642500012</t>
  </si>
  <si>
    <t>Schwarzhans, W; Carnevale, G</t>
  </si>
  <si>
    <t>Schwarzhans, Werner; Carnevale, Giorgio</t>
  </si>
  <si>
    <t>The rise to dominance of lanternfishes (Teleostei: Myctophidae) in the oceanic ecosystems: a paleontological perspective</t>
  </si>
  <si>
    <t>PALEOBIOLOGY</t>
  </si>
  <si>
    <t>SOUTHERN-OCEAN; ANTARCTIC GLACIATION; FAMILY MYCTOPHIDAE; EARLY OLIGOCENE; FISH PRODUCTION; LATE EOCENE; EVOLUTION; OTOLITHS; MIOCENE; CIRCULATION</t>
  </si>
  <si>
    <t>Lanternfishes currently represent one of the dominant groups of mesopelagic fishes in terms of abundance, biomass, and diversity. Their otolith record dominates pelagic sediments below 200 m in dredges, especially during the entire Neogene. Here we provide an analysis of their diversity and rise to dominance primarily based on their otolith record. The earliest unambiguous fossil myctophids are known based on otoliths from the late Paleocene and early Eocene. During their early evolutionary history, myctophids were likely not adapted to a high oceanic lifestyle but occurred over shelf and upper-slope regions, where they were locally abundant during the middle Eocene. A distinct upscaling in otolith size is observed in the early Oligocene, which also marks their earliest occurrence in bathyal sediments. We interpret this transition to be related to the change from a halothermal deep-ocean circulation to a thermohaline regime and the associated cooling of the deep ocean and rearrangement of nutrient and silica supply. The early Oligocene myctophid size acme shows a remarkable congruence with diatom abundance, the main food resource for the zooplankton and thus for myctophids and whales. The warmer late Oligocene to early middle Miocene period was characterized by an increase in disparity of myctophids but with a reduction in their otolith sizes. A second and persisting secular pulse in myctophid diversity (particularly within the genus Diaphus) and increase in size begins with the biogenic bloom in the late Miocene, paralleled with diatom abundance and mysticete gigantism.</t>
  </si>
  <si>
    <t>[Schwarzhans, Werner] Nat Hist Museum Denmark, Zool Museum, UnivPK 15, DK-2100 Copenhagen, Denmark; [Carnevale, Giorgio] Univ Torino, Dipt Sci Terra, Via Valperga Caluso 35, I-10125 Turin, Italy</t>
  </si>
  <si>
    <t>University of Turin</t>
  </si>
  <si>
    <t>Schwarzhans, W (corresponding author), Nat Hist Museum Denmark, Zool Museum, UnivPK 15, DK-2100 Copenhagen, Denmark.</t>
  </si>
  <si>
    <t>wwschwarz@aol.com; giorgio.carnevale@unito.it</t>
  </si>
  <si>
    <t>Schwarzhans, Werner/0000-0003-4842-7989; CARNEVALE, Giorgio/0000-0002-3433-4127</t>
  </si>
  <si>
    <t>Universita degli Studi di Torino</t>
  </si>
  <si>
    <t>This study would have been impossible without the generous help of many colleagues making otolith collections available to W.S. or granting extraction of otoliths from voucher specimens. We wish to sincerely thank J. Paxton at Australian Museum (Sydney), A. Suzimoto at Bernice P. Bishop Museum (Honolulu, Hawaii), H. Endo at Kochi University, Department of Biology (Kochi, Japan), D. Catania at California Academy of Sciences (San Francisco), R. Feeney at Los Angeles County Museum of Natural History (Los Angeles), K. Hartel and A. Williston at Museum of Comparative Zoology (Cambridge, Mass.), P. Bearez and G. Duhamel at Museum National d'Histoire Naturelle (Paris), G. Shinohara at National Science Museum, Department of Zoology (Tsukuba, Tokyo), F. Ohe (Seto City, Japan), J. Williams and S. Raredon at National Museum of Natural History (Washington, D.C.), R. Thiel and A. Post at Universitat Hamburg, Zoologisches Institut und Museum and former Institut fur Seefischerei (Hamburg), and J. Nielsen and P. MOller at KObenhavns Universitet Zoologisk Museum (Copenhagen). P. Hulley (Cape Town) is cordially thanked for his very valuable and constructive discussion and advice with respect to extant myctophids. M. Bisconti (San Diego) and L. Pellegrino (Torino) are thanked for fruitful discussion and advice with respect to whale evolution and historical geology. The two anonymous reviewers and the associate editor M. Friedman are thanked for their constructive comments which helped to refine an earlier version of the article. The research of G.C. is supported by grants (ex-60% 2020) from the Universita degli Studi di Torino.</t>
  </si>
  <si>
    <t>0094-8373</t>
  </si>
  <si>
    <t>1938-5331</t>
  </si>
  <si>
    <t>Paleobiology</t>
  </si>
  <si>
    <t>PII S0094837321000026</t>
  </si>
  <si>
    <t>10.1017/pab.2021.2</t>
  </si>
  <si>
    <t>Biodiversity Conservation; Ecology; Evolutionary Biology; Paleontology</t>
  </si>
  <si>
    <t>Biodiversity &amp; Conservation; Environmental Sciences &amp; Ecology; Evolutionary Biology; Paleontology</t>
  </si>
  <si>
    <t>TQ3EP</t>
  </si>
  <si>
    <t>WOS:000678167200007</t>
  </si>
  <si>
    <t>Wang, Z; Zhang, JK; Wang, T; Feng, WH; Hu, YH; Xu, XR</t>
  </si>
  <si>
    <t>Wang, Zhe; Zhang, Jiankai; Wang, Tao; Feng, Wuhu; Hu, Yihang; Xu, Xiran</t>
  </si>
  <si>
    <t>Analysis of the Antarctic Ozone Hole in November</t>
  </si>
  <si>
    <t>Planetary waves; Stratosphere; Ozone</t>
  </si>
  <si>
    <t>POLAR STRATOSPHERIC OZONE; EL-NINO; SEA-ICE; CIRCULATION; TROPOSPHERE; OSCILLATION; DEPLETION; WINTER; MODEL; VARIABILITY</t>
  </si>
  <si>
    <t>The factors responsible for the size of the Antarctic ozone hole in November are analyzed. Comparing two samples of anomalously large and small November ozone holes with respect to 1980-2017 climatology in November, the results show that the anomalously large ozone hole in austral late winter is not a precondition for the anomalously large ozone hole in November. The size of the Antarctic ozone hole in November is mainly influenced by dynamical processes from the end of October to mid-November. During anomalously large November ozone hole events, weaker dynamical ozone transport appears from the end of October to mid-November, which is closely related to planetary wave divergence in the stratosphere between 60 degrees and 90 degrees S. Further analyses indicate that the wave divergence is partially attributed to less upward propagation of planetary waves from the troposphere, which is associated with weak baroclinic disturbances at the end of October. Subsequently, zonal wind speed in the upper stratosphere intensifies, and the distance between the critical layer (U = 0) and wave-reflecting surfaces becomes larger. As a result, more planetary waves are reflected and then wave divergence is enhanced. The processes responsible for the anomalously small Antarctic ozone holes in November are almost opposite to those for the anomalously large Antarctic ozone holes.</t>
  </si>
  <si>
    <t>[Wang, Zhe; Zhang, Jiankai; Wang, Tao; Hu, Yihang; Xu, Xiran] Lanzhou Univ, Coll Atmospher Sci, Key Lab Semiarid Climate Change, Minist Educ, Lanzhou, Peoples R China; [Feng, Wuhu] Univ Leeds, Natl Ctr Atmospher Sci, Leeds, W Yorkshire, England</t>
  </si>
  <si>
    <t>Lanzhou University; UK Research &amp; Innovation (UKRI); Natural Environment Research Council (NERC); NERC National Centre for Atmospheric Science; University of Leeds</t>
  </si>
  <si>
    <t>Zhang, JK (corresponding author), Lanzhou Univ, Coll Atmospher Sci, Key Lab Semiarid Climate Change, Minist Educ, Lanzhou, Peoples R China.</t>
  </si>
  <si>
    <t>jkzhang@lzu.edu.cn</t>
  </si>
  <si>
    <t>Hu, Yihang/ADN-8832-2022; Wang, Tao/AAN-2496-2021</t>
  </si>
  <si>
    <t>Hu, Yihang/0000-0003-3674-2308; Wang, Tao/0009-0006-5366-3942; Zhang, Jiankai/0000-0002-8491-0225</t>
  </si>
  <si>
    <t>National Key Research and Development Program of China [2018YFC1506003]; NationalNatural Science Foundation of China [42075062]; Fundamental Research Funds for the Central Universities [lzujbky-2021-ey04]</t>
  </si>
  <si>
    <t>National Key Research and Development Program of China; NationalNatural Science Foundation of China(National Natural Science Foundation of China (NSFC)); Fundamental Research Funds for the Central Universities(Fundamental Research Funds for the Central Universities)</t>
  </si>
  <si>
    <t>This work is supported by the National Key Research and Development Program of China (2018YFC1506003) and the NationalNatural Science Foundation of China (42075062). This research is also supported by the Fundamental Research Funds for the Central Universities (lzujbky-2021-ey04). We thank the scientific teams at National Aeronautics and Space Administration (NASA) for providing the MERRA-2 reanalysis data and TOMS/OMI ozone data. The EESC dataset and ozone hole area data are obtained from the Goddard Space Flight Center. We gratefully acknowledge Dr. Nili Harnik for providing the code of the quasigeostrophic model to calculate the index of refraction, and we acknowledge Prof. Martyn Chipperfield for his helpful discussions. We also thank the U.K. National Centre for Atmospheric Science (NCAS) for providing the TOMCAT/SLIMCAT model. We also appreciate the computing support provided by the Supercomputing Center of Lanzhou University.</t>
  </si>
  <si>
    <t>10.1175/JCLI-D-20-0906.1</t>
  </si>
  <si>
    <t>TP5UV</t>
  </si>
  <si>
    <t>WOS:000677665400002</t>
  </si>
  <si>
    <t>Zhu, XH</t>
  </si>
  <si>
    <t>Zhu, Xiuhua</t>
  </si>
  <si>
    <t>Characteristics of Inherent Coupling Structure of Model Climates</t>
  </si>
  <si>
    <t>Annular mode; ENSO; Hadley circulation; Climate variability; Surface temperature; Climate models; Interannual variability; Seasonal cycle; Tropical variability</t>
  </si>
  <si>
    <t>SEA-SURFACE TEMPERATURE; HADLEY-CELL EXPANSION; ASIAN WINTER MONSOON; EL-NINO; ATMOSPHERIC CIRCULATION; INTERANNUAL VARIABILITY; ARCTIC OSCILLATION; SPATIAL DEGREES; JET STREAMS; MODULATION</t>
  </si>
  <si>
    <t>This work proposes a framework to examine interactions of climate modes that are identified as leading EOF modes; their coupling structure is unveiled through correlation analysis and helps in constructing a regression model, whose performance is compared across GCMs, thereby providing a quantitative overview of model performances in simulating mode interaction. As a demonstration surface temperature is analyzed for five CMIP5 preindustrial control (PiControl) simulations. Along with the seasonal land and ocean modes, four interannual modes are identified: the tropical mode (TM) associated with the Hadley circulation, the tropical Pacific mode (TPM) characterizing a zonal temperature contrast between the eastern tropical Pacific and the Atlantic/Indian Oceans, and two annular modes, the Arctic mode (AM) and Antarctic mode (AAM). All GCMs converge on the following points: 1) TM strongly couples with seasonal signals of the previous year; 2) TPM leads TM by 1 year, and thus a weaker zonal temperature contrast in the tropics contributes to warming in the entire tropical band 1 year later; and 3) AM weakly couples to TM at a 1-yr lead, suggesting that a colder North Pole may contribute to colder tropics. In addition, all GCMs do not support a linear coupling between AAM and TM. The above-learned coupling structure is incorporated to construct an optimum regression model that demonstrates considerable predictive power. The proposed approach may both serve as a useful tool for dynamical analysis and lend insight into GCM differences. Its merit is demonstrated by the finding that different representations of the mean seasonal cycle in GCMs may account for the GCM dependence of relative contributions of seasonal and interannual modes to TM variability.</t>
  </si>
  <si>
    <t>[Zhu, Xiuhua] Univ Hamburg, Ctr Earth Syst Res &amp; Sustainabil CEN, Hamburg, Germany</t>
  </si>
  <si>
    <t>University of Hamburg</t>
  </si>
  <si>
    <t>Zhu, XH (corresponding author), Univ Hamburg, Ctr Earth Syst Res &amp; Sustainabil CEN, Hamburg, Germany.</t>
  </si>
  <si>
    <t>xiuhua.zhu@uni-hamburg.de</t>
  </si>
  <si>
    <t>Zhu, Xiuhua/AAM-1420-2021</t>
  </si>
  <si>
    <t>National Natural Science Foundation of China [41776002]; Strategic Priority Research Program of Chinese Academy of Sciences [XDA20060501]</t>
  </si>
  <si>
    <t>National Natural Science Foundation of China(National Natural Science Foundation of China (NSFC)); Strategic Priority Research Program of Chinese Academy of Sciences(Chinese Academy of Sciences)</t>
  </si>
  <si>
    <t>This study is supported by National Natural Science Foundation of China (41776002) and Strategic Priority Research Program of Chinese Academy of Sciences(XDA20060501). The author wishes to acknowledge the CMIP community for providing the climate model data, retained and globally distributed in the framework of the ESGF. The CMIP data of this study were replicated and made available by the DKRZ. Thanks also extend to the anonymous reviewers who helped shape this work.</t>
  </si>
  <si>
    <t>10.1175/JCLI-D-20-0700.1</t>
  </si>
  <si>
    <t>WOS:000677665400023</t>
  </si>
  <si>
    <t>Bashmachnikov, IL; Fedorov, AM; Golubkin, PA; Vesman, AV; Selyuzhenok, VV; Gnatiuk, NV; Bobylev, LP; Hodges, KI; Dukhovskoy, DS</t>
  </si>
  <si>
    <t>Bashmachnikov, Igor L.; Fedorov, Aleksandr M.; Golubkin, Pavel A.; Vesman, Anna V.; Selyuzhenok, Valeria V.; Gnatiuk, Natalia V.; Bobylev, Leonid P.; Hodges, Kevin I.; Dukhovskoy, Dmitry S.</t>
  </si>
  <si>
    <t>Mechanisms of interannual variability of deep convection in the Greenland sea</t>
  </si>
  <si>
    <t>DEEP-SEA RESEARCH PART I-OCEANOGRAPHIC RESEARCH PAPERS</t>
  </si>
  <si>
    <t>Deep convection; The Greenland Sea; Oceanic freshwater advection; Winter ice conditions</t>
  </si>
  <si>
    <t>OPEN-OCEAN CONVECTION; MERIDIONAL OVERTURNING CIRCULATION; NORTHERN NORTH-ATLANTIC; FRESH-WATER CONTENT; NORDIC SEAS; LABRADOR SEA; FRAM STRAIT; IN-SITU; HEAT FLUXES; POLAR LOWS</t>
  </si>
  <si>
    <t>This study investigates the physical processes and mechanisms driving the interannual variability of deep convective intensity in the Greenland Sea from 1993 to 2016. The intensity of deep convection is derived using the traditional Maximum Mixed Layer Depth, the total surface area with the monthly-mean mixed layer depth exceeding 800 m and various indices. All metrics show that the intensity of convection increased during the 2000s. The analysis demonstrates that observed increases of the deep convective intensity in the Greenland Sea is associated with an increase in the upper ocean salinity. The long-term interannual variability of deep convection is mainly linked to the variation of the water salinity during the preceding summer and the current winter. In turn, the variability of the upper-ocean salinity is primarily related to the variability in the advection of Atlantic water into the region with the re-circulating branches of the West Spitsbergen Current and to a lesser degree, to the local sea ice melt. For only two winters during the study period did the sea ice contribute significantly to a weakening of the intensity of deep convection by substantially reducing oceanic heat loss to the atmosphere. The variability in the advected heat is effectively abated by the concurrent variations of oceanic heat release to the atmosphere. The interplay between the interannual variability of the oceanic heat advection and the winter air-sea net heat flux leads to a noticeable reduction of the interannual variability of both fluxes over the convective regions. As a result, the direct effect of the varying air-sea heat exchange did not have a pronounced direct effect on the interannual variation in the intensity of deep convection in the Greenland Sea, at least during the study period.</t>
  </si>
  <si>
    <t>[Bashmachnikov, Igor L.; Fedorov, Aleksandr M.; Vesman, Anna V.; Selyuzhenok, Valeria V.] St Petersburg State Univ, SPbSU, 7-9 Univ Skaya Nab, St Petersburg 199034, Russia; [Bashmachnikov, Igor L.; Fedorov, Aleksandr M.; Golubkin, Pavel A.; Vesman, Anna V.; Selyuzhenok, Valeria V.; Gnatiuk, Natalia V.; Bobylev, Leonid P.] Nansen Int Environm &amp; Remote Sensing Ctr, 14 Line VO,7, St Petersburg 199034, Russia; [Fedorov, Aleksandr M.; Vesman, Anna V.] Arctic &amp; Antarctic Res Inst, Bering Str 38, St Petersburg 199397, Russia; [Hodges, Kevin I.] Univ Reading, Dept Meteorol, Reading, Berks, England; [Dukhovskoy, Dmitry S.] Florida State Univ, Tallahassee, FL USA</t>
  </si>
  <si>
    <t>Saint Petersburg State University; Nansen Environmental &amp; Remote Sensing Center (NERSC); Arctic &amp; Antarctic Research Institute; University of Reading; State University System of Florida; Florida State University</t>
  </si>
  <si>
    <t>Bashmachnikov, IL (corresponding author), St Petersburg State Univ, SPbSU, 7-9 Univ Skaya Nab, St Petersburg 199034, Russia.</t>
  </si>
  <si>
    <t>i.bashmachnikov@spbu.ru</t>
  </si>
  <si>
    <t>Selyuzhenok, Valeria/K-8715-2016; Bashmachnikov, Igor/B-2879-2012; Vesman, Anna/ABC-8337-2020; Golubkin, Pavel/J-7813-2016; Dukhovskoy, Dmitry S/I-9391-2017; Bobylev, Leonid/L-4816-2017; Fedorov, Aleksandr/B-2695-2019</t>
  </si>
  <si>
    <t>Bashmachnikov, Igor/0000-0002-1257-4197; Vesman, Anna/0000-0002-8805-0349; Golubkin, Pavel/0000-0002-1782-4677; Fedorov, Aleksandr/0000-0001-6857-1393; Selyuzhenok, Valeria/0000-0001-9388-5706</t>
  </si>
  <si>
    <t>Saint Petersburg State University [N 75295423]; DOE [DE-SC0014378]; U.S. Department of Energy (DOE) [DE-SC0014378] Funding Source: U.S. Department of Energy (DOE)</t>
  </si>
  <si>
    <t>Saint Petersburg State University; DOE(United States Department of Energy (DOE)); U.S. Department of Energy (DOE)(United States Department of Energy (DOE))</t>
  </si>
  <si>
    <t>The research was funded by the Saint Petersburg State University (project N 75295423). D.S. Dukhovskoy was funded by the DOE (award DE-SC0014378).</t>
  </si>
  <si>
    <t>0967-0637</t>
  </si>
  <si>
    <t>1879-0119</t>
  </si>
  <si>
    <t>DEEP-SEA RES PT I</t>
  </si>
  <si>
    <t>Deep-Sea Res. Part I-Oceanogr. Res. Pap.</t>
  </si>
  <si>
    <t>10.1016/j.dsr.2021.103557</t>
  </si>
  <si>
    <t>6B4PX</t>
  </si>
  <si>
    <t>Green Accepted</t>
  </si>
  <si>
    <t>WOS:000881317800001</t>
  </si>
  <si>
    <t>Abarr, Q; Allison, P; Yebra, JA; Alvarez-Muñiz, J; Beatty, JJ; Besson, DZ; Chen, P; Chen, Y; Xie, C; Clem, JM; Connolly, A; Cremonesi, L; Deaconu, C; Flaherty, J; Frikken, D; Gorham, PW; Hast, C; Hornhuber, C; Huang, JJ; Hughes, K; Hynous, A; Ku, Y; Kuo, CY; Liu, TC; Martin, Z; Miki, C; Nam, J; Nichol, RJ; Nishimura, K; Novikov, A; Nozdrina, A; Oberla, E; Prohira, S; Prechelt, R; Rauch, BF; Roberts, JM; Romero-Wolf, A; Russell, JW; Seckel, D; Shiao, J; Smith, D; Southall, D; Varner, GS; Vieregg, AG; Wang, SH; Wang, YH; Wissel, SA; Young, R; Zas, E; Zeolla, A</t>
  </si>
  <si>
    <t>Abarr, Q.; Allison, P.; Ammerman Yebra, J.; Alvarez-Muniz, J.; Beatty, J. J.; Besson, D. Z.; Chen, P.; Chen, Y.; Xie, C.; Clem, J. M.; Connolly, A.; Cremonesi, L.; Deaconu, C.; Flaherty, J.; Frikken, D.; Gorham, P. W.; Hast, C.; Hornhuber, C.; Huang, J. J.; Hughes, K.; Hynous, A.; Ku, Y.; Kuo, C. -y.; Liu, T. C.; Martin, Z.; Miki, C.; Nam, J.; Nichol, R. J.; Nishimura, K.; Novikov, A.; Nozdrina, A.; Oberla, E.; Prohira, S.; Prechelt, R.; Rauch, B. F.; Roberts, J. M.; Romero-Wolf, A.; Russell, J. W.; Seckel, D.; Shiao, J.; Smith, D.; Southall, D.; Varner, G. S.; Vieregg, A. G.; Wang, S. -h.; Wang, Y. -h.; Wissel, S. A.; Young, R.; Zas, E.; Zeolla, A.</t>
  </si>
  <si>
    <t>The Payload for Ultrahigh Energy Observations (PUEO): a white paper</t>
  </si>
  <si>
    <t>JOURNAL OF INSTRUMENTATION</t>
  </si>
  <si>
    <t>Balloon instrumentation; Large detector systems for particle and astroparticle physics; Neutrino detectors</t>
  </si>
  <si>
    <t>COSMIC-RAYS; NEUTRINO DETECTOR; RADIO-EMISSION; AIR-SHOWERS; PERFORMANCE; DESIGN; PULSES; ARRAY; SPECTRUM; ICECUBE</t>
  </si>
  <si>
    <t>The Payload for Ultrahigh Energy Observations (PUEO) long-duration balloon experi-ment is designed to have world-leading sensitivity to ultrahigh-energy neutrinos at energies above 1 EeV. Probing this energy region is essential for understanding the extreme-energy universe at all distance scales. PUEO leverages experience from and supersedes the successful Antarctic Im-pulsive Transient Antenna (ANITA) program, with an improved design that drastically improves sensitivity by more than an order of magnitude at energies below 30 EeV. PUEO will either make the first significant detection of or set the best limits on ultrahigh-energy neutrino fluxes.</t>
  </si>
  <si>
    <t>[Abarr, Q.; Rauch, B. F.] Washington Univ, McDonnell Ctr Space Sci, Dept Phys, 1 Brookings Dr, St Louis, MO 63130 USA; [Allison, P.; Beatty, J. J.; Connolly, A.; Flaherty, J.; Frikken, D.; Prohira, S.] Ohio State Univ, Ctr Cosmol &amp; AstroParticle Phys, Dept Phys, 191 W Woodruff Ave, Columbus, OH 43210 USA; [Ammerman Yebra, J.; Alvarez-Muniz, J.; Zas, E.] Univ Santiago de Compostela, Inst Galego Fis Altas Enerxias IGFAE, Rua Xoaquin Diaz Rabago S-N, Santiago De Compostela 15782, Spain; [Besson, D. Z.; Hornhuber, C.; Nozdrina, A.; Young, R.] Univ Kansas, Dept Phys &amp; Astron, 1251 Wescoe Hall Dr, Lawrence, KS 66045 USA; [Besson, D. Z.] Moscow Engn Phys Inst, Kashira Hwy 31, Moscow 115409, Russia; [Chen, P.; Chen, Y.; Kuo, C. -y.; Nam, J.; Shiao, J.] Natl Taiwan Univ, Grad Inst Astrophys, Dept Phys, Leung Ctr Cosmol &amp; Particle Astrophys, 1,Sec 4,Roosevelt Rd, Taipei 10617, Taiwan; [Xie, C.; Nichol, R. J.] UCL, Dept Phys &amp; Astron, Gower St, London WC1E 6BT, England; [Clem, J. M.; Seckel, D.] Univ Delaware, Dept Phys, 217 Sharp Lab, Newark, DE 19716 USA; [Cremonesi, L.] Queen Mary Univ London, Sch Phys &amp; Astron, Mile End Rd, London E1 4NS, England; [Deaconu, C.; Oberla, E.; Smith, D.; Southall, D.; Vieregg, A. G.] Univ Chicago, Enrico Fermi Inst, Kavli Inst Cosmol Phys, Dept Phys, 5640 S Ellis Ave, Chicago, IL 60637 USA; [Gorham, P. W.; Martin, Z.; Miki, C.; Nishimura, K.; Prechelt, R.; Russell, J. W.; Varner, G. S.] Univ Hawaii, Dept Phys &amp; Astron, 2505 Correa Rd, Honolulu, HI 96822 USA; [Hast, C.] SLAC Natl Accelerator Lab, 2575 Sand Hill Rd, Menlo Pk, CA 94025 USA; [Huang, J. J.; Liu, T. C.] Natl Yang Ming Chiao Tung Univ, Dept Phys, 1001 Univ Rd, Hsinchu, Taiwan; [Hynous, A.] NASA Wallops Flight Facil, 175 Chincoteague Rd, Wallops Isl, VA 23337 USA; [Ku, Y.; Wissel, S. A.; Zeolla, A.] Inst Gravitat &amp; Cosmos, Penn State Phys Dept, 104 Davey Lab, University Pk, PA 16802 USA; [Roberts, J. M.] Univ Calif San Diego, Ctr Astrophys &amp; Space Sci, 9500 Gilman Dr, La Jolla, CA 92093 USA; [Romero-Wolf, A.] CALTECH, Jet Prop Lab, Oak Grove Dr, Pasadena, CA 91109 USA; [Wissel, S. A.] Penn State Univ, Dept Phys, Dept Astron &amp; Astrophys, 525 Davey Lab, University Pk, PA 16802 USA; [Wissel, S. A.] Calif Polytech State Univ San Luis Obispo, Dept Phys, 1 Grand Ave, San Luis Obispo, CA 93407 USA</t>
  </si>
  <si>
    <t>Washington University (WUSTL); University System of Ohio; Ohio State University; Universidade de Santiago de Compostela; University of Kansas; National Research Nuclear University MEPhI (Moscow Engineering Physics Institute); National Taiwan University; University of London; University College London; University of Delaware; University of London; University College London; Queen Mary University London; University of Chicago; University of Hawaii System; Stanford University; United States Department of Energy (DOE); SLAC National Accelerator Laboratory; National Yang Ming Chiao Tung University; National Aeronautics &amp; Space Administration (NASA); NASA Goddard Space Flight Center; Wallops Flight Facility; University of California System; University of California San Diego; National Aeronautics &amp; Space Administration (NASA); NASA Jet Propulsion Laboratory (JPL); California Institute of Technology; Pennsylvania Commonwealth System of Higher Education (PCSHE); Pennsylvania State University; Pennsylvania State University - University Park; California State University System; California Polytechnic State University San Luis Obispo</t>
  </si>
  <si>
    <t>Deaconu, C (corresponding author), Univ Chicago, Enrico Fermi Inst, Kavli Inst Cosmol Phys, Dept Phys, 5640 S Ellis Ave, Chicago, IL 60637 USA.</t>
  </si>
  <si>
    <t>cozzyd@kicp.uchicago.edu</t>
  </si>
  <si>
    <t>Chen, Pisin/IAO-8769-2023; Beatty, James/D-9310-2011; Nichol, Ryan/C-1645-2008; Alvarez-Muniz, Jaime/H-1857-2015; zas, enrique/I-5556-2015</t>
  </si>
  <si>
    <t>Chen, Pisin/0000-0001-5251-7210; Beatty, James/0000-0003-0481-4952; Nichol, Ryan/0000-0003-0557-0443; Alvarez-Muniz, Jaime/0000-0002-2367-0803; Southall, Daniel/0000-0002-7577-6095; Ammerman-Yebra, Juan/0000-0002-2059-6206; Allison, Patrick/0000-0001-8141-2653; Hughes, Kaeli/0000-0002-4551-9581; Wissel, Stephanie/0000-0003-0569-6978; Gorham, Peter/0000-0002-0923-9363; Zeolla, Andrew/0000-0002-9663-2082; Smith, Daniel/0000-0001-6307-4072; Deaconu, Cosmin/0000-0002-4953-6397; Cremonesi, Linda/0000-0003-0711-1056</t>
  </si>
  <si>
    <t>NASA [80NSSC20K0775]; Kavli Institute for Cosmological Physics at the University of Chicago; Center for Cosmology and AstroParticle Physics at The Ohio State University</t>
  </si>
  <si>
    <t>NASA(National Aeronautics &amp; Space Administration (NASA)); Kavli Institute for Cosmological Physics at the University of Chicago(University of Chicago); Center for Cosmology and AstroParticle Physics at The Ohio State University(Ohio State University)</t>
  </si>
  <si>
    <t>Development of the PUEO concept is supported by NASA grant 80NSSC20K0775. This work was supported by the Kavli Institute for Cosmological Physics at the University of Chicago and the Center for Cosmology and AstroParticle Physics at The Ohio State University. Computing resources were provided by the Research Computing Center at the University of Chicago.</t>
  </si>
  <si>
    <t>IOP Publishing Ltd</t>
  </si>
  <si>
    <t>BRISTOL</t>
  </si>
  <si>
    <t>TEMPLE CIRCUS, TEMPLE WAY, BRISTOL BS1 6BE, ENGLAND</t>
  </si>
  <si>
    <t>1748-0221</t>
  </si>
  <si>
    <t>J INSTRUM</t>
  </si>
  <si>
    <t>J. Instrum.</t>
  </si>
  <si>
    <t>10.1088/1748-0221/16/08/P08035</t>
  </si>
  <si>
    <t>Instruments &amp; Instrumentation</t>
  </si>
  <si>
    <t>UR5QX</t>
  </si>
  <si>
    <t>Green Submitted, Green Accepted</t>
  </si>
  <si>
    <t>WOS:000696805000004</t>
  </si>
  <si>
    <t>Jagoda, M</t>
  </si>
  <si>
    <t>Jagoda, Marcin</t>
  </si>
  <si>
    <t>Determination of Motion Parameters of Selected Major Tectonic Plates Based on GNSS Station Positions and Velocities in the ITRF2014</t>
  </si>
  <si>
    <t>SENSORS</t>
  </si>
  <si>
    <t>GNSS stations; tectonic plate motion parameters; ITRF</t>
  </si>
  <si>
    <t>SERVICE; MODEL; DORIS</t>
  </si>
  <si>
    <t>Current knowledge about tectonic plate movement is widely applied in numerous scientific fields; however, questions still remain to be answered. In this study, the focus is on the determination and analysis of the parameters that describe tectonic plate movement, i.e., the position (phi and ?) of the rotation pole and angular rotation speed (omega). The study was based on observational material, namely the positions and velocities of the GNSS stations in the International Terrestrial Reference Frame 2014 (ITRF2014), and based on these data, the motion parameters of five major tectonic plates were determined. All calculations were performed using software based on a least squares adjustment procedure that was developed by the author. The following results were obtained: for the African plate, phi = 49.15 +/- 0.10 degrees, ? = -80.82 +/- 0.30 degrees, and omega = 0.267 +/- 0.001 degrees/Ma; for the Australian plate, phi = 32.94 +/- 0.05 degrees, ? = 37.70 +/- 0.12 degrees, and omega = 0.624 +/- 0.001 degrees/Ma; for the South American plate, phi = -19.03 +/- 0.20 degrees, ? = -119.78 +/- 0.39 degrees, and omega = 0.117 +/- 0.001 degrees/Ma; for the Pacific plate, phi = -62.45 +/- 0.07 degrees, ? = 111.01 +/- 0.14 degrees, and omega = 0.667 +/- 0.001 degrees/Ma; and for the Antarctic plate, phi = 61.54 +/- 0.30 degrees, ? = -123.01 +/- 0.49 degrees, and omega = 0.241 +/- 0.003 degrees/Ma. Then, the results were compared with the geological plate motion model NNR-MORVEL56 and the geodetic model ITRF2014 PMM, with good agreement. In the study, a new approach is proposed for determining plate motion parameters, namely the sequential method. This method allows one to optimize the data by determining the minimum number of stations required for a stable solution and by identifying the stations that negatively affect the quality of the solution and increase the formal errors of the determined parameters. It was found that the stability of the solutions of the phi, ?, and omega parameters varied depending on the parameters and the individual tectonic plates.</t>
  </si>
  <si>
    <t>[Jagoda, Marcin] Koszalin Univ Technol, Fac Civil Engn Environm &amp; Geodet Sci, Sniadeckich 2, PL-75453 Koszalin, Poland</t>
  </si>
  <si>
    <t>Koszalin University of Technology</t>
  </si>
  <si>
    <t>Jagoda, M (corresponding author), Koszalin Univ Technol, Fac Civil Engn Environm &amp; Geodet Sci, Sniadeckich 2, PL-75453 Koszalin, Poland.</t>
  </si>
  <si>
    <t>marcin.jagoda@tu.koszalin.pl</t>
  </si>
  <si>
    <t>Jagoda, Marcin/AFV-2251-2022</t>
  </si>
  <si>
    <t>Jagoda, Marcin/0000-0001-8073-6242</t>
  </si>
  <si>
    <t>1424-8220</t>
  </si>
  <si>
    <t>SENSORS-BASEL</t>
  </si>
  <si>
    <t>Sensors</t>
  </si>
  <si>
    <t>10.3390/s21165342</t>
  </si>
  <si>
    <t>Chemistry, Analytical; Engineering, Electrical &amp; Electronic; Instruments &amp; Instrumentation</t>
  </si>
  <si>
    <t>Chemistry; Engineering; Instruments &amp; Instrumentation</t>
  </si>
  <si>
    <t>UH7DP</t>
  </si>
  <si>
    <t>WOS:000690086900001</t>
  </si>
  <si>
    <t>Chornogubsky, L</t>
  </si>
  <si>
    <t>Chornogubsky, Laura</t>
  </si>
  <si>
    <t>Interrelationships of Polydolopidae (Mammalia: Marsupialia) from South America and Antarctica</t>
  </si>
  <si>
    <t>ZOOLOGICAL JOURNAL OF THE LINNEAN SOCIETY</t>
  </si>
  <si>
    <t>Caenozoic; Metatheria; Palaeogene; sytematics</t>
  </si>
  <si>
    <t>NEW-AGE CONSTRAINTS; ANDEAN MAIN RANGE; MIDDLE EOCENE; ARGENTINA IMPLICATIONS; PATAGONIA; HISTORY; ORIGIN</t>
  </si>
  <si>
    <t>Polydolopidae is a family of Palaeogene marsupials recorded from outcrops in southern South America and the Antarctic Peninsula. They are mostly represented by skull fragments or maxillary, dentary and molar remains. A taxonomic and systematic revision is carried out with the inclusion of a phylogenetic analysis encompassing almost every polydolopid species and five marsupial species found to be related to them in previous analyses (Bonapartherium hinakusijum, Epidolops ameghinoi, Microbiotherium tehuelchum, Prepidolops didelphoides and Roberthoffstetteria nationalgeographica). The Polydolopidae was recovered as a monophyletic group, even though no resolution about its sister-group can be found. The following genera are recovered: Antarctodolops, Amphidolops, Archaeodolops, Eudolops, Hypodolops gen. nov., Kramadolops, Pliodolops, Pseud olops and two unidentified genera (Gen. et sp. indet 1 and 2). One genus and three new species are recognized. The family appeared at the beginning of the Palaeocene and disappeared during the Early Oligocene. The extinction of the group could be related to climatic deterioration in the Early Oligocene, when temperature and the humidity dropped, provoking desertification in the region where Polydolopids evolved.</t>
  </si>
  <si>
    <t>[Chornogubsky, Laura] Consejo Nacl Invest Cient &amp; Tecn, Museo Argentino Ciencias Nat Bernardino Rivadavia, Secc Paleontol Vertebrados, Av Angel Gallardo 470,C1405DJR, Buenos Aires, DF, Argentina</t>
  </si>
  <si>
    <t>Museo Argentino de Ciencias Naturales Bernardino Rivadavia (MACN); Consejo Nacional de Investigaciones Cientificas y Tecnicas (CONICET)</t>
  </si>
  <si>
    <t>Chornogubsky, L (corresponding author), Consejo Nacl Invest Cient &amp; Tecn, Museo Argentino Ciencias Nat Bernardino Rivadavia, Secc Paleontol Vertebrados, Av Angel Gallardo 470,C1405DJR, Buenos Aires, DF, Argentina.</t>
  </si>
  <si>
    <t>lchorno@macn.gov.ar</t>
  </si>
  <si>
    <t>Chornogubsky, Laura/0000-0003-2420-8271</t>
  </si>
  <si>
    <t>Agencia Nacional de Promocion Cientifica y Tecnologica, Argentina [PICT 2012-0340, PICT 201-0508]; CONICET [PUE 22920160100098]</t>
  </si>
  <si>
    <t>Agencia Nacional de Promocion Cientifica y Tecnologica, Argentina(ANPCyT); CONICET(Consejo Nacional de Investigaciones Cientificas y Tecnicas (CONICET))</t>
  </si>
  <si>
    <t>I wish to acknowledge the three anonymous reviewers and the editor for their most appreciated observations that greatly improved the manuscript. I also want to thank the Instituto Antartico Argentino. I thank F. J. Goin for introducing me into the wonderful world of Metatheria. To the Willi Hennig Society for provide the free software TNT, and all the curators and museum personnel who allowed me to study specimens in their care: M. Tejedor and L. Gonzalez Ruiz (LIEB); C. de Muizon and S. Ladeveze (MNHN); M. Reguero (MLP), A. G. Kramarz (MACN); J. Flynn, J. Meng and J. Galkin (AMNH); W. F. Simpson and P. Makovicky (FMNH); D. Henriques and L. Cruz (MN-UFRJ); R. da Rocha Machado and I. T. Yamamoto (DNPM). Also M. Tomeo for her advice in making some of the figures. R. Urrejola, P. Sarmiento and F. Tricarico kindly assisted with the scanning electron micrographies. L. Avilla, D. Mothe and L. Bergqvist assisted me during my stay in Rio de Janeiro, and I. Sena in New York. This research was supported by the Agencia Nacional de Promocion Cientifica y Tecnologica, Argentina (PICT 2012-0340, PICT 201-0508) and CONICET (PUE 22920160100098).</t>
  </si>
  <si>
    <t>OXFORD UNIV PRESS</t>
  </si>
  <si>
    <t>GREAT CLARENDON ST, OXFORD OX2 6DP, ENGLAND</t>
  </si>
  <si>
    <t>0024-4082</t>
  </si>
  <si>
    <t>1096-3642</t>
  </si>
  <si>
    <t>ZOOL J LINN SOC-LOND</t>
  </si>
  <si>
    <t>Zool. J. Linn. Soc.</t>
  </si>
  <si>
    <t>10.1093/zoolinnean/zlaa143</t>
  </si>
  <si>
    <t>Zoology</t>
  </si>
  <si>
    <t>UN0UP</t>
  </si>
  <si>
    <t>Bronze, Green Published</t>
  </si>
  <si>
    <t>WOS:000693738800009</t>
  </si>
  <si>
    <t>Shabanov, NV; Marshall, GJ; Rees, WG; Bartalev, SA; Tutubalina, OV; Golubeva, EI</t>
  </si>
  <si>
    <t>Shabanov, N., V; Marshall, G. J.; Rees, W. G.; Bartalev, S. A.; Tutubalina, O., V; Golubeva, E., I</t>
  </si>
  <si>
    <t>Climate-driven phenological changes in the Russian Arctic derived from MODIS LAI time series 2000-2019</t>
  </si>
  <si>
    <t>ENVIRONMENTAL RESEARCH LETTERS</t>
  </si>
  <si>
    <t>Arctic warming; climate-vegetation interaction; phenology change; seasonal LAI profile trends; tundra-forest ecotone; MODIS</t>
  </si>
  <si>
    <t>LEAF-AREA INDEX; NORTHERN-HEMISPHERE; HIGH-LATITUDES; LAND-SURFACE; VEGETATION; TEMPERATURE; SEASONALITY; SENSITIVITY; ALGORITHM; AMERICA</t>
  </si>
  <si>
    <t>Arctic surface temperature has increased at approximately twice the global rate over the past few decades and is also projected to warm most in the 21st century. However, the mechanism of Arctic vegetation response to this warming remains largely uncertain. Here, we analyse variations in the seasonal profiles of MODerate resolution Imaging Spectroradiometer Leaf Area Index (LAI) and ERA-interim cumulative near-Surface Air Temperature (SAT(sigma)) over the northern Russia, north of 60 degrees N for 2000-2019. We find that commonly used broad temporal interval (seasonal) trends cannot fully represent complex interannual variations of the LAI profile over the growing season. A sequence of narrow temporal interval (weekly) LAI trends form an inverted S-shape over the course of the growing season with enhanced green-up and senescence, but balanced during the growing season's peak. Spatial patterns of weekly LAI trends match with those of weekly SAT(sigma) trends during the green-up, while the drivers of the browning trends during senescence remain unclear. Geographically the area with the statistically significant temperature-driven enhanced green-up is restricted by a large patch carrying significant positive SAT(sigma) trends, which includes North Siberian Lowland, Taimyr, Yamal and adjacent territories. The strength, duration and timing of the changes depend on vegetation type: enhanced green-up is most pronounced in tundra, while enhanced senescence is pronounced in forests. Continued release of the climatic constraints will likely increase the capacity both of the environment (i.e. permafrost thawing) and vegetation (i.e. appearance of more productive woody species), and transform LAI seasonal shifts to change of LAI seasonal amplitude.</t>
  </si>
  <si>
    <t>[Shabanov, N., V; Bartalev, S. A.] Russian Acad Sci, Space Res Inst, Moscow, Russia; [Marshall, G. J.] NERC, British Antarctic Survey, Cambridge, England; [Rees, W. G.] Univ Cambridge, Scott Polar Res Inst, Cambridge, England; [Tutubalina, O., V; Golubeva, E., I] Moscow MV Lomonosov State Univ, Dept Geog, Moscow, Russia</t>
  </si>
  <si>
    <t>Russian Academy of Sciences; Space Research Institute of the Russian Academy of Sciences; UK Research &amp; Innovation (UKRI); Natural Environment Research Council (NERC); NERC British Antarctic Survey; University of Cambridge; Lomonosov Moscow State University</t>
  </si>
  <si>
    <t>Shabanov, NV (corresponding author), Russian Acad Sci, Space Res Inst, Moscow, Russia.</t>
  </si>
  <si>
    <t>nikolay.shabanov@d902.iki.rssi.ru</t>
  </si>
  <si>
    <t>Tutubalina, Olga V/ABX-1958-2022; Shabanov, Nikolay Vladimirovitch/JNE-8163-2023; Rees, William Gareth/AAM-9701-2020; Bartalev, Sergey/A-4070-2014</t>
  </si>
  <si>
    <t>Tutubalina, Olga V/0000-0001-8049-1724; Shabanov, Nikolay Vladimirovitch/0000-0003-2665-4523; Rees, William Gareth/0000-0001-6020-1232; Marshall, Gareth/0000-0001-8887-7314; Golubeva, Elena/0000-0001-9595-5974; Bartalev, Sergey/0000-0001-6596-1732</t>
  </si>
  <si>
    <t>British-Russian project 'Multiplatform remote sensing of the impact of climate change on the northern forests of Russia' - Ministry of Science and Higher Education of the Russian Federation [RFMEFI61618X0099]; British Council [352397111]; Russian Science Foundation [19-77-30015]; IKI of RAS 'Monitoring' program [01.20.0.2.00164]; NERC [bas0100032] Funding Source: UKRI</t>
  </si>
  <si>
    <t>British-Russian project 'Multiplatform remote sensing of the impact of climate change on the northern forests of Russia' - Ministry of Science and Higher Education of the Russian Federation; British Council(The British Council in India); Russian Science Foundation(Russian Science Foundation (RSF)); IKI of RAS 'Monitoring' program; NERC(UK Research &amp; Innovation (UKRI)Natural Environment Research Council (NERC))</t>
  </si>
  <si>
    <t>This work has been performed under software release agreement with NASA Goddard Space Flight Center (GSFC). The authors thank Dr S Devadiga at NASA GSFC for providing the code of the NASA MODIS LAI algorithm.; We also thank two anonymous reviewers for valuable suggestions on the statistical analysis and stimulating discussion of various concepts of the study.; The research was undertaken under the auspices of the British-Russian project `Multiplatform remote sensing of the impact of climate change on the northern forests of Russia', funded by the Ministry of Science and Higher Education of the Russian Federation (project RFMEFI61618X0099) and the British Council (Grant No. 352397111). Time series of landcover and LAI products utilized in this study were developed under support of the Russian Science Foundation (Project No. 19-77-30015). Data processing has been performed using computing cluster `IKI-Monitoring' supported through IKI of RAS `Monitoring' program (State Registration No. 01.20.0.2.00164).</t>
  </si>
  <si>
    <t>1748-9326</t>
  </si>
  <si>
    <t>ENVIRON RES LETT</t>
  </si>
  <si>
    <t>Environ. Res. Lett.</t>
  </si>
  <si>
    <t>10.1088/1748-9326/ac0be2</t>
  </si>
  <si>
    <t>TM5UK</t>
  </si>
  <si>
    <t>WOS:000675616500001</t>
  </si>
  <si>
    <t>Åström, J; Cook, S; Enderlin, EM; Sutherland, DA; Mazur, A; Glasser, N</t>
  </si>
  <si>
    <t>Astrom, Jan; Cook, Sue; Enderlin, Ellyn M.; Sutherland, David A.; Mazur, Aleksandra; Glasser, Neil</t>
  </si>
  <si>
    <t>Fragmentation theory reveals processes controlling iceberg size distributions</t>
  </si>
  <si>
    <t>JOURNAL OF GLACIOLOGY</t>
  </si>
  <si>
    <t>Ice; ocean interactions; iceberg calving; icebergs; ice shelf break-up</t>
  </si>
  <si>
    <t>ICE-SHELF; MELT RATES; GREENLAND; GLACIERS; FRACTURE; CAPSIZE; TOTTEN; MODEL; DYNAMICS; DRIVEN</t>
  </si>
  <si>
    <t>Iceberg calving strongly controls glacier mass loss, but the fracture processes leading to iceberg formation are poorly understood due to the stochastic nature of calving. The size distributions of icebergs produced during the calving process can yield information on the processes driving calving and also affect the timing, magnitude, and spatial distribution of ocean fresh water fluxes near glaciers and ice sheets. In this study, we apply fragmentation theory to describe key calving behaviours, based on observational and modelling data from Greenland and Antarctica. In both regions, iceberg calving is dominated by elastic-brittle fracture processes, where distributions contain both exponential and power law components describing large-scale uncorrelated fracture and correlated branching fracture, respectively. Other size distributions can also be observed. For Antarctic icebergs, distributions change from elastic-brittle type during 'stable' calving to one dominated by grinding or crushing during ice shelf disintegration events. In Greenland, we find that iceberg fragment size distributions evolve from an initial elastic-brittle type distribution near the calving front, into a steeper grinding/crushing-type power law along-fjord. These results provide an entirely new framework for understanding controls on iceberg calving and how calving may react to climate forcing.</t>
  </si>
  <si>
    <t>[Astrom, Jan] CSC IT Ctr Sci, FI-02101 Espoo, Finland; [Cook, Sue] Univ Tasmania, Inst Marine &amp; Antarctic Studies, Hobart, Tas, Australia; [Enderlin, Ellyn M.] Boise State Univ, Dept Geosci, Boise, ID 83725 USA; [Sutherland, David A.] Univ Oregon, Dept Earth Sci, Eugene, OR 97403 USA; [Mazur, Aleksandra] Univ Gothenburg, Dept Marine Sci, Gothenburg, Sweden; [Glasser, Neil] Aberystwyth Univ, Dept Geog &amp; Earth Sci, Ctr Glaciol, Aberystwyth SY23 3DB, Dyfed, Wales</t>
  </si>
  <si>
    <t>University of Tasmania; Idaho; Boise State University; University of Oregon; University of Gothenburg; Aberystwyth University</t>
  </si>
  <si>
    <t>Cook, S (corresponding author), Univ Tasmania, Inst Marine &amp; Antarctic Studies, Hobart, Tas, Australia.</t>
  </si>
  <si>
    <t>sue.cook@utas.edu.au</t>
  </si>
  <si>
    <t>Cook, Sue/E-8390-2018</t>
  </si>
  <si>
    <t>Enderlin, Ellyn/0000-0002-8266-7719</t>
  </si>
  <si>
    <t>CSC - IT Center for Science Ltd. [m68]; Australian Government's Business Cooperative Research Centres Programme through the Antarctic Climate and Ecosystems Cooperative Research Centre (ACE CRC); Australian Research Council [SR140300001]; Australian Government, Antarctic Science Collaboration Initiative program; Australian Research Council [SR140300001] Funding Source: Australian Research Council</t>
  </si>
  <si>
    <t>CSC - IT Center for Science Ltd.; Australian Government's Business Cooperative Research Centres Programme through the Antarctic Climate and Ecosystems Cooperative Research Centre (ACE CRC)(Australian GovernmentDepartment of Industry, Innovation and ScienceCooperative Research Centres (CRC) Programme); Australian Research Council(Australian Research Council); Australian Government, Antarctic Science Collaboration Initiative program(Australian Government); Australian Research Council(Australian Research Council)</t>
  </si>
  <si>
    <t>Computing resources were provided by CSC -IT Center for Science Ltd. and National Computational Infrastructure grant m68. Imagery from Formosat-2 was provided through the NATO Support and Procurement Organisation in consultation with Dr Chen-Chien Liu. This work was supported by the Australian Government's Business Cooperative Research Centres Programme through the Antarctic Climate and Ecosystems Cooperative Research Centre (ACE CRC) and the Australian Research Council's Special Research Initiative for the Antarctic Gateway Partnership (project ID SR140300001). During this publication, Sue Cook received support from the Australian Government as part of the Antarctic Science Collaboration Initiative program. Antarctic iceberg data are available at: https://doi.org/10.25959/5e41d14444c88.Greenland iceberg data available on request from the authors.</t>
  </si>
  <si>
    <t>CAMBRIDGE</t>
  </si>
  <si>
    <t>EDINBURGH BLDG, SHAFTESBURY RD, CB2 8RU CAMBRIDGE, ENGLAND</t>
  </si>
  <si>
    <t>0022-1430</t>
  </si>
  <si>
    <t>1727-5652</t>
  </si>
  <si>
    <t>J GLACIOL</t>
  </si>
  <si>
    <t>J. Glaciol.</t>
  </si>
  <si>
    <t>PII S0022143021000149</t>
  </si>
  <si>
    <t>10.1017/jog.2021.14</t>
  </si>
  <si>
    <t>TE5DC</t>
  </si>
  <si>
    <t>WOS:000670030500003</t>
  </si>
  <si>
    <t>Hillebrand, TR; Conway, H; Koutnik, M; Martín, C; Paden, J; Winberry, JP</t>
  </si>
  <si>
    <t>Hillebrand, Trevor R.; Conway, Howard; Koutnik, Michelle; Martin, Carlos; Paden, John; Winberry, J. Paul</t>
  </si>
  <si>
    <t>Radio-echo sounding and waveform modeling reveal abundant marine ice in former rifts and basal crevasses within Crary Ice Rise, Antarctica</t>
  </si>
  <si>
    <t>Antarctic glaciology; crevasses; ice rise; ice shelves; radio-echo sounding</t>
  </si>
  <si>
    <t>WEST ANTARCTICA; GROUNDING ZONE; SHELF; RADAR; STREAM; SURFACE; BENEATH; FIRN; PROPAGATION; VARIABILITY</t>
  </si>
  <si>
    <t>Crary Ice Rise formed after the Ross Ice Shelf re-grounded similar to 1 kyr BP. We present new ice-penetrating radar data from two systems operating at center frequencies of 7 and 750 MHz that confirm the ice rise is composed of a former ice shelf buried by subsequent accumulation. Stacks of englacial diffraction hyperbolas are present almost everywhere across the central ice rise and extend up to similar to 350 m above the bed. In many cases, bed reflections beneath the diffraction hyperbolas are obscured for distances up to 1 km. Waveform modeling indicates that the diffraction hyperbolas are likely caused by marine ice deposits in former basal crevasses and rifts. The in-filling of rifts and basal crevasses may have strengthened the connection between the ice rise and the surrounding ice shelf, which could have influenced local and regional ice dynamics. Three internal reflection horizons mark the upper limit of disturbed ice and diffraction hyperbolas in different sections of the ice rise, indicating at least three stages of flow stabilization across the ice rise. A surface lineation visible in MODIS imagery corresponds spatially to deepening and strong deformation of these layers, consistent with the characteristics of former grounding lines observed elsewhere in Antarctica.</t>
  </si>
  <si>
    <t>[Hillebrand, Trevor R.; Conway, Howard; Koutnik, Michelle] Univ Washington, Dept Earth &amp; Space Sci, Seattle, WA 98195 USA; [Martin, Carlos] British Antarctic Survey, Cambridge, England; [Paden, John] Univ Kansas, Ctr Remote Sensing Ice Sheets, Lawrence, KS 66045 USA; [Winberry, J. Paul] Cent Washington Univ, Dept Geol Sci, Ellensburg, WA USA; [Hillebrand, Trevor R.] Los Alamos Natl Lab, Fluid Dynam &amp; Solid Mech, Los Alamos, NM 87545 USA</t>
  </si>
  <si>
    <t>University of Washington; University of Washington Seattle; UK Research &amp; Innovation (UKRI); Natural Environment Research Council (NERC); NERC British Antarctic Survey; University of Kansas; Central Washington University; United States Department of Energy (DOE); Los Alamos National Laboratory</t>
  </si>
  <si>
    <t>Hillebrand, TR (corresponding author), Univ Washington, Dept Earth &amp; Space Sci, Seattle, WA 98195 USA.;Hillebrand, TR (corresponding author), Los Alamos Natl Lab, Fluid Dynam &amp; Solid Mech, Los Alamos, NM 87545 USA.</t>
  </si>
  <si>
    <t>trhille@lanl.gov</t>
  </si>
  <si>
    <t>Winberry, Paul/HLQ-2673-2023</t>
  </si>
  <si>
    <t>Winberry, Paul/0000-0003-1205-0745; Hillebrand, Trevor/0000-0003-3535-1540; Conway, Howard/0000-0003-4634-3474</t>
  </si>
  <si>
    <t>NSF [ACI-1443054, 1443356, 1443552]; State of Kansas; NASA [NNX16AH54 G]; UNAVCO; Directorate For Geosciences; Office of Polar Programs (OPP) [1443356] Funding Source: National Science Foundation; Office of Polar Programs (OPP); Directorate For Geosciences [1443552] Funding Source: National Science Foundation</t>
  </si>
  <si>
    <t>NSF(National Science Foundation (NSF)); State of Kansas; NASA(National Aeronautics &amp; Space Administration (NASA)); UNAVCO;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</si>
  <si>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by NSF grant 1443356 to H.C. and M.K., and grant 1443552 to J.P.W. We thank Maurice Conway and Jade Cooley for assistance in the field. We also thank Antarctic Support Contract, the Air National Guard and Ken Borek Air for logistical support. The Polar Geospatial Center provided high-resolution images for planning our fieldwork. The 750 MHz UHF radar system was provided by CReSIS; we also acknowledge the use of their software, which was generated with support from the State of Kansas, NASA grant NNX16AH54 G and NSF grant ACI-1443054. UNAVCO provided GPS equipment and support. We thank Nick Holschuh, Knut Christianson, John Stone, Ed Waddington, Joseph MacGregor, Jonathan Kingslake and Martin Wearing for fruitful discussions, and Richard Hindmarsh for motivating and guiding aspects of this study. We also thank Bernd Kulessa, Frank Pattyn and two anonymous reviewers for insights and suggestions that greatly improved this manuscript. UW 7MHz and CReSIS 750MHz radar data and metadata are available at US Antarctic Program Data Center page: http://www.usap-dc.org/view/project/p0010026.</t>
  </si>
  <si>
    <t>PII S0022143021000174</t>
  </si>
  <si>
    <t>10.1017/jog.2021.17</t>
  </si>
  <si>
    <t>Green Accepted, gold, Green Submitted, Green Published</t>
  </si>
  <si>
    <t>WOS:000670030500006</t>
  </si>
  <si>
    <t>Holobâca, IH; Tielidze, LG; Ivan, K; Elizbarashvili, M; Alexe, M; Germain, D; Petrescu, SH; Pop, OT; Gaprindashvili, G</t>
  </si>
  <si>
    <t>Holobaca, Iulian-Horia; Tielidze, Levan G.; Ivan, Kinga; Elizbarashvili, Mariam; Alexe, Mircea; Germain, Daniel; Petrescu, Sorin Hadrian; Pop, Olimpiu Traian; Gaprindashvili, George</t>
  </si>
  <si>
    <t>Multi-sensor remote sensing to map glacier debris cover in the Greater Caucasus, Georgia</t>
  </si>
  <si>
    <t>Chalaati Glacier; coherence; debris cover; Greater Caucasus; optical remote sensing; SAR; Ushba Glacier</t>
  </si>
  <si>
    <t>MASS-BALANCE; INVENTORY; LANDSAT; IMAGES; BASIN; ALPS; DELINEATION; MOUNTAINS; RISE; AREA</t>
  </si>
  <si>
    <t>Global warming is causing glaciers in the Caucasus Mountains and around the world to lose mass at an accelerated pace. As a result of this rapid retreat, significant parts of the glacierized surface area can be covered with debris deposits, often making them indistinguishable from the surrounding land surface by optical remote-sensing systems. Here, we present the DebCovG-carto toolbox to delineate debris-covered and debris-free glacier surfaces from non-glacierized regions. The algorithm uses synthetic aperture radar-derived coherence images and the normalized difference snow index applied to optical satellite data. Validating the remotely-sensed boundaries of Ushba and Chalaati glaciers using field GPS data demonstrates that the use of pairs of Sentinel-1 images (2019) from identical ascending and descending orbits can substantially improve debris-covered glacier surface detection. The DebCovG-carto toolbox leverages multiple orbits to automate the mapping of debris-covered glacier surfaces. This new automatic method offers the possibility of quickly correcting glacier mapping errors caused by the presence of debris and makes automatic mapping of glacierized surfaces considerably faster than the use of other subjective methods.</t>
  </si>
  <si>
    <t>[Holobaca, Iulian-Horia; Ivan, Kinga; Alexe, Mircea] Babes Bolyai Univ, Fac Geog, GeoTomLab, Cluj Napoca, Romania; [Tielidze, Levan G.] Victoria Univ Wellington, Antarctic Res Ctr, Wellington, New Zealand; [Tielidze, Levan G.] Victoria Univ Wellington, Sch Geog Environm &amp; Earth Sci, Wellington, New Zealand; [Elizbarashvili, Mariam; Gaprindashvili, George] Ivane Javakhishvili Tbilisi State Univ, Fac Exact &amp; Nat Sci, Dept Geog, Tbilisi, Georgia; [Germain, Daniel] Univ Quebec Montreal, Dept Geog, Montreal, PQ, Canada; [Petrescu, Sorin Hadrian] Babes Bolyai Univ, Fac Geog, Cluj Napoca, Romania; [Pop, Olimpiu Traian] Babes Bolyai Univ, Fac Geog, GeoDendroLab, Cluj Napoca, Romania; [Gaprindashvili, George] Natl Environm Agcy, Dept Geol, Disaster Proc Engn Geol &amp; Geoecol Div, Tbilisi, Georgia</t>
  </si>
  <si>
    <t>Babes Bolyai University from Cluj; Victoria University Wellington; Victoria University Wellington; Ivane Javakhishvili Tbilisi State University; University of Quebec; University of Quebec Montreal; Babes Bolyai University from Cluj; Babes Bolyai University from Cluj</t>
  </si>
  <si>
    <t>Alexe, M (corresponding author), Babes Bolyai Univ, Fac Geog, GeoTomLab, Cluj Napoca, Romania.</t>
  </si>
  <si>
    <t>mircea.alexe@ubbcluj.ro</t>
  </si>
  <si>
    <t>Pop, Olimpiu Traian/AAQ-9822-2020; Holobaca, Iulian-Horia/K-4654-2013; Temerdek-Ivan, Kinga/HOF-6216-2023; ALEXE, MIRCEA/ABG-2843-2020; Gaprindashvili, George/K-4746-2018; Tielidze, Levan G/E-2690-2018</t>
  </si>
  <si>
    <t>Pop, Olimpiu Traian/0000-0003-0125-8911; Holobaca, Iulian-Horia/0000-0002-6170-1287; Temerdek-Ivan, Kinga/0000-0002-0549-1625; Gaprindashvili, George/0000-0001-6869-9477; Tielidze, Levan G/0000-0002-4646-5458</t>
  </si>
  <si>
    <t>Babes-Bolyai University</t>
  </si>
  <si>
    <t>The publication of this paper was supported by the 2020 Development Fund of the Babes-Bolyai University.</t>
  </si>
  <si>
    <t>PII S0022143021000472</t>
  </si>
  <si>
    <t>10.1017/jog.2021.47</t>
  </si>
  <si>
    <t>WOS:000670030500009</t>
  </si>
  <si>
    <t>Smellie, JL; Panter, KS</t>
  </si>
  <si>
    <t>Smellie, J. L.; Panter, K. S.</t>
  </si>
  <si>
    <t>Lithofacies and eruptive conditions of the southernmost volcanoes in the world (87° S)</t>
  </si>
  <si>
    <t>BULLETIN OF VOLCANOLOGY</t>
  </si>
  <si>
    <t>Transantarctic Mountains; Surtseyan; Glaciovolcanism; Ice stream; Pluvial lake; Miocene</t>
  </si>
  <si>
    <t>ANTARCTIC ICE-SHEET; MARIE-BYRD LAND; CHEMICAL CLASSIFICATION; ACCRETIONARY LAPILLI; SURTSEYAN VOLCANO; DENSITY CURRENTS; ISLAND; PENINSULA; ICELAND; MOUNTAINS</t>
  </si>
  <si>
    <t>Neogene volcanic centres are uncommon in the Transantarctic Mountains but at least three basaltic examples occur within 300 km of South Pole, above 2200 m asl and inland of the margin of the West Antarctic Rift System. They are the southernmost volcanoes on Earth and have yielded Early-mid Miocene isotopic ages. Two of the centres, at Mt Early and Sheridan Bluff, have been examined. The centre at Mt Early is unequivocally glaciovolcanic. It formed a tall monogenetic volcanic edifice at least 1 km high and &gt; 1.5 km in diameter. It erupted under significantly thicker-than-modern ice, which was probably a fast-moving ice stream at the eruptive site and resulted in a distinctive constructive architecture and lithofacies. It is the first described example of a glaciovolcano erupted beneath an ice stream. The characteristics of the second centre at Sheridan Bluff indicate that it was also a monogenetic volcano but with a shield-like profile, originally c. 6 km in basal diameter but just c. 400 m high. It probably erupted in a substantial pluvial lake in an ice-poor or ice-free environment. The strongly contrasting eruptive settings now identified by the volcanic sequences at both centres examined testify to a highly dynamic Antarctic Ice Sheet during the Early-mid Miocene.</t>
  </si>
  <si>
    <t>[Smellie, J. L.] Univ Leicester, Sch Geog Geol &amp; Environm, Leicester LE1 7RH, Leics, England; [Panter, K. S.] Bowling Green State Univ, Sch Earth Environm &amp; Soc, Bowling Green, OH 43403 USA</t>
  </si>
  <si>
    <t>University of Leicester; University System of Ohio; Bowling Green State University</t>
  </si>
  <si>
    <t>Panter, Kurt S./0000-0002-0990-5880</t>
  </si>
  <si>
    <t>0258-8900</t>
  </si>
  <si>
    <t>1432-0819</t>
  </si>
  <si>
    <t>B VOLCANOL</t>
  </si>
  <si>
    <t>Bull. Volcanol.</t>
  </si>
  <si>
    <t>10.1007/s00445-021-01475-y</t>
  </si>
  <si>
    <t>TE2ZJ</t>
  </si>
  <si>
    <t>WOS:000669883700001</t>
  </si>
  <si>
    <t>Servetto, N; de Aranzamendi, MC; Bettencourt, R; Held, C; Abele, D; Movilla, J; González, G; Bustos, DM; Sahade, R</t>
  </si>
  <si>
    <t>Servetto, N.; de Aranzamendi, M. C.; Bettencourt, R.; Held, C.; Abele, D.; Movilla, J.; Gonzalez, G.; Bustos, D. M.; Sahade, R.</t>
  </si>
  <si>
    <t>Molecular mechanisms underlying responses of the Antarctic coral Malacobelemnon daytoni to ocean acidification</t>
  </si>
  <si>
    <t>MARINE ENVIRONMENTAL RESEARCH</t>
  </si>
  <si>
    <t>Ocean acidification; Coral Malacobelemnon daytoni; Antarctica; Gene expression</t>
  </si>
  <si>
    <t>SOLUBLE ADENYLYL-CYCLASE; KING GEORGE ISLAND; MYTILUS-GALLOPROVINCIALIS; ACROPORA-MILLEPORA; SEAWATER ACIDIFICATION; MARINE-INVERTEBRATES; CARBONIC-ANHYDRASES; ANTIOXIDANT ENZYMES; SATURATION STATE; SOUTHERN-OCEAN</t>
  </si>
  <si>
    <t>Benthic organisms of the Southern Ocean are particularly vulnerable to ocean acidification (OA), as they inhabit cold waters where calcite-aragonite saturation states are naturally low. OA most strongly affects animals with calcium carbonate skeletons or shells, such as corals and mollusks. We exposed the abundant cold-water coral Malacobelemnon daytoni from an Antarctic fjord to low pH seawater (LpH) (7.68 +/- 0.17) to test its physiological responses to OA, at the level of gene expression (RT-PCR) and enzyme activity. Corals were exposed in short- (3 days) and long-term (54 days) experiments to two pCO(2) conditions (ambient and elevated pCO(2) equaling RCP 8.5, IPCC 2019, approximately 372.53 and 956.78 mu atm, respectively). Of the eleven genes studied through RT-PCR, six were significantly upregulated compared with control in the short-term in the LpH condition, including the antioxidant enzyme superoxide dismutase (SOD), Heat Shock Protein 70 (HSP70), Toll-like receptor (TLR), galaxin and ferritin. After long-term exposure to low pH conditions, RT-PCR analysis showed seven genes were upregulated. These include the mannose-binding C-Lectin and HSP90. Also, the expression of TLR and galaxin, among others, continued to be upregulated after long-term exposure to LpH. Expression of carbonic anhydrase (CA), a key enzyme involved in calcification, was also significantly upregulated after long-term exposure. Our results indicated that, after two months, M. daytoni is not acclimatized to this experimental LpH condition. Gene expression profiles revealed molecular impacts that were not evident at the enzyme activity level. Consequently, understanding the molecular mechanisms behind the physiological processes in the response of a coral to LpH is critical to understanding the ability of polar species to cope with future environmental changes. Approaches integrating molecular tools into Antarctic ecological and/or conservation research make an essential contribution given the current ongoing OA processes.</t>
  </si>
  <si>
    <t>[Servetto, N.; de Aranzamendi, M. C.; Gonzalez, G.; Sahade, R.] Univ Nacl Cordoba, Fac Ciencias Exactas Fis &amp; Nat, Catedra Ecol Marina, Av Velez Sarsfield 299,X5000JJC, Cordoba, Argentina; [Servetto, N.; de Aranzamendi, M. C.; Gonzalez, G.; Sahade, R.] Consejo Nacl Invest Cient &amp; Tecn CONICET, Inst Diversidad &amp; Ecol Anim IDEA, Ecosistemas Marinos Polares, Av Velez Sarsfield 299,X5000JJC, Cordoba, Argentina; [Bettencourt, R.] Univ Azores, Fac Sci &amp; Technol, OKEANOS Marine Res Ctr, Dept Oceanog &amp; Fisheries, P-9900862 Horta, Portugal; [Held, C.; Abele, D.] Alfred Wegener Inst, Zentrum Polar &amp; Meeresforsch, Handelshafen 12, D-27570 Bremerhaven, Germany; [Movilla, J.] Ctr Oceanog Baleares, Inst Espanol Oceanog, Estn Invest Jaume Ferrer, La Mola S-N, Menorca 07720, Spain; [Bustos, D. M.] Inst Histol &amp; Embriol Mendoza IHEM CONICET UNCUYO, Lab Integrac Senales Celulares, Mendoza, Argentina; [Bustos, D. M.] Fac Ciencias Exactas &amp; Nat UNCUYO, Mendoza, Argentina</t>
  </si>
  <si>
    <t>National University of Cordoba; Consejo Nacional de Investigaciones Cientificas y Tecnicas (CONICET); Universidade dos Acores; Helmholtz Association; Alfred Wegener Institute, Helmholtz Centre for Polar &amp; Marine Research; Spanish Institute of Oceanography</t>
  </si>
  <si>
    <t>Servetto, N; Sahade, R (corresponding author), Univ Nacl Cordoba, Fac Ciencias Exactas Fis &amp; Nat, Catedra Ecol Marina, Av Velez Sarsfield 299,X5000JJC, Cordoba, Argentina.</t>
  </si>
  <si>
    <t>nservetto@mi.unc.edu.ar; rsahade@unc.edu.ar</t>
  </si>
  <si>
    <t>Bettencourt, Raul/A-4511-2009; Bustos, Diego/J-5689-2014</t>
  </si>
  <si>
    <t>Bettencourt, Raul/0000-0001-6866-7029; de Aranzamendi, Maria Carla/0000-0003-4442-0384; Bustos, Diego/0000-0002-7637-328X; Servetto, Natalia/0000-0002-3713-9116; Movilla Martin, Juancho/0000-0003-4502-9088; Abele, Doris/0000-0002-5766-5017; Gonzalez, German Alexis/0000-0001-9030-5622</t>
  </si>
  <si>
    <t>Consejo Nacional de Investigaciones Cientificas y Tecnicas (CONICET); Direccion Nacional del Antartico (DNA) /Instituto Antartico Argentino (IAA); Department of Oceanography and Fisheries (DOP-University of the Azores); Universidad Nacional de Cordoba; Alfred Wegener Institute (AWI); PADI Foundation [PICTO 2010-0019]; PIP CONICET [11220100100089]; SECyT [33620180100077CB]; EU project IMCONet (FP7 404 IRSES) [318718]</t>
  </si>
  <si>
    <t>Consejo Nacional de Investigaciones Cientificas y Tecnicas (CONICET)(Consejo Nacional de Investigaciones Cientificas y Tecnicas (CONICET)); Direccion Nacional del Antartico (DNA) /Instituto Antartico Argentino (IAA); Department of Oceanography and Fisheries (DOP-University of the Azores); Universidad Nacional de Cordoba; Alfred Wegener Institute (AWI); PADI Foundation; PIP CONICET(Consejo Nacional de Investigaciones Cientificas y Tecnicas (CONICET)); SECyT(Secretaria de Ciencia y Tecnologia (SECYT)); EU project IMCONet (FP7 404 IRSES)</t>
  </si>
  <si>
    <t>The authors want to particularly thank the members of the Carlini (former Jubany) station. This study was supported by the Consejo Nacional de Investigaciones Cientificas y Tecnicas (CONICET) , Direccion Nacional del Antartico (DNA) /Instituto Antartico Argentino (IAA) , Department of Oceanography and Fisheries (DOP-University of the Azores) , the Universidad Nacional de Cordoba and the Alfred Wegener Institute (AWI) . We thank the three anonymous reviewers for their valuable suggestions. The work was partially funded by the PADI Foundation, PICTO 2010-0019 (ANPCyT-DNA) , PIP CON-ICETNo11220100100089, SECyT (33620180100077CB) and the EU project IMCONet (FP7 404 IRSES, action No. 318718) .</t>
  </si>
  <si>
    <t>0141-1136</t>
  </si>
  <si>
    <t>1879-0291</t>
  </si>
  <si>
    <t>MAR ENVIRON RES</t>
  </si>
  <si>
    <t>Mar. Environ. Res.</t>
  </si>
  <si>
    <t>10.1016/j.marenvres.2021.105430</t>
  </si>
  <si>
    <t>JUL 2021</t>
  </si>
  <si>
    <t>Environmental Sciences; Marine &amp; Freshwater Biology; Toxicology</t>
  </si>
  <si>
    <t>Environmental Sciences &amp; Ecology; Marine &amp; Freshwater Biology; Toxicology</t>
  </si>
  <si>
    <t>UK2DE</t>
  </si>
  <si>
    <t>WOS:000691784700004</t>
  </si>
  <si>
    <t>Pei, QM; Saikawa, E; Kaspari, S; Widory, D; Zhao, CF; Wu, GM; Loewen, M; Wan, X; Kang, SC; Wang, XP; Zhang, YL; Cong, ZY</t>
  </si>
  <si>
    <t>Pei, Qiaomin; Saikawa, Eri; Kaspari, Susan; Widory, David; Zhao, Chuanfeng; Wu, Guangming; Loewen, Mark; Wan, Xin; Kang, Shichang; Wang, Xiaoping; Zhang, Yan-Lin; Cong, Zhiyuan</t>
  </si>
  <si>
    <t>Sulfur aerosols in the Arctic, Antarctic, and Tibetan Plateau: Current knowledge and future perspectives</t>
  </si>
  <si>
    <t>EARTH-SCIENCE REVIEWS</t>
  </si>
  <si>
    <t>SEA-SALT SULFATE; HIGH-ALTITUDE SITE; ICE-CORE RECORD; SIZE-SEGREGATED AEROSOLS; WATER-SOLUBLE IONS; METHANESULFONIC-ACID; CHEMICAL-COMPOSITION; BLACK CARBON; POLAR ICE; ATMOSPHERIC CIRCULATION</t>
  </si>
  <si>
    <t>Sulfur aerosols, mainly composed of sulfate and methanesulfonic acid (MSA), significantly affect the Earth's radiation balance, biogeochemical cycles and ecosystems, especially in the polar regions with vulnerable environments. To better understand the relationship between anthropogenic activities and climate change, a comprehensive review is presented, covering sulfate and MSA concentrations and isotope composition from 18 sites in the Arctic, 22 sites in the Antarctic and 25 sites in the Tibetan Plateau. The spatio-temporal variability of sulfur aerosols and the potential factors controlling their concentrations are summarized, sulfur isotopes are used to identify the importance of anthropogenic vs. natural inputs, and ice cores are employed to reconstruct the paleo-evolution of atmospheric sulfates. Finally, this review discusses the need for future research on organosulfur aerosols, the mixing state of sulfur aerosols, their deposition fluxes and velocities, potential emissions by biomass burning, and the anticipated trends in sulfur aerosol concentrations in the Arctic, Antarctic, and Tibetan Plateau.</t>
  </si>
  <si>
    <t>[Pei, Qiaomin; Wu, Guangming; Loewen, Mark; Wan, Xin; Wang, Xiaoping; Cong, Zhiyuan] Chinese Acad Sci, Inst Tibetan Plateau Res, State Key Lab Tibetan Plateau Earth Syst Resource, Beijing 100101, Peoples R China; [Saikawa, Eri] Emory Univ, Dept Environm Sci, Atlanta, GA 30322 USA; [Kaspari, Susan] Cent Washington Univ, Dept Geol Sci, Ellensburg, WA 98926 USA; [Widory, David] Univ Quebec Montreal UQAM, Geotop, 201 Ave President Kennedy, Montreal, PQ H2X 3Y7, Canada; [Zhao, Chuanfeng] Beijing Normal Univ, State Key Lab Earth Surface Proc &amp; Resource Ecol, Beijing 100875, Peoples R China; [Loewen, Mark] Kathmandu Univ, POB 6250, Dhulikhel, Nepal; [Kang, Shichang] Chinese Acad Sci, State Key Lab Cryospher Sci, Northwest Inst Ecoenvironm &amp; Resources, Lanzhou 730000, Peoples R China; [Zhang, Yan-Lin] Nanjing Univ Informat Sci &amp; Technol, Yale NUIST Ctr Atmospher Environm, Nanjing 210044, Peoples R China; [Pei, Qiaomin; Wu, Guangming; Wan, Xin] Univ Chinese Acad Sci, Beijing 100039, Peoples R China; [Kang, Shichang; Wang, Xiaoping; Cong, Zhiyuan] CAS Ctr Excellence Tibetan Plateau Earth Sci, Beijing 100101, Peoples R China</t>
  </si>
  <si>
    <t>Chinese Academy of Sciences; Institute of Tibetan Plateau Research, CAS; Emory University; Central Washington University; University of Quebec; University of Quebec Montreal; Beijing Normal University; Kathmandu University; Chinese Academy of Sciences; Nanjing University of Information Science &amp; Technology; Chinese Academy of Sciences; University of Chinese Academy of Sciences, CAS</t>
  </si>
  <si>
    <t>Cong, ZY (corresponding author), Chinese Acad Sci, Inst Tibetan Plateau Res, State Key Lab Tibetan Plateau Earth Syst Resource, Beijing 100101, Peoples R China.</t>
  </si>
  <si>
    <t>zhiyuancong@itpcas.ac.cn</t>
  </si>
  <si>
    <t>Wang, Xiao-Ping/G-7394-2011; cong, z/KCF-0053-2024; Zhao, Chuanfeng/IAO-1378-2023; Saikawa, Eri/AAF-5390-2020; Shichang, Kang/AAB-5341-2020; Zhang, Yanlin/AAH-7770-2021; Saikawa, Eri/HCI-9996-2022; Kang, Shichang/I-6830-2018</t>
  </si>
  <si>
    <t>Saikawa, Eri/0000-0003-3166-8620; Shichang, Kang/0000-0002-2344-9519; Zhang, Yanlin/0000-0002-8722-8635; Kang, Shichang/0000-0003-2115-9005; Widory, David/0000-0003-0405-8819</t>
  </si>
  <si>
    <t>Strategic Priority Research Program of the Chinese Academy of Sciences [XDA19070202, XDA20040501]; National Natural Science Foundation of China [41877315, 91837204]; Kathmandu Center for Research and Education, CAS-TU</t>
  </si>
  <si>
    <t>Strategic Priority Research Program of the Chinese Academy of Sciences(Chinese Academy of Sciences); National Natural Science Foundation of China(National Natural Science Foundation of China (NSFC)); Kathmandu Center for Research and Education, CAS-TU</t>
  </si>
  <si>
    <t>The study was supported in part by the Strategic Priority Research Program of the Chinese Academy of Sciences (Grant XDA19070202 and XDA20040501) , and the National Natural Science Foundation of China (Grant 41877315 and 91837204) We thank the Kathmandu Center for Research and Education, CAS-TU for the support. Lastly, we thank the four anonymous reviewers and editor valuable and constructive comments.</t>
  </si>
  <si>
    <t>0012-8252</t>
  </si>
  <si>
    <t>1872-6828</t>
  </si>
  <si>
    <t>EARTH-SCI REV</t>
  </si>
  <si>
    <t>Earth-Sci. Rev.</t>
  </si>
  <si>
    <t>10.1016/j.earscirev.2021.103753</t>
  </si>
  <si>
    <t>WA9CF</t>
  </si>
  <si>
    <t>WOS:000703179300001</t>
  </si>
  <si>
    <t>Pelletier, D; Roos, D; Bouchoucha, M; Schohn, T; Roman, W; Gonson, C; Bockel, T; Carpentier, L; Preuss, B; Powell, A; Garcia, J; Gaboriau, M; Cadé, F; Royaux, C; Le Bras, Y; Reecht, Y</t>
  </si>
  <si>
    <t>Pelletier, Dominique; Roos, David; Bouchoucha, Marc; Schohn, Thomas; Roman, William; Gonson, Charles; Bockel, Thomas; Carpentier, Liliane; Preuss, Bastien; Powell, Abigail; Garcia, Jessica; Gaboriau, Matthias; Cade, Florent; Royaux, Coline; Le Bras, Yvan; Reecht, Yves</t>
  </si>
  <si>
    <t>A Standardized Workflow Based on the STAVIRO Unbaited Underwater Video System for Monitoring Fish and Habitat Essential Biodiversity Variables in Coastal Areas</t>
  </si>
  <si>
    <t>underwater video; essential biodiversity variables; monitoring; assessment; standardized workflow; FAIR principles; PAMPA</t>
  </si>
  <si>
    <t>DIVERSITY; ABUNDANCE</t>
  </si>
  <si>
    <t>Essential Biodiversity Variables (EBV) related to benthic habitats and high trophic levels such as fish communities must be measured at fine scale but monitored and assessed at spatial scales that are relevant for policy and management actions. Local scales are important for assessing anthropogenic impacts, and conservation-related and fisheries management actions, while reporting on the conservation status of biodiversity to formulate national and international policies requires much broader scales. Measurements must account for the fact that coastal habitats and fish communities are heterogeneously distributed locally and at larger scales. Assessments based on in situ monitoring generally suffer from poor spatial replication and limited geographical coverage, which is challenging for area-wide assessments. Requirements for appropriate monitoring comprise cost-efficient and standardized observation protocols and data formats, spatially scalable and versatile data workflows, data that comply with the FAIR (Findable, Accessible, Interoperable, and Reusable) principles, while minimizing the environmental impact of measurements. This paper describes a standardized workflow based on remote underwater video that aims to assess fishes (at species and community levels) and habitat-related EBVs in coastal areas. This panoramic unbaited video technique was developed in 2007 to survey both fishes and benthic habitats in a cost-efficient manner, and with minimal effect on biodiversity. It can be deployed in areas where low underwater visibility is not a permanent or major limitation. The technique was consolidated and standardized and has been successfully used in varied settings over the last 12 years. We operationalized the EBV workflow by documenting the field protocol, survey design, image post-processing, EBV production and data curation. Applications of the workflow are illustrated here based on some 4,500 observations (fishes and benthic habitats) in the Pacific, Indian and Atlantic Oceans, and Mediterranean Sea. The STAVIRO's proven track-record of utility and cost-effectiveness indicates that it should be considered by other researchers for future applications.</t>
  </si>
  <si>
    <t>[Pelletier, Dominique; Schohn, Thomas; Roman, William; Gonson, Charles; Bockel, Thomas; Carpentier, Liliane; Powell, Abigail; Garcia, Jessica] IFREMER, Dept Ressources Biol &amp; Environm, Unite Lagons Ecosyst &amp; Aquaculture Durable Nouvel, Noumea, New Caledonia; [Pelletier, Dominique] IFREMER Nantes, Dept Ressources Biol &amp; Environm, Unite Ecol &amp; Modeles Halieut, Nantes, France; [Roos, David] IFREMER, Dept Ressources Biol &amp; Environm, Delegat Ocean Indien, Le Port, France; [Bouchoucha, Marc] Dept Oceanographie &amp; Dynam Ecosyst, Lab Environm Ressources, La Seyne Sur Mer, France; [Bockel, Thomas] Andromede Oceanol, Carnon Plage, France; [Preuss, Bastien] Bur Etud SQUALE, Noumea, New Caledonia; [Garcia, Jessica] Univ Cors Pasquale Paoli, UMS CNRS STELLA MARE 3514, Biguglia, France; [Gaboriau, Matthias] 18 Carrer Sant Jordi, Banyuls Sur Mer, France; [Cade, Florent] OCEANSmov, Noumea, New Caledonia; [Royaux, Coline; Le Bras, Yvan] Museum Natl Hist Nat, Stn Marine Concarneau, UMS 2006 PatriNat, Pole Natl Donnees Biodiversite, Concarneau, France; [Reecht, Yves] IFREMER, Dept Ressources Biol &amp; Environm, Unite Sci &amp; Technol Halieut, Plouzane, France; [Reecht, Yves] Inst Marine Research, Havforskningsinst, Bergen, Norway</t>
  </si>
  <si>
    <t>Ifremer; Ifremer; Ifremer; Ifremer; Museum National d'Histoire Naturelle (MNHN); Ifremer; Institute of Marine Research - Norway</t>
  </si>
  <si>
    <t>Pelletier, D (corresponding author), IFREMER, Dept Ressources Biol &amp; Environm, Unite Lagons Ecosyst &amp; Aquaculture Durable Nouvel, Noumea, New Caledonia.;Pelletier, D (corresponding author), IFREMER Nantes, Dept Ressources Biol &amp; Environm, Unite Ecol &amp; Modeles Halieut, Nantes, France.</t>
  </si>
  <si>
    <t>dominique.pelletier@ifremer.fr</t>
  </si>
  <si>
    <t>REECHT, Yves/ABB-2943-2020</t>
  </si>
  <si>
    <t>REECHT, Yves/0000-0003-3583-1843; ROOS, David/0000-0003-0273-3585; Pelletier, Dominique/0000-0003-2420-1942; GARCIA, Jessica/0000-0002-1179-5692</t>
  </si>
  <si>
    <t>Research Institute for Development; IFREMER; New Caledonia Government and Provinces; the Conservatoire des Espaces Naturels of New Caledonia; French Ministry of Ecology; French Initiative for Coral Reefs (IFRECOR); French Marine Protected Area Agency; CerbereBanyuls Natural Marine Reserve; Cote Bleue Marine Park; French Water Agency; Reunion Marine Natural Reserve (PECHTRAD project); Mayotte Marine Natural Park (Staviro Mayotte project); 10th European Development Fund (FED); Departmental Collectivity of Mayotte; French Southern and Antarctic Lands; University Center of Mayotte (EPICURE project); European Fund for Maritime Affairs and Fisheries (FEAMP); French government (IPERDMX project)</t>
  </si>
  <si>
    <t>New Caledonia data were collected during (i) the PAMPA project with the support of the Research Institute for Development; and (ii) the AMBIO project funded by both IFREMER, New Caledonia Government and Provinces, the Conservatoire des Espaces Naturels of New Caledonia, and the French Ministry of Ecology, the French Initiative for Coral Reefs (IFRECOR), and the French Marine Protected Area Agency. Mediterranean data were collected with the support of IFREMER, the CerbereBanyuls Natural Marine Reserve, the Cote Bleue Marine Park and the French Water Agency. In the Indian Ocean, data collection was co-funded by Ifremer and by (i) the Reunion Marine Natural Reserve (PECHTRAD project), (ii) the Mayotte Marine Natural Park (Staviro Mayotte project), (iii) the 10th European Development Fund (FED), the Departmental Collectivity of Mayotte, the French Southern and Antarctic Lands and the University Center of Mayotte (EPICURE project), (iv) the European Fund for Maritime Affairs and Fisheries (FEAMP) and the French government (IPERDMX project).</t>
  </si>
  <si>
    <t>JUL 29</t>
  </si>
  <si>
    <t>10.3389/fmars.2021.689280</t>
  </si>
  <si>
    <t>TX7YF</t>
  </si>
  <si>
    <t>gold, Green Submitted, Green Published</t>
  </si>
  <si>
    <t>WOS:000683303500001</t>
  </si>
  <si>
    <t>Strauss, RD; van der Merwe, C; Diedericks, C; Krüger, H; Krüger, HG; Moloto, KD; Lotz, S; Mosotho, GM</t>
  </si>
  <si>
    <t>Strauss, R. D.; van der Merwe, C.; Diedericks, C.; Kruger, H.; Kruger, H. G.; Moloto, K. D.; Lotz, S.; Mosotho, G. M.</t>
  </si>
  <si>
    <t>The updated SANAE neutron monitor</t>
  </si>
  <si>
    <t>ADVANCES IN SPACE RESEARCH</t>
  </si>
  <si>
    <t>Cosmic rays; Neutron monitor; Space weather</t>
  </si>
  <si>
    <t>Neutron monitors have been the premier ground-based instruments for monitoring the near-Earth cosmic ray flux for more than 70 years. It is essential to continue with such measurements in order to extend this unique long-term time series. Moreover, with the recent interest of the aviation industry to space weather effects, and especially the radiation risk posed by solar energetic particles and galactic cosmic rays, it is vital to extend the current neutron monitor network in order to provide near-real-time measurements to the space weather community. In this paper we discuss a new electronics system that was retrofitted to the SANAE neutron monitor in Antarctica. We present initial results from this system, featuring very high temporal resolution and discuss the techniques applied to the data analysis. Based on these successful upgrades, we are confident that this system can be used to rejuvenate the aligning neutron monitor network, and even possibly to revive some of the decommissioned instruments. (C) 2021 COSPAR. Published by Elsevier B.V. All rights reserved.</t>
  </si>
  <si>
    <t>[Strauss, R. D.; van der Merwe, C.; Diedericks, C.; Kruger, H.; Kruger, H. G.; Moloto, K. D.; Mosotho, G. M.] Northwest Univ, Ctr Space Res, Potchefstroom Campus,Private Bag X6001, ZA-2520 Potchefstroom, South Africa; [Lotz, S.] South African Natl Space Agcy, POB 32, ZA-7200 Hermanus, South Africa</t>
  </si>
  <si>
    <t>North West University - South Africa</t>
  </si>
  <si>
    <t>Strauss, RD (corresponding author), Northwest Univ, Ctr Space Res, Potchefstroom Campus,Private Bag X6001, ZA-2520 Potchefstroom, South Africa.</t>
  </si>
  <si>
    <t>dutoit.strauss@nwu.ac.za; 27863840@nwu.ac.za; helenakruger6@gmail.com; hendrik.kriiger@gmail.com; katlego.moloto@nwu.ac.za; slotz@sansa.org.za</t>
  </si>
  <si>
    <t>, Katlego Mokwena/0009-0000-0639-2074; MOSOTHO, MOSHE GODFREY/0000-0003-0669-0869; Lotz, Stefan/0000-0002-1037-348X</t>
  </si>
  <si>
    <t>National Research Foundation of South Africa (NRF) [119424, 120847, 120345]; NRF's South African National Antarctic Programme (SANAP) [110741]</t>
  </si>
  <si>
    <t>National Research Foundation of South Africa (NRF)(National Research Foundation - South Africa); NRF's South African National Antarctic Programme (SANAP)</t>
  </si>
  <si>
    <t>Oulu data obtained from http://cosmicrays.oulu.fi, courtesy of the Sodankyla Geophysical Observatory. Figures prepared with Matplotlib Hunter (2007) and certain calculations done with NumPy (Harris et al., 2020). This work is based on the research supported in part by the National Research Foundation of South Africa (NRF Grant Nos.: 119424, 120847, and 120345). Support from the NRF's South African National Antarctic Programme (SANAP; Grant No. 110741) is especially acknowledged. Opinions expressed and conclusions arrived at are those of the authors and are not necessarily to be attributed to the NRF.</t>
  </si>
  <si>
    <t>0273-1177</t>
  </si>
  <si>
    <t>1879-1948</t>
  </si>
  <si>
    <t>ADV SPACE RES</t>
  </si>
  <si>
    <t>Adv. Space Res.</t>
  </si>
  <si>
    <t>SEP 15</t>
  </si>
  <si>
    <t>10.1016/j.asr.2021.05.032</t>
  </si>
  <si>
    <t>Engineering, Aerospace; Astronomy &amp; Astrophysics; Geosciences, Multidisciplinary; Meteorology &amp; Atmospheric Sciences</t>
  </si>
  <si>
    <t>Engineering; Astronomy &amp; Astrophysics; Geology; Meteorology &amp; Atmospheric Sciences</t>
  </si>
  <si>
    <t>TU9VZ</t>
  </si>
  <si>
    <t>WOS:000681378900012</t>
  </si>
  <si>
    <t>Bohleber, P; Roman, M; Sala, M; Delmonte, B; Stenni, B; Barbante, C</t>
  </si>
  <si>
    <t>Bohleber, Pascal; Roman, Marco; Sala, Martin; Delmonte, Barbara; Stenni, Barbara; Barbante, Carlo</t>
  </si>
  <si>
    <t>Two-dimensional impurity imaging in deep Antarctic ice cores: snapshots of three climatic periods and implications for high-resolution signal interpretation</t>
  </si>
  <si>
    <t>CRYOSPHERE</t>
  </si>
  <si>
    <t>DATA-ACQUISITION; DUST; MICROSTRUCTURE; COLOCALIZATION; VARIABILITY; LOCATION; CYCLES; SYSTEM; ABRUPT; SHEET</t>
  </si>
  <si>
    <t>Due to its micrometer-scale resolution and inherently micro-destructive nature, laser ablation inductively coupled plasma mass spectrometry (LA-ICP-MS) is particularly suited to exploring the thin and closely spaced layers in the oldest sections of polar ice cores. Recent adaptions to the LA-ICP-MS instrumentation mean we have faster washout times allowing state-of-the-art 2-D imaging of an ice core. This new method has great potential especially when applied to the localization of impurities on the ice sample, something that is crucial, to avoiding misinterpretation of the ultra-fine-resolution signals. Here we present the first results of the application of LA-ICP-MS elemental imaging to the analysis of selected glacial and interglacial samples from the Talos Dome and EPICA Dome C ice cores from central Antarctica. The localization of impurities from both marine and terrestrial sources is discussed, with special emphasis on observing a connection with the network of grain boundaries and differences between different climatic periods. Scale-dependent i mage analysis shows that the spatial significance of a single line profile along the main core axis increases systematically as the imprint of the grain boundaries weakens. It is demon-strated how instrumental settings can be adapted to suit the purpose of the analysis, i.e., by either employing LA-ICP-MS to study the interplay between impurities and the ice microstructure or to investigate the extremely thin climate proxy signals in deep polar ice.</t>
  </si>
  <si>
    <t>[Bohleber, Pascal; Roman, Marco; Stenni, Barbara; Barbante, Carlo] Ca Foscari Univ Venice, Dept Environm Sci Informat &amp; Stat, Venice, Italy; [Sala, Martin] Natl Inst Chem, Dept Analyt Chem, Ljubljana, Slovenia; [Delmonte, Barbara] Univ Milano Bicocca, Dept Earth &amp; Environm Sci, Milan, Italy; [Barbante, Carlo] CNR, Inst Polar Sci, Venice, Italy</t>
  </si>
  <si>
    <t>Universita Ca Foscari Venezia; National Institute of Chemistry - Slovenia; University of Milano-Bicocca; Consiglio Nazionale delle Ricerche (CNR); Istituto di Scienze Polari (ISP-CNR)</t>
  </si>
  <si>
    <t>Bohleber, P (corresponding author), Ca Foscari Univ Venice, Dept Environm Sci Informat &amp; Stat, Venice, Italy.</t>
  </si>
  <si>
    <t>pascal.bohleber@unive.it</t>
  </si>
  <si>
    <t>Delmonte, Barbara/L-2555-2015; Roman, Marco/HCI-7752-2022; Bohleber, Pascal/AAM-8839-2020; Roman, Marco/ABC-7022-2020; Barbante, Carlo/B-3195-2011; Sala, Martin/A-3250-2011</t>
  </si>
  <si>
    <t>Delmonte, Barbara/0000-0002-9074-2061; Roman, Marco/0000-0003-1289-8236; Barbante, Carlo/0000-0003-4177-2288; Stenni, Barbara/0000-0003-4950-3664; Sala, Martin/0000-0001-7845-860X</t>
  </si>
  <si>
    <t>H2020 Marie Sklodowska-Curie Actions [790280]; H2020 Environment [815384]; Slovenian Research Agency (ARRS) [P1-0034]; Marie Curie Actions (MSCA) [790280] Funding Source: Marie Curie Actions (MSCA)</t>
  </si>
  <si>
    <t>H2020 Marie Sklodowska-Curie Actions(Marie Curie ActionsHorizon 2020); H2020 Environment(Horizon 2020); Slovenian Research Agency (ARRS)(Slovenian Research Agency - Slovenia); Marie Curie Actions (MSCA)(Marie Curie Actions)</t>
  </si>
  <si>
    <t>This research has been supported by the H2020 Marie Sklodowska-Curie Actions (grant no. 790280), the H2020 Environment (grant no. 815384), and the Slovenian Research Agency (ARRS) (contract no. P1-0034).</t>
  </si>
  <si>
    <t>1994-0416</t>
  </si>
  <si>
    <t>1994-0424</t>
  </si>
  <si>
    <t>Cryosphere</t>
  </si>
  <si>
    <t>10.5194/tc-15-3523-2021</t>
  </si>
  <si>
    <t>TS7WK</t>
  </si>
  <si>
    <t>WOS:000679857400001</t>
  </si>
  <si>
    <t>Münch, T; Werner, M; Laepple, T</t>
  </si>
  <si>
    <t>Muench, Thomas; Werner, Martin; Laepple, Thomas</t>
  </si>
  <si>
    <t>How precipitation intermittency sets an optimal sampling distance for temperature reconstructions from Antarctic ice cores</t>
  </si>
  <si>
    <t>ATMOSPHERIC CIRCULATION; ISOTOPIC COMPOSITION; CLIMATE VARIABILITY; WATER ISOTOPES; KOHNEN STATION; SURFACE SNOW; FIRN; DEUTERIUM; SIGNAL; GREENLAND</t>
  </si>
  <si>
    <t>Many palaeoclimate proxies share one challenging property: they are not only driven by the climatic variable of interest, e.g. temperature, but they are also influenced by secondary effects which cause, among other things, increased variability, frequently termed noise. Noise in individual proxy records can be reduced by averaging the records, but the effectiveness of this approach depends on the correlation of the noise between the records and therefore on the spatial scales of the noise-generating processes. Here, we review and apply this concept in the context of Antarctic icecore isotope records to determine which core locations are best suited to reconstruct local- to regional-scale temperatures. Using data from a past-millennium climate model simulation equipped with stable isotope diagnostics we intriguingly find that even for a local temperature reconstruction the optimal sampling strategy is to combine a local ice core with a more distant core similar to 500-1000 km away. A similarly large distance between cores is also optimal for reconstructions that average more than two isotope records. We show that these findings result from the interplay of the two spatial scales of the correlation structures associated with the temperature field and with the noise generated by precipitation intermittency. Our study helps to maximize the usability of existing Antarctic ice cores and to optimally plan future drilling campaigns. It also broadens our knowledge of the processes that shape the isotopic record and their typical correlation scales. Finally, many palaeoclimate reconstruction efforts face the similar challenge of spatially correlated noise, and our presented method could directly assist further studies in also determining optimal sampling strategies for these problems.</t>
  </si>
  <si>
    <t>[Muench, Thomas; Laepple, Thomas] Alfred Wegener Inst Helmholtz Zentrum Ftir Polar, Res Unit Potsdam, Telegrafenberg A45, D-14473 Potsdam, Germany; [Werner, Martin] Alfred Wegener Inst Helmholtz Zentrum Polar &amp; Mee, D-27570 Bremerhaven, Germany; [Laepple, Thomas] Univ Bremen, MARUM Ctr Marine Environm Sci, D-28334 Bremen, Germany; [Laepple, Thomas] Univ Bremen, Fac Geosci, D-28334 Bremen, Germany</t>
  </si>
  <si>
    <t>Helmholtz Association; Alfred Wegener Institute, Helmholtz Centre for Polar &amp; Marine Research; University of Bremen; University of Bremen</t>
  </si>
  <si>
    <t>Münch, T (corresponding author), Alfred Wegener Inst Helmholtz Zentrum Ftir Polar, Res Unit Potsdam, Telegrafenberg A45, D-14473 Potsdam, Germany.</t>
  </si>
  <si>
    <t>thomas.muench@awi.de</t>
  </si>
  <si>
    <t>Werner, Martin/C-8067-2014; Münch, Thomas/AAC-9281-2019; Laepple, Thomas/M-8783-2015</t>
  </si>
  <si>
    <t>Werner, Martin/0000-0002-6473-0243; Münch, Thomas/0000-0002-5492-7544; Laepple, Thomas/0000-0001-8108-7520</t>
  </si>
  <si>
    <t>European Research Council (ERC) under the European Union's Horizon 2020 research and innovation programme [716092]; Helmholtz funding through the Polar Regions and Coasts in the Changing Earth System (PACES) programme of the Alfred Wegener Institute</t>
  </si>
  <si>
    <t>European Research Council (ERC) under the European Union's Horizon 2020 research and innovation programme(European Research Council (ERC)); Helmholtz funding through the Polar Regions and Coasts in the Changing Earth System (PACES) programme of the Alfred Wegener Institute</t>
  </si>
  <si>
    <t>This research has been supported by funding from the European Research Council (ERC) under the European Union's Horizon 2020 research and innovation programme (grant agreement no. 716092) and by Helmholtz funding through the Polar Regions and Coasts in the Changing Earth System (PACES) programme of the Alfred Wegener Institute.</t>
  </si>
  <si>
    <t>10.5194/cp-17-1587-2021</t>
  </si>
  <si>
    <t>TT2ED</t>
  </si>
  <si>
    <t>WOS:000680162400001</t>
  </si>
  <si>
    <t>Tewari, K; Mishra, SK; Fasullo, J; Dewan, A</t>
  </si>
  <si>
    <t>Tewari, Kamal; Mishra, Saroj K.; Fasullo, John; Dewan, Anupam</t>
  </si>
  <si>
    <t>Impact of the Antarctic topography on meridional energy transport and its consequential effect in the monsoon circulation</t>
  </si>
  <si>
    <t>QUARTERLY JOURNAL OF THE ROYAL METEOROLOGICAL SOCIETY</t>
  </si>
  <si>
    <t>Antarctica; monsoon circulation; meridional energy transport; general circulation; orographic effects</t>
  </si>
  <si>
    <t>ASIAN SUMMER MONSOON; ICE-SHEET; ATMOSPHERIC CIRCULATION; SOUTHERN-HEMISPHERE; INDIAN MONSOON; CLIMATE</t>
  </si>
  <si>
    <t>Antarctica has been losing ice in the past, and its ice loss is projected to further enhance in the future due to global warming, causing orographic changes over the region. Such orographic changes are likely to profoundly influence the global climate systems through energy transport over the Southern Hemisphere. The South Asian monsoon system, an anomalous climate system (a transient eddy regionally occurring rigorously during JJAS) originating in the Southern Hemisphere and transporting anomalous energy towards higher latitudes, is also expected to get influenced by its orography. A coupled global climate modelling framework is therefore used in this study to investigate the potential influence of the Antarctic orography on the South Asian monsoon system. The investigation reveals that a reduction in the Antarctic elevation would cause warming over the continent, which will cause changes in the energy budget, with more outgoing long-wave radiation over Antarctica due to a warmer surface and moist atmosphere aloft. The global climate responds to this perturbation by enhancing the southward energy transport primarily by the atmospheric component via changes in mean flow and eddies from the equatorial region all the way to the South Pole. The monsoon system supports this southward energy transport demand in the Southern Hemisphere by strengthening the mean meridional circulation in the three cells over the Indian Ocean sector. Due to this, the low-level cross-equatorial flow enhances over the south equatorial Indian Ocean, which increases the evaporation, and causes changes in precipitation and stationary wave patterns. The sea-level pressure and surface temperature changes adjust accordingly in response to changes in the circulation. However, rainfall and circulation over the Asian landmass do not change much as the southward energy transport is very much less and is mostly supported by the oceanic components and changes in latent energy over these latitudes.</t>
  </si>
  <si>
    <t>[Tewari, Kamal; Dewan, Anupam] IIT Delhi, Dept Appl Mech, New Delhi, India; [Mishra, Saroj K.] IIT Delhi, Ctr Atmospher Sci, New Delhi, India; [Fasullo, John] Natl Ctr Atmospher Res, POB 3000, Boulder, CO 80307 USA</t>
  </si>
  <si>
    <t>Indian Institute of Technology System (IIT System); Indian Institute of Technology (IIT) - Delhi; Indian Institute of Technology System (IIT System); Indian Institute of Technology (IIT) - Delhi; National Center Atmospheric Research (NCAR) - USA</t>
  </si>
  <si>
    <t>Dewan, A (corresponding author), Indian Inst Technol IIT Delhi, Dept Appl Mech, New Delhi 110016, India.</t>
  </si>
  <si>
    <t>adewan@am.iitd.ac.in</t>
  </si>
  <si>
    <t>Tewari, Kamal/AAX-5966-2021; Fasullo, John/H-4552-2019; Dewan, Anupam/A-8404-2013; Mishra, Shravan/AAD-7569-2022</t>
  </si>
  <si>
    <t>Fasullo, John/0000-0003-1216-892X; Dewan, Anupam/0000-0002-1561-713X; Mishra, Shravan/0000-0001-8354-1803; Tewari, Kamal/0000-0002-9147-5276</t>
  </si>
  <si>
    <t>DST Centre of Excellence in Climate Modeling at the Indian Institute of Technology Delhi, India; MHRD, Government of India</t>
  </si>
  <si>
    <t>DST Centre of Excellence in Climate Modeling at the Indian Institute of Technology Delhi, India; MHRD, Government of India(Ministry of Human Resource Development (MHRD), Government of India)</t>
  </si>
  <si>
    <t>The research was partially supported by the DST Centre of Excellence in Climate Modeling at the Indian Institute of Technology Delhi, India. The authors would like to thank C. Bitz, and H.K.A. Singh for providing the CESM data for the analysis. The authors would also like to thank anonymous reviewers for their constructive comments, which have improved the quality of this manuscript. K.T. would also like to thank MHRD, Government of India, for the PhD fellowship. For data analysis and plotting, NCAR NCL was used.</t>
  </si>
  <si>
    <t>0035-9009</t>
  </si>
  <si>
    <t>1477-870X</t>
  </si>
  <si>
    <t>Q J ROY METEOR SOC</t>
  </si>
  <si>
    <t>Q. J. R. Meteorol. Soc.</t>
  </si>
  <si>
    <t>10.1002/qj.4128</t>
  </si>
  <si>
    <t>UN5FY</t>
  </si>
  <si>
    <t>WOS:000678840400001</t>
  </si>
  <si>
    <t>Blanchard-Wrigglesworth, E; Donohoe, A; Roach, LA; DuVivier, A; Bitz, CM</t>
  </si>
  <si>
    <t>Blanchard-Wrigglesworth, Edward; Donohoe, Aaron; Roach, Lettie A.; DuVivier, Alice; Bitz, Cecilia M.</t>
  </si>
  <si>
    <t>High-Frequency Sea Ice Variability in Observations and Models</t>
  </si>
  <si>
    <t>GEOPHYSICAL RESEARCH LETTERS</t>
  </si>
  <si>
    <t>CLIMATE; PREDICTION; TRANSPORT</t>
  </si>
  <si>
    <t>We characterize high-frequency variability of sea ice extent (HFVSIE) in observations and climate models. We find that HFVSIE in models is biased low with respect to observations, especially at synoptic timescales (&lt;20 days) in the Arctic year-round and at monthly timescales (30-60 days) in Antarctica in winter. Models show large spread in HFVSIE, especially in Antarctica. This spread is partly explained by sea ice mean-state while model biases in sea level pressure (SLP) and wind variability do not appear to play a major role in HFVSIE spread. Extreme sea ice extent (SIE) changes are associated with SLP anomaly dipoles aligned with the sea ice edge and winds directed on-ice (off-ice) during SIE loss (gain) events. In observations, these events are also associated with distinct ocean wave states during the cold season, when waves are greater (smaller) and travel toward (away from) the sea ice edge during SIE loss (gain) events.</t>
  </si>
  <si>
    <t>[Blanchard-Wrigglesworth, Edward; Roach, Lettie A.; Bitz, Cecilia M.] Univ Washington, Dept Atmospher Sci, Seattle, WA 98195 USA; [Donohoe, Aaron] Univ Washington, Polar Sci Ctr, Appl Phys Lab, Seattle, WA USA; [DuVivier, Alice] Natl Ctr Atmospher Res, POB 3000, Boulder, CO 80307 USA</t>
  </si>
  <si>
    <t>University of Washington; University of Washington Seattle; University of Washington; University of Washington Seattle; National Center Atmospheric Research (NCAR) - USA</t>
  </si>
  <si>
    <t>Blanchard-Wrigglesworth, E (corresponding author), Univ Washington, Dept Atmospher Sci, Seattle, WA 98195 USA.</t>
  </si>
  <si>
    <t>ed@atmos.uw.edu</t>
  </si>
  <si>
    <t>Bitz, Cecilia M/S-8423-2016; Roach, Lettie/HKV-2511-2023; DuVivier, Alice K./JJC-1516-2023</t>
  </si>
  <si>
    <t>Roach, Lettie/0000-0003-4189-3928; DuVivier, Alice K./0000-0001-6920-5926; Bitz, Cecilia/0000-0002-9477-7499</t>
  </si>
  <si>
    <t>Computational and Information Systems Laboratory (CISL) at NCAR; NOAA MAPP [NA18OAR4310274]; NASA [80NSSC20K0959]; ONR [N00014-18-1-2175]; National Science Foundation (NSF) Antarctic Program [PLR1643436]; National Science Foundation [PLR-1643431]</t>
  </si>
  <si>
    <t>Computational and Information Systems Laboratory (CISL) at NCAR; NOAA MAPP(National Oceanic Atmospheric Admin (NOAA) - USA); NASA(National Aeronautics &amp; Space Administration (NASA)); ONR(Office of Naval Research); National Science Foundation (NSF) Antarctic Program(National Science Foundation (NSF)); National Science Foundation(National Science Foundation (NSF))</t>
  </si>
  <si>
    <t>The authors would like to acknowledge computing and data storage resources, including the Cheyenne supercomputer (https://doi.org/10.5065/D6RX99HX) provided by the Computational and Information Systems Laboratory (CISL) at NCAR, and the authors also thank the Polar Climate Working Group at NCAR. The authors thank David Bailey, Mitch Bushuk, Wei Cheng and Chris Horvat for helpful discussions on the manuscript. EBW was supported by NOAA MAPP Grant NA18OAR4310274 NASA grant 80NSSC20K0959 and ONR grant N00014-18-1-2175, AD was supported by NOAA MAPP Grant NA18OAR4310274 and National Science Foundation (NSF) Antarctic Program PLR1643436, LR was supported by NOAA MAPP Grant NA18OAR4310274 and National Science Foundation Grant PLR-1643431, CMB was supported by NOAA MAPP Grant NA18OAR4310274, National Science Foundation Grant PLR-1643431 and ONR grant N00014-18-1-2175.</t>
  </si>
  <si>
    <t>0094-8276</t>
  </si>
  <si>
    <t>1944-8007</t>
  </si>
  <si>
    <t>GEOPHYS RES LETT</t>
  </si>
  <si>
    <t>Geophys. Res. Lett.</t>
  </si>
  <si>
    <t>JUL 28</t>
  </si>
  <si>
    <t>e2020GL092356</t>
  </si>
  <si>
    <t>10.1029/2020GL092356</t>
  </si>
  <si>
    <t>WN0WH</t>
  </si>
  <si>
    <t>WOS:000711496700008</t>
  </si>
  <si>
    <t>Gohl, K; Uenzelmann-Neben, G; Gille-Petzoldt, J; Hillenbrand, CD; Klages, JP; Bohaty, SM; Passchier, S; Frederichs, T; Wellner, JS; Lamb, R; Leitchenkov, G</t>
  </si>
  <si>
    <t>Gohl, Karsten; Uenzelmann-Neben, Gabriele; Gille-Petzoldt, Johanna; Hillenbrand, Claus-Dieter; Klages, Johann P.; Bohaty, Steven M.; Passchier, Sandra; Frederichs, Thomas; Wellner, Julia S.; Lamb, Rachel; Leitchenkov, German</t>
  </si>
  <si>
    <t>Evidence for a Highly Dynamic West Antarctic Ice Sheet During the Pliocene</t>
  </si>
  <si>
    <t>seismic stratigraphy; West Antarctic Ice Sheet; Pliocene climate; IODP Expedition 379; Amundsen Sea Embayment; grounding zone wedge</t>
  </si>
  <si>
    <t>AMUNDSEN SEA EMBAYMENT; PINE ISLAND BAY; ROSS SEA; SEDIMENTARY PROCESSES; CONTINENTAL-SHELF; GROUNDING-LINE; OCEAN; GEOMETRY; FEATURES; CLIMATE</t>
  </si>
  <si>
    <t>Major ice loss in the Amundsen Sea sector of the West Antarctic Ice Sheet (WAIS) is hypothesized to have triggered ice sheet collapses during past warm periods such as those in the Pliocene. International Ocean Discovery Program (IODP) Expedition 379 recovered continuous late Miocene to Holocene sediments from a sediment drift on the continental rise, allowing assessment of sedimentation processes in response to climate cycles and trends since the late Miocene. Via seismic correlation to the shelf, we interpret massive prograding sequences that extended the outer shelf by 80 km during the Pliocene through frequent advances of grounded ice. Buried grounding zone wedges indicate prolonged periods of ice-sheet retreat, or even collapse, during an extended mid-Pliocene warm period from similar to 4.2-3.2 Ma inferred from Expedition 379 records. These results indicate that the WAIS was highly dynamic during the Pliocene and major retreat events may have occurred along the Amundsen Sea margin.</t>
  </si>
  <si>
    <t>[Gohl, Karsten; Uenzelmann-Neben, Gabriele; Gille-Petzoldt, Johanna; Klages, Johann P.; Lamb, Rachel] Alfred Wegener Inst Helmholtz, Ctr Polar &amp; Marine Res, Div Geosci, Bremerhaven, Germany; [Hillenbrand, Claus-Dieter] British Antarctic Survey, Cambridge, England; [Bohaty, Steven M.] Univ Southampton, Natl Ocealog Ctr Southampton, Southampton, Hants, England; [Passchier, Sandra] Montclair State Univ, Dept Earth &amp; Environm Studies, Montclair, NJ USA; [Frederichs, Thomas] Univ Bremen, Dept Geosci, Bremen, Germany; [Wellner, Julia S.] Univ Houston, Dept Earth &amp; Atmospher Sci, Houston, TX USA; [Leitchenkov, German] VNIIOkeangeologia, St Petersburg, Russia; [Leitchenkov, German] St Petersburg State Univ, St Petersburg, Russia</t>
  </si>
  <si>
    <t>Helmholtz Association; Alfred Wegener Institute, Helmholtz Centre for Polar &amp; Marine Research; UK Research &amp; Innovation (UKRI); Natural Environment Research Council (NERC); NERC British Antarctic Survey; University of Southampton; Montclair State University; University of Bremen; University of Houston System; University of Houston; Saint Petersburg State University</t>
  </si>
  <si>
    <t>Gohl, K (corresponding author), Alfred Wegener Inst Helmholtz, Ctr Polar &amp; Marine Res, Div Geosci, Bremerhaven, Germany.</t>
  </si>
  <si>
    <t>karsten.gohl@awi.de</t>
  </si>
  <si>
    <t>Renaudie, Johan/D-9077-2012; Passchier, Sandra/GYU-2381-2022; Passchier, Sandra/B-1993-2008</t>
  </si>
  <si>
    <t>Renaudie, Johan/0000-0002-9107-1984; Passchier, Sandra/0000-0001-7204-7025; Rahaman, Waliur/0000-0001-6439-4529; Klages, Johann Philipp/0000-0003-0968-1183; Bauersachs, Thorsten/0000-0003-4858-9443; Uenzelmann-Neben, Gabriele/0000-0002-0115-5923; Horikawa, Keiji/0000-0003-0337-0413; Kim, Ji-Hoon/0000-0003-2430-3869; Lamb, Rachel/0000-0003-4718-2027; Gohl, Karsten/0000-0002-9558-2116; Wellner, Julia/0000-0002-6807-8635</t>
  </si>
  <si>
    <t>JOIDES Resolution Science Operator (JRSO); SCAR Antarctic Seismic Data Library System (SDLS) - Deutsche Forschungsgemeinschaft (DFG) [GO724/19-1]; Natural Environment Research Council (NERC) UK IODP [NE/T010975/1]; U.S. Science Support Program under National Science Foundation (NSF) [OCE1450528, 94 (GG009393)]; Scientific Committee for Antarctic Research (SCAR); NERC [NE/T010975/1] Funding Source: UKRI</t>
  </si>
  <si>
    <t>JOIDES Resolution Science Operator (JRSO); SCAR Antarctic Seismic Data Library System (SDLS) - Deutsche Forschungsgemeinschaft (DFG)(German Research Foundation (DFG)); Natural Environment Research Council (NERC) UK IODP(UK Research &amp; Innovation (UKRI)Natural Environment Research Council (NERC)); U.S. Science Support Program under National Science Foundation (NSF); Scientific Committee for Antarctic Research (SCAR); NERC(UK Research &amp; Innovation (UKRI)Natural Environment Research Council (NERC))</t>
  </si>
  <si>
    <t>The authors are grateful to the International Ocean Discovery Program (IODP) organizations, in particular the JOIDES Resolution Science Operator (JRSO) as well as the master and his ship and drill crews of RV JOIDES Resolution for their support in conducting IODP Expedition 379. This research used samples and data provided by the IODP. Thanks to John B. Anderson for providing SCS line NBP9902-11. The TH86 line is from the SCAR Antarctic Seismic Data Library System (SDLS). Our thanks also go to the master, crew and science team of the RV Akademik Alexander Karpinsky for collecting and providing swath bathymetry data of the deep-sea channel. The contribution of R. Lamb was funded by the Deutsche Forschungsgemeinschaft (DFG) in the framework of Priority Program 527 IODP through grant GO724/19-1. Contribution of C.-D. Hillenbrand was funded through Natural Environment Research Council (NERC) UK IODP grant NE/T010975/1. S. Passchier was funded by the U.S. Science Support Program under National Science Foundation (NSF) award #OCE1450528 subcontract 94 (GG009393). The study contributes to the Scientific Research Program Instabilities and Thresholds in Antarctica (INSTANT) of the Scientific Committee for Antarctic Research (SCAR). The authors would like to thank Emerson E&amp;P Software, Emerson Automation Solutions, for providing licenses for the seismic software Paradigm in the scope of the Emerson Academic Program. Constructive comments by Laura De Santis and two anonymous reviewers helped improve the manuscript. Open access funding enabled and organized by Projekt DEAL.</t>
  </si>
  <si>
    <t>e2021GL093103</t>
  </si>
  <si>
    <t>10.1029/2021GL093103</t>
  </si>
  <si>
    <t>Green Published, hybrid, Green Submitted</t>
  </si>
  <si>
    <t>WOS:000711496700024</t>
  </si>
  <si>
    <t>Peters, ST; Schroeder, DM; Chu, W; Castelletti, D; Haynes, MS; Christoffersen, P; Romero-Wolf, A</t>
  </si>
  <si>
    <t>Peters, S. T.; Schroeder, D. M.; Chu, W.; Castelletti, D.; Haynes, M. S.; Christoffersen, P.; Romero-Wolf, A.</t>
  </si>
  <si>
    <t>Glaciological Monitoring Using the Sun as a Radio Source for Echo Detection</t>
  </si>
  <si>
    <t>passive sounding; radioglaciology; radio-echo sounding; cryosphere; remote sensing</t>
  </si>
  <si>
    <t>ANTARCTIC ICE-SHEET; IN-SITU; MELTWATER STORAGE; GREENLAND; SHELF; VARIABILITY; SURFACE; RADAR; FIRN; FLOW</t>
  </si>
  <si>
    <t>Ice-penetrating radar observations are critical for projecting ice-sheet contribution to sea-level rise; however, these prognostic models have significant uncertainties due to an incomplete understanding of glacial subsurface processes. Existing radars that can characterize subsurface conditions are too resource-intensive to simultaneously monitor ice sheets at both the necessary temporal-daily to multiannual-and spatial-tributary to continental-scales. Here, we investigate using an ambient radio source, instead of transmitting a signal, for glaciological monitoring. We demonstrate, for the first time, passive radio sounding using the Sun to accurately measure ice thickness on Store Glacier, Greenland. Passive radar sounding could provide low-resource time-series measurements of the cryosphere, enabling us to observe and understand evolving englacial and subglacial conditions across Greenland and Antarctica with unprecedented coverage and resolution.</t>
  </si>
  <si>
    <t>[Peters, S. T.; Schroeder, D. M.] Stanford Univ, Dept Elect Engn, Stanford, CA 94305 USA; [Schroeder, D. M.; Castelletti, D.] Stanford Univ, Dept Geophys, Stanford, CA 94305 USA; [Chu, W.] Georgia Inst Technol, Sch Earth &amp; Atmospher Sci, Atlanta, GA 30332 USA; [Haynes, M. S.; Romero-Wolf, A.] NASA, Jet Propul Lab, Pasadena, CA USA; [Christoffersen, P.] Univ Cambridge, Scott Polar Res Inst, Cambridge, England; [Christoffersen, P.] Univ Cambridge, Dept Geog, Cambridge, England</t>
  </si>
  <si>
    <t>Stanford University; Stanford University; University System of Georgia; Georgia Institute of Technology; National Aeronautics &amp; Space Administration (NASA); NASA Jet Propulsion Laboratory (JPL); University of Cambridge; University of Cambridge</t>
  </si>
  <si>
    <t>Peters, ST (corresponding author), Stanford Univ, Dept Elect Engn, Stanford, CA 94305 USA.</t>
  </si>
  <si>
    <t>stpeters@stanford.edu</t>
  </si>
  <si>
    <t>Peters, Sean/AAG-6372-2021; Christoffersen, Poul/C-7328-2013</t>
  </si>
  <si>
    <t>Peters, Sean/0000-0003-2527-8271; Romero-Wolf, Andrew/0000-0002-4992-4162; Christoffersen, Poul/0000-0003-2643-8724; Schroeder, Dustin/0000-0003-1916-3929</t>
  </si>
  <si>
    <t>NASA Cryospheric Sciences; ERC</t>
  </si>
  <si>
    <t>NASA Cryospheric Sciences(National Aeronautics &amp; Space Administration (NASA)); ERC(European Research Council (ERC))</t>
  </si>
  <si>
    <t>A portion of this work was carried out by the Jet Propulsion Laboratory, California Institute of Technology, under a contract with the National Aeronautics and Space Administration. Dustin Schroeder and Davide Castelletti were also partially supported by a grant from the NASA Cryospheric Sciences. The authors acknowledge Leonardo Carrer for a technical discussion regarding RFI filters and RESPONDER, an ERC-funded research project.</t>
  </si>
  <si>
    <t>e2021GL092450</t>
  </si>
  <si>
    <t>10.1029/2021GL092450</t>
  </si>
  <si>
    <t>hybrid, Green Published</t>
  </si>
  <si>
    <t>WOS:000711496700012</t>
  </si>
  <si>
    <t>Siegfried, MR; Fricker, HA</t>
  </si>
  <si>
    <t>Siegfried, M. R.; Fricker, H. A.</t>
  </si>
  <si>
    <t>Illuminating Active Subglacial Lake Processes With ICESat-2 Laser Altimetry</t>
  </si>
  <si>
    <t>ICESat-2; Antarctica; Ice Sheet; subglacial lake; ice dynamics; laser altimetry</t>
  </si>
  <si>
    <t>WEST ANTARCTICA; ICE STREAM; RESERVOIR BENEATH; CONTINENT-WIDE; SYSTEM BENEATH; WHILLANS; DRAINAGE; GLACIER; SHEET; MODEL</t>
  </si>
  <si>
    <t>Antarctica's basal water system contains more than 130 active lakes, and its evolution remains a major uncertainty in future ice sheet dynamics. Most of our current understanding has come from using satellite radar and laser altimetry acquired since 2003. NASA's ICESat-2 laser altimetry mission, launched in September 2018, provides a new, small-footprint altimetry data set with which to investigate Antarctic active subglacial lake processes. Here, we demonstrate the ability to continue monitoring active subglacial lakes at timescales shorter than the ICESat-2's repeat cycle and generate self-consistent time series of subglacial lake surface-height anomalies from combined ICESat, CryoSat-2, and ICESat-2 altimetry. Focusing on three regions with the known significant lake activity, we show that ICESat-2 laser altimetry can not only extend the record of subglacial lake activity but also provides better understanding of hydrological processes by capturing denser and more precise spatial detail.</t>
  </si>
  <si>
    <t>[Siegfried, M. R.] Colorado Sch Mines, Dept Geophys, Golden, CO 80401 USA; [Fricker, H. A.] Scripps Inst Oceanog, Inst Geophys &amp; Planetary Phys, La Jolla, CA USA</t>
  </si>
  <si>
    <t>Colorado School of Mines; University of California System; University of California San Diego; Scripps Institution of Oceanography</t>
  </si>
  <si>
    <t>Siegfried, MR (corresponding author), Colorado Sch Mines, Dept Geophys, Golden, CO 80401 USA.</t>
  </si>
  <si>
    <t>siegfried@mines.edu</t>
  </si>
  <si>
    <t>Fricker, Helen Amanda/0000-0002-0921-1432</t>
  </si>
  <si>
    <t>NASA [80NSSC20K0977]</t>
  </si>
  <si>
    <t>NASA(National Aeronautics &amp; Space Administration (NASA))</t>
  </si>
  <si>
    <t>The authors thank the ICESat-2 Project Science Office for decades of hard work to ensure the continued success of the ICESat-2 mission, Neil Ross for renewing our interest in the Academy Glacier system, and two anonymous reviewers, whose commentary improved the manuscript. M.R.S. was funded, in part, by NASA grants 80NSSC20K1062 and 80NSSC21K0912; H.A.F. was funded, in part, by NASA Grant 80NSSC20K0977.</t>
  </si>
  <si>
    <t>e2020GL091089</t>
  </si>
  <si>
    <t>10.1029/2020GL091089</t>
  </si>
  <si>
    <t>WOS:000711496700018</t>
  </si>
  <si>
    <t>Warner, RC; Fricker, HA; Adusumilli, S; Arndt, P; Kingslake, J; Spergel, JJ</t>
  </si>
  <si>
    <t>Warner, Roland C.; Fricker, Helen A.; Adusumilli, Susheel; Arndt, Philipp; Kingslake, Jonathan; Spergel, Julian J.</t>
  </si>
  <si>
    <t>Rapid Formation of an Ice Doline on Amery Ice Shelf, East Antarctica</t>
  </si>
  <si>
    <t>Antarctica; ice shelves; ice flexure; Amery Ice Shelf; surface melting; remote sensing</t>
  </si>
  <si>
    <t>SUPRAGLACIAL LAKE DEPTH; TIDAL FLEXURE; SURFACE MELT; SHEET; MODEL; MELTWATER; FRACTURE; DRAINAGE; STRESS; INSAR</t>
  </si>
  <si>
    <t>Surface meltwater accumulating on Antarctic ice shelves can drive fractures through to the ocean and potentially cause their collapse, leading to increased ice discharge from the continent. Implications of increasing surface melt for future ice shelf stability are inadequately understood. The southern Amery Ice Shelf has an extensive surface hydrological system, and we present data from satellite imagery and ICESat-2 showing a rapid surface disruption there in winter 2019, covering similar to 60 km(2). We interpret this as an ice-covered lake draining through the ice shelf, forming an ice doline with a central depression reaching 80 m depth amidst over 36 m uplift. Flexural rebound modeling suggests 0.75 km(3) of water was lost. We observed transient refilling of the doline the following summer with rapid incision of a narrow meltwater channel (20 m wide and 6 m deep). This study demonstrates how high-resolution geodetic measurements can explore critical fine-scale ice shelf processes.</t>
  </si>
  <si>
    <t>[Warner, Roland C.] Univ Tasmania, Australian Antarctic Program Partnership, Insti Marine &amp; Antarctic Studies, Hobart, Tas, Australia; [Fricker, Helen A.; Adusumilli, Susheel; Arndt, Philipp] Univ Calif San Diego, Inst Geophys &amp; Planetary Phys, Scripps Inst Oceanog, La Jolla, CA USA; [Kingslake, Jonathan; Spergel, Julian J.] Columbia Univ, Dept Earth &amp; Environm Sci, Lamont Doherty Earth Observ, Palisades, NY USA</t>
  </si>
  <si>
    <t>University of Tasmania; University of California System; University of California San Diego; Scripps Institution of Oceanography; Columbia University</t>
  </si>
  <si>
    <t>Warner, RC (corresponding author), Univ Tasmania, Australian Antarctic Program Partnership, Insti Marine &amp; Antarctic Studies, Hobart, Tas, Australia.</t>
  </si>
  <si>
    <t>roland.warner@utas.edu.au</t>
  </si>
  <si>
    <t>Warner, Roland Charles/ISS-2485-2023; Warner, Robert R./M-5342-2013; Arndt, Philipp S./AAG-4254-2021</t>
  </si>
  <si>
    <t>Warner, Roland Charles/0000-0002-9778-3544; Arndt, Philipp S./0000-0002-4759-5166; Fricker, Helen Amanda/0000-0002-0921-1432</t>
  </si>
  <si>
    <t>Polar Geospatial Center under NSF-OPP [1043681, 1559691]; NSF; Fricker (NASA) [80NSSC20K0977]; Adusumilli (NASA Earth and Space Science Fellowship (NESSF)) [80NSSC18K1424]; Arndt (Future Investigators in NASA) [80NSSC20K1666, OPP-1743310]; Australian Government as part of the Antarctic Science Collaboration Initiative program</t>
  </si>
  <si>
    <t>Polar Geospatial Center under NSF-OPP; NSF(National Science Foundation (NSF)); Fricker (NASA); Adusumilli (NASA Earth and Space Science Fellowship (NESSF)); Arndt (Future Investigators in NASA); Australian Government as part of the Antarctic Science Collaboration Initiative program(Australian Government)</t>
  </si>
  <si>
    <t>We would like to thank the ICESat-2 Science Team, particularly the Land Ice group, and the OpenAltimetry Team. We are grateful to Mike Cloutier, Polar Geospatial Center for assistance with WorldView imagery and DEMs produced using data from DigitalGlobe Inc. Geospatial support for this work was provided by Polar Geospatial Center under NSF-OPP awards 1043681 and 1559691. The authors thank Alison Banwell and another anonymous reviewer for suggestions that improved the flow of the paper, and also thank Alison for a dialog that clarified our perspective on the viscoelastic character of the flexural response to the mass loss during lake drainage. The USbased authors were supported through various NASA and NSF awards: Fricker (NASA ICESat-2 ST Award No. 80NSSC20K0977); Adusumilli (NASA Earth and Space Science Fellowship (NESSF) Award No. 80NSSC18K1424); Arndt (Future Investigators in NASA Earth and Space Science and Technology Award No. 80NSSC20K1666); Spergel and Kingslake (National Science Foundation Grant No. OPP-1743310). This project received grant funding from the Australian Government as part of the Antarctic Science Collaboration Initiative program. This research was done during COVID-19 work-fromhome orders in Australia and the USA; interactions were facilitated by Zoom and Slack.</t>
  </si>
  <si>
    <t>e2020GL091095</t>
  </si>
  <si>
    <t>10.1029/2020GL091095</t>
  </si>
  <si>
    <t>WOS:000711496700065</t>
  </si>
  <si>
    <t>Cairns, WRL; Turetta, C; Maffezzoli, N; Magand, O; Araujo, BF; Angot, H; Segato, D; Cristofanelli, P; Sprovieri, F; Scarchilli, C; Grigioni, P; Ciardini, V; Barbante, C; Dommergue, A; Spolaor, A</t>
  </si>
  <si>
    <t>Cairns, Warren R. L.; Turetta, Clara; Maffezzoli, Niccolo; Magand, Olivier; Araujo, Beatriz Ferreira; Angot, Helene; Segato, Delia; Cristofanelli, Paolo; Sprovieri, Francesca; Scarchilli, Claudio; Grigioni, Paolo; Ciardini, Virginia; Barbante, Carlo; Dommergue, Aurelien; Spolaor, Andrea</t>
  </si>
  <si>
    <t>Mercury in precipitated and surface snow at Dome C and a first estimate of mercury depositional fluxes during the Austral summer on the high Antarctic plateau</t>
  </si>
  <si>
    <t>ATMOSPHERIC ENVIRONMENT</t>
  </si>
  <si>
    <t>Snow scavenging factor; Atmospheric conditions; Snow sublimation; High resolution sampling</t>
  </si>
  <si>
    <t>GASEOUS ELEMENTAL MERCURY; ATMOSPHERIC MERCURY; CONCORDIA STATION; LAYER HEIGHT; EXCHANGE; ICE; AMALGAMATION; BALANCE; ENERGY; OZONE</t>
  </si>
  <si>
    <t>The role of deposition fluxes on the mercury cycle at Concordia station, on the high Antarctic plateau have been investigated over the Austral summer between December 2017 to January 2018. Wet/frozen deposition was collected daily from specially sited tables, simultaneously with the collection of surface (0-3 cm) and subsurface (3-6 cm) snow and the analysis of Hg-0 in the ambient air. Over the course of the experiment the atmospheric Hg-0 concentrations ranged from 0.58 +/- 0.19 to 1.00 +/- 0.33 ng m(-3), surface snow Hg concentrations varied between (0-3 cm) 0.006 +/- 0.003 to 0.001 +/- 0.001 ng cm(-3) and subsurface snow (3-6 cm) concentrations varied between 0.001 +/- 0.001 to 0.003 +/- 0.002 ng cm(-3). The maximum daily wet deposition flux was found to be 23 ng m(-2) d(-)(1). Despite the low temporal resolution of our measurements combined with their potential errors, the linear regression of the Hg deposition fluxes against the snow accumulation rates allowed us to estimate the mean dry deposition rate from the intercept of the graph as -0.005 +- 0.008 ng m(-2) d(-1). From this analysis, we conclude that wet deposition accounts for the vast majority of the Hg deposition fluxes at Concordia Station. The number of snow events, together with the continuous GEM measurements have allowed us to make a first estimation of the mean snow scavenging factor at Dome C. Using the slope of the regression of mercury flux on snow accumulation we obtained a snow scavenging factor that ranges from 0.21 to 0.22 +/- 0.02 (ng(Hg)/g (snow))/(ng(Hg)/m(3) (air)). Our data indicate that the boundary layer height and local meteorological effects influence Hg-0 reemission from the top of (0-3 cm) the snowpack into the atmosphere and into the deeper snowpack layer (3-6 cm). These data will help constrain numerical models on the behaviour of mercury in Antarctica.</t>
  </si>
  <si>
    <t>[Cairns, Warren R. L.; Turetta, Clara; Maffezzoli, Niccolo; Segato, Delia; Barbante, Carlo; Spolaor, Andrea] CNR Inst Polar Sci ISP CNR, 155 Via Torino, I-30170 Venice, Italy; [Magand, Olivier; Dommergue, Aurelien] Univ Grenoble Alpes, Inst Geosci Environm, Grenoble INP, CNRS,IRD, F-38400 Grenoble, France; [Araujo, Beatriz Ferreira] Univ Paul Sabatier Toulouse III, CET, CNRS, IRD, Toulouse, France; [Angot, Helene] Univ Colorado, Inst Arctic &amp; Alpine Res INSTAAR, Boulder, CO 80309 USA; [Cairns, Warren R. L.; Turetta, Clara; Maffezzoli, Niccolo; Segato, Delia; Barbante, Carlo; Spolaor, Andrea] Univ Ca Foscari Venice, Dept Environm Sci Informat &amp; Stat, 155 Via Torino, I-30170 Venice, Italy; [Cristofanelli, Paolo] Inst Atmospher Sci &amp; Climate CNR ISAC, Via P Gobetti 101, I-40129 Bologna, Italy; [Sprovieri, Francesca] CNR Inst Atmospher Pollut Res IIA CNR, Div Rende, UNICAL Polifunz, I-87036 Arcavacata Di Rende, Italy; [Scarchilli, Claudio; Grigioni, Paolo; Ciardini, Virginia] ENEA, CR Casaccia, I-00123 Rome, Italy</t>
  </si>
  <si>
    <t>Communaute Universite Grenoble Alpes; Universite Grenoble Alpes (UGA); Centre National de la Recherche Scientifique (CNRS); Institut de Recherche pour le Developpement (IRD); Institut National Polytechnique de Grenoble; Universite de Toulouse; Universite Toulouse III - Paul Sabatier; Centre National de la Recherche Scientifique (CNRS); Institut de Recherche pour le Developpement (IRD); University of Colorado System; University of Colorado Boulder; Universita Ca Foscari Venezia; Consiglio Nazionale delle Ricerche (CNR); Istituto di Scienze dell'Atmosfera e del Clima (ISAC-CNR); Italian National Agency New Technical Energy &amp; Sustainable Economics Development</t>
  </si>
  <si>
    <t>Cairns, WRL (corresponding author), CNR Inst Polar Sci ISP CNR, 155 Via Torino, I-30170 Venice, Italy.</t>
  </si>
  <si>
    <t>warrenraymondlee.cairns@cnr.it</t>
  </si>
  <si>
    <t>Cristofanelli, Paolo/AAA-5575-2021; Turetta, Clara/O-2849-2015; Barbante, Carlo/B-3195-2011; dommergue, aurelien/HLP-6539-2023</t>
  </si>
  <si>
    <t>Cristofanelli, Paolo/0000-0001-5666-9131; Turetta, Clara/0000-0003-3130-2901; dommergue, aurelien/0000-0002-8185-9604; MAGAND, Olivier/0000-0001-8711-4155; Barbante, Carlo/0000-0003-4177-2288; Scarchilli, Claudio/0000-0002-2414-2439; Maffezzoli, Niccolo/0000-0002-8649-9185; Segato, Delia/0000-0003-3375-3319; Spolaor, Andrea/0000-0001-8635-9193</t>
  </si>
  <si>
    <t>LabEX OSUG@2020 [ANR10 LABX56]; French Polar Institute (IPEV) [GMOStral-1028 IPEV]; European Union via project iCUPE (Integrative and Comprehensive Understanding on Polar Environments), part of the European Commission (ERA-PLANET) from the Programma Nazionale per la Ricerca in Antartide (PNRA) [689443, PNRA16_00295]; European Union; LEFE CNRS/INSU</t>
  </si>
  <si>
    <t>LabEX OSUG@2020; French Polar Institute (IPEV); European Union via project iCUPE (Integrative and Comprehensive Understanding on Polar Environments), part of the European Commission (ERA-PLANET) from the Programma Nazionale per la Ricerca in Antartide (PNRA); European Union(European Union (EU)); LEFE CNRS/INSU</t>
  </si>
  <si>
    <t>QAed/Qced DMC GEM data, accessible in GMOS-FR national database (https://gmos.aeris-data.fr/) and from the G-DQM central database system of GMOS/GOS4M (https://www.gmos.eu/sdi/), have been collected through fundings obtained by the European Union 7th Framework Programme project Global Mercury Observation System (GMOS, 2010-2015), LabEX OSUG@2020 (ANR10 LABX56), LEFE CNRS/INSU as well as from French Polar Institute (IPEV) via GMOStral-1028 IPEV program since 2012.; This project has received funding from the European Union's Horizon 2020 research and innovation programme under grant agreement no. 689443 via project iCUPE (Integrative and Comprehensive Understanding on Polar Environments), part of the European Commission (ERA-PLANET (grant no. 689443)) from the Programma Nazionale per la Ricerca in Antartide (PNRA, project number PNRA16_00295).</t>
  </si>
  <si>
    <t>1352-2310</t>
  </si>
  <si>
    <t>1873-2844</t>
  </si>
  <si>
    <t>ATMOS ENVIRON</t>
  </si>
  <si>
    <t>Atmos. Environ.</t>
  </si>
  <si>
    <t>10.1016/j.atmosenv.2021.118634</t>
  </si>
  <si>
    <t>UJ3UU</t>
  </si>
  <si>
    <t>WOS:000691215300001</t>
  </si>
  <si>
    <t>Ceballos, SG; Papetti, C; Babbucci, M; Fernández, DA; Schiavon, L; Cheng, CHC</t>
  </si>
  <si>
    <t>Ceballos, Santiago G.; Papetti, Chiara; Babbucci, Massimiliano; Fernandez, Daniel A.; Schiavon, Luca; Cheng, C-H Christina</t>
  </si>
  <si>
    <t>Genome-wide analysis reveals striking lack of genetic differentiation over long distances for the Antarctic toothfish Dissostichus mawsoni: High genetic connectivity or shared spawning grounds?</t>
  </si>
  <si>
    <t>Population genomics; Dissostichus mawsoni; RAD-seq; Stock structure</t>
  </si>
  <si>
    <t>ROSS SEA; LIFE-HISTORY; POPULATION; MITOCHONDRIAL; DIVERSITY; INFERENCE; PACKAGE; GROWTH; RADSEQ; AGE</t>
  </si>
  <si>
    <t>The giant Antarctic toothfish Dissostichus mawsoni is one of the most economically valued fishery resources from the Southern Ocean. However, the distinctive biological characteristics and life history of this species, including large body size, long life span, late sexual maturity, and specialization to freezing polar waters, make it particularly vulnerable to overfishing and global climate change. It is therefore of fundamental importance to administer sound management and conservation actions to avoid depletion of this unique species. The crucial issue of whether this species consists of distinct biological units or stocks, which is needed to inform appropriate management and conservation, is currently unresolved. We report here the first RAD-seq analysis of Antarctic toothfish populations, a powerful approach of genome-wide discovery of SNP loci, to assess genetic differentiation between the geographically distant individuals from CCAMLAR Subarea 48.1 locations (South Shetland Islands and West Antarctic Peninsula coasts) and Subarea 88.1 (Ross Sea and McMurdo Sound). We recovered 19,611 SNPs belonging to 13,251 widely shared loci. Comprehensive population structure analyses unambiguously indicated absence of any significant level of population differentiation, thus the null hypothesis of panmixia cannot be rejected. Together with currently known life history traits of D. mawsoni, we suggest this striking lack of genomic differentiation likely reflects high degrees of contemporary and/or historical gene flow rather than shared spawning grounds. Complementary analyses, particularly otolith microchemistry, would contribute useful inference of natal origins.</t>
  </si>
  <si>
    <t>[Ceballos, Santiago G.; Fernandez, Daniel A.] Univ Nacl Tierra Fuego UNTDF, Inst Ciencias Polares Ambiente &amp; Recursos Nat ICP, V9410BXE, Ushuaia, Argentina; [Ceballos, Santiago G.; Fernandez, Daniel A.] Ctr Austral Invest Cient CADIC CONICET, V9410BXE, Ushuaia, Argentina; [Papetti, Chiara; Schiavon, Luca] Univ Padua, Dept Biol, I-35121 Padua, Italy; [Babbucci, Massimiliano] Univ Padua, Dept Comparat Biomed &amp; Food Sci, I-35020 Legnaro, Italy; [Cheng, C-H Christina] Univ Illinois, Dept Evolut Ecol &amp; Behav, Urbana, IL 61801 USA</t>
  </si>
  <si>
    <t>Consejo Nacional de Investigaciones Cientificas y Tecnicas (CONICET); University of Padua; University of Padua; University of Illinois System; University of Illinois Urbana-Champaign</t>
  </si>
  <si>
    <t>Ceballos, SG (corresponding author), Univ Nacl Tierra Fuego UNTDF, Inst Ciencias Polares Ambiente &amp; Recursos Nat ICP, V9410BXE, Ushuaia, Argentina.</t>
  </si>
  <si>
    <t>sceballos@untdf.edu.ar</t>
  </si>
  <si>
    <t>Ceballos, Santiago Guillermo/0000-0002-6417-9412; Schiavon, Luca/0000-0003-4298-8515; Papetti, Chiara/0000-0002-4567-459X</t>
  </si>
  <si>
    <t>CONICET; US National Science Foundation Office of Polar Programs [OPP-0231006, ANT-1142158]; Mohamed bin Zayed Species Conservation Fund [182519694]</t>
  </si>
  <si>
    <t>CONICET(Consejo Nacional de Investigaciones Cientificas y Tecnicas (CONICET)); US National Science Foundation Office of Polar Programs(National Science Foundation (NSF)); Mohamed bin Zayed Species Conservation Fund</t>
  </si>
  <si>
    <t>This work was facilitated by the fellowship granted by CONICET to SGC for a research stay at C-HCC lab at the UIUC. We thank ESTREMAR SAU for contribution of equipment, reagents and services necessary for RAD library preparations and sequencing. C-HCC thanks her Antarctic field team especially Arthur DeVries in the collection of Antarctic toothfish, and additionally to the marine technical crew onboard of the R/V Laurence M. Gould. C-HCC acknowledges research funding support (grants OPP-0231006, ANT-1142158) from the US National Science Foundation Office of Polar Programs. The authors would like to thank Magnus Lucassen, Nils Koschnick, Stephan Hain (Alfred Wegener Institute Helmholtz Centre for Polar and Marine Research, AWI, Bremerhaven, Germany) and the ship crew for their help in collecting samples onboard the R/V Polarstern. The authors are deeply grateful to Henrik Christiansen (Laboratory of Biodiversity and Evolutionary Genomics, KU Leuven, Leuven, Belgium) for providing precious samples from the Ross Sea. The authors are grateful to Mario La Mesa who shared thoughts about the implications of our results and gave valuable feedback on the manuscript. The authors are grateful to Emilio Riginella (Anton Dohrn Zoological Station, Napoli, Italy) for the insightful comments during data analysis. We also thank Rafaella Franch, Alessandra Battistotti, Giuditta Codogno and Ilaria Anna Maria Marino for their help with the lab work. This research was partially supported by The Mohamed bin Zayed Species Conservation Fund, project no.182519694 to CP.</t>
  </si>
  <si>
    <t>10.1016/j.fishres.2021.106074</t>
  </si>
  <si>
    <t>UI2KC</t>
  </si>
  <si>
    <t>WOS:000690441900007</t>
  </si>
  <si>
    <t>Schmidt, AE; Ballard, G; Lescroël, A; Dugger, KM; Jongsomjit, D; Elrod, ML; Ainley, DG</t>
  </si>
  <si>
    <t>Schmidt, Annie E.; Ballard, Grant; Lescroel, Amelie; Dugger, Katie M.; Jongsomjit, Dennis; Elrod, Megan L.; Ainley, David G.</t>
  </si>
  <si>
    <t>The influence of subcolony-scale nesting habitat on the reproductive success of Adelie penguins</t>
  </si>
  <si>
    <t>SCIENTIFIC REPORTS</t>
  </si>
  <si>
    <t>COLONY SIZE; BREEDING SUCCESS; CLIMATE-CHANGE; SITE CHARACTERISTICS; AVIAN PREDATION; FORAGING EFFORT; ROSS SEA; POPULATION; ISLAND; INTERCOLONY</t>
  </si>
  <si>
    <t>Group-size variation is common in colonially breeding species, including seabirds, whose breeding colonies can vary in size by several orders of magnitude. Seabirds are some of the most threatened marine taxa and understanding the drivers of colony size variation is more important than ever. Reproductive success is an important demographic parameter that can impact colony size, and it varies in association with a number of factors, including nesting habitat quality. Within colonies, seabirds often aggregate into distinct groups or subcolonies that may vary in quality. We used data from two colonies of Adelie penguins 73 km apart on Ross Island, Antarctica, one large and one small to investigate (1) How subcolony habitat characteristics influence reproductive success and (2) How these relationships differ at a small (Cape Royds) and large (Cape Crozier) colony with different terrain characteristics. Subcolonies were characterized using terrain attributes (elevation, slope aspect, slope steepness, wind shelter, flow accumulation), as well group characteristics (area/size, perimeter-to-area ratio, and proximity to nest predators). Reproductive success was higher and less variable at the larger colony while subcolony characteristics explained more of the variance in reproductive success at the small colony. The most important variable influencing subcolony quality at both colonies was perimeter-to-area ratio, likely reflecting the importance of nest predation by south polar skuas along subcolony edges. The small colony contained a higher proportion of edge nests thus higher potential impact from skua nest predation. Stochastic environmental events may facilitate smaller colonies becoming trapped by nest predation: a rapid decline in the number of breeding individuals may increase the proportion of edge nests, leading to higher relative nest predation and hindering population recovery. Several terrain covariates were retained in the final models but which variables, the shapes of the relationships, and importance varied between colonies.</t>
  </si>
  <si>
    <t>[Schmidt, Annie E.; Ballard, Grant; Lescroel, Amelie; Jongsomjit, Dennis; Elrod, Megan L.] Point Blue Conservat Sci, Petaluma, CA 94954 USA; [Dugger, Katie M.] Oregon State Univ, US Geol Survey, Oregon Cooperat Fish &amp; Wildlife Res Unit, Dept Fisheries &amp; Wildlife, Corvallis, OR 97331 USA; [Ainley, David G.] HT Harvey &amp; Associates Ecol Consultants, Los Gatos, CA 95032 USA</t>
  </si>
  <si>
    <t>United States Department of the Interior; United States Geological Survey; Oregon State University</t>
  </si>
  <si>
    <t>Schmidt, AE (corresponding author), Point Blue Conservat Sci, Petaluma, CA 94954 USA.</t>
  </si>
  <si>
    <t>aschmidt@pointblue.org</t>
  </si>
  <si>
    <t>Ballard, Grant/0000-0002-8604-7066; Schmidt, Annie/0000-0001-6144-9950</t>
  </si>
  <si>
    <t>NSF [OPP 9814882, 0125608, 0440643, 439759, 439200, 0944411, 944141, 944358, 1543498, 1542541, 1543459, 1935870]; Polar Geospatial Center under NSF-OPP awards [1043681, 1559691]; Directorate For Geosciences; Office of Polar Programs (OPP) [0125608] Funding Source: National Science Foundation; Directorate For Geosciences; Office of Polar Programs (OPP) [1543498, 1935870, 1543459] Funding Source: National Science Foundation</t>
  </si>
  <si>
    <t>NSF(National Science Foundation (NSF)); Polar Geospatial Center under NSF-OPP awards; Directorate For Geosciences; Office of Polar Programs (OPP)(National Science Foundation (NSF)NSF - Directorate for Geosciences (GEO)); Directorate For Geosciences; Office of Polar Programs (OPP)(National Science Foundation (NSF)NSF - Directorate for Geosciences (GEO))</t>
  </si>
  <si>
    <t>We thank the many fieldworkers for their contributions to the long-term penguin counts at Cape Crozier and Cape Royds. We thank Antarctica New Zealand for contributing aerial photographs for this analysis. We also thank Jim Schmidt for providing advice on GIS analysis, Nadav Nur for advice on study design, and Michael Johns for tips on making maps in R. Financial support was provided by NSF grants OPP 9814882, 0125608, 0440643, 439759, 439200, 0944411, 944141, 944358, 1543498, 1542541, 1543459, and 1935870, with logistical support provided by the United States Antarctic Program. Geospatial support for this work provided by the Polar Geospatial Center under NSF-OPP awards 1043681 and 1559691. ArcGIS software was provided through the ESRI Nonprofit Organization Program. Any use of trade, firm, or product names is for descriptive purposes only and does not imply endorsement by the U.S. Government. The study was conducted under permit from the Antarctic Conservation Act using protocols approved by the Oregon State University Institutional Animal Care and Use Committee and the Point Blue Animal Care and Use Committee. This is Point Blue Conservation Science Contribution 2362.</t>
  </si>
  <si>
    <t>2045-2322</t>
  </si>
  <si>
    <t>SCI REP-UK</t>
  </si>
  <si>
    <t>Sci Rep</t>
  </si>
  <si>
    <t>10.1038/s41598-021-94861-7</t>
  </si>
  <si>
    <t>Multidisciplinary Sciences</t>
  </si>
  <si>
    <t>Science &amp; Technology - Other Topics</t>
  </si>
  <si>
    <t>TX8RJ</t>
  </si>
  <si>
    <t>WOS:000683353600041</t>
  </si>
  <si>
    <t>Martin, SM; Soeffker, M; Schofield, A; Hobbs, R; Glass, T; Morley, SA</t>
  </si>
  <si>
    <t>Martin, Stephanie M.; Soeffker, Marta; Schofield, Andy; Hobbs, Rhys; Glass, Trevor; Morley, Simon A.</t>
  </si>
  <si>
    <t>Cetaceans Sightings During Research Cruises in Three Remote Atlantic British Overseas Territories</t>
  </si>
  <si>
    <t>St Helena; Tristan da Cunha; South Georgia and South Sandwich Island; Marine protected area; whales and dolphins</t>
  </si>
  <si>
    <t>TRISTAN-DA-CUNHA; SOUTH GEORGIA; RELATIVE ABUNDANCE; LARGE WHALES; ISLANDS</t>
  </si>
  <si>
    <t>Marine mammal sightings were recorded during research cruises to three remote, midocean British Overseas Territories in the South Atlantic and Southern Ocean. In March to April 2018 and 2019, the Exclusive Economic Zones (EEZs) of tropical St Helena and temperate Tristan da Cunha were surveyed. The sub-polar waters of South Georgia and the South Sandwich Islands (SGSSI) were surveyed in February to March 2019. At St Helena in 2018, five species were recorded during 11 sightings, and in 2019, four species, with one additional unidentified species, during seven sightings. Most of these sightings were of dolphin species, which are known to be resident around the Island and seamounts. In Tristan da Cunha in 2018, a total of five identified and one unidentified species were recorded during six sightings, half of which were associated with the Islands or seamounts. In 2019, due to rough weather, no sightings were recorded in the Tristan da Cunha waters. Around SGSSI, 162 sightings of 236 cetaceans were made in 2019, mostly of baleen whales, with seven species identified with certainty. Sightings around the southern South Sandwich Islands included beaked whales and large dolphins, whereas baleen whales dominated in the northern South Sandwich Islands. These results provide new data for rarely surveyed regions, helping to build a spatial picture of important areas for marine mammals, which will help inform marine spatial protection strategies.</t>
  </si>
  <si>
    <t>[Martin, Stephanie M.; Glass, Trevor] Edinburgh Seven Seas, Tristan Cunha Govt, Tristan Cunha, Edinburgh, Midlothian, Scotland; [Soeffker, Marta] Ctr Environm, Fisheries &amp; Aquaculture Sci, Lowestoft, Suffolk, England; [Soeffker, Marta] Univ East Anglia, Sch Environm Sci, Norwich, Norfolk, England; [Schofield, Andy] Royal Soc Protect Birds, Sandy, Beds, England; [Hobbs, Rhys] St Helena Govt, Nat Resources &amp; Planning Directorate, Marine Sect Environm, Jamestown, St Helena; [Morley, Simon A.] NERC, British Antarctic Survey, Cambridge, England</t>
  </si>
  <si>
    <t>Centre for Environment Fisheries &amp; Aquaculture Science; University of East Anglia; Royal Society for Protection of Birds; UK Research &amp; Innovation (UKRI); Natural Environment Research Council (NERC); NERC British Antarctic Survey</t>
  </si>
  <si>
    <t>Martin, SM (corresponding author), Edinburgh Seven Seas, Tristan Cunha Govt, Tristan Cunha, Edinburgh, Midlothian, Scotland.</t>
  </si>
  <si>
    <t>Environment.policy@tdc.uk.com</t>
  </si>
  <si>
    <t>Soeffker, M/KBC-2650-2024; Soeffker, M/D-3258-2009</t>
  </si>
  <si>
    <t>Soeffker, M/0000-0002-7131-5486</t>
  </si>
  <si>
    <t>United Kingdom Government Blue Belt Programme, through the Centre for Environment, Fisheries and Aquaculture Sciences; Marine Management Organisation; Natural Environment Research Council through the British Antarctic Survey [NE/R000107/1]; Royal Society for the Protection of Birds; NERC [NE/T012439/1, bas0100036] Funding Source: UKRI</t>
  </si>
  <si>
    <t>United Kingdom Government Blue Belt Programme, through the Centre for Environment, Fisheries and Aquaculture Sciences; Marine Management Organisation; Natural Environment Research Council through the British Antarctic Survey; Royal Society for the Protection of Birds; NERC(UK Research &amp; Innovation (UKRI)Natural Environment Research Council (NERC))</t>
  </si>
  <si>
    <t>JR17-004 and DY100 were jointly funded by the United Kingdom Government Blue Belt Programme, through the Centre for Environment, Fisheries and Aquaculture Sciences and the MarineManagement Organisation, and the Natural Environment Research Council (Grant NE/R000107/1) through the British Antarctic Survey. AS was funded by the Royal Society for the Protection of Birds. DY99 was funded by the United Kingdom Government Blue Belt Programme through the Centre for Environment, Fisheries and Aquaculture Sciences and the Marine Management Organisation.</t>
  </si>
  <si>
    <t>10.3389/fmars.2021.660152</t>
  </si>
  <si>
    <t>TX7TE</t>
  </si>
  <si>
    <t>gold, Green Accepted</t>
  </si>
  <si>
    <t>WOS:000683290300001</t>
  </si>
  <si>
    <t>Sward, D; Monk, J; Barrett, NS</t>
  </si>
  <si>
    <t>Sward, Darryn; Monk, Jacquomo; Barrett, Neville Scott</t>
  </si>
  <si>
    <t>Regional estimates of a range-extending ecosystem engineer using stereo-imagery from ROV transects collected with an efficient, spatially balanced design</t>
  </si>
  <si>
    <t>REMOTE SENSING IN ECOLOGY AND CONSERVATION</t>
  </si>
  <si>
    <t>Balanced adaptive sampling; invasive species monitoring; remotely operated vehicles; robust monitoring; stereo video; surveying strategies</t>
  </si>
  <si>
    <t>URCHIN CENTROSTEPHANUS-RODGERSII; SHALLOW SUBTIDAL REEFS; NEW-SOUTH-WALES; CLIMATE-CHANGE; GENETIC-STRUCTURE; DEMERSAL FISH; ROCKY REEFS; SEA; ABUNDANCE; MODELS</t>
  </si>
  <si>
    <t>The redistribution of marine ecosystem engineers in response to changing climate is restructuring endemic benthic communities globally. Therefore, developing and implementing efficient monitoring programs across the complete depth range of these marine ecosystem engineers is often an urgent management priority. Traditionally, many monitoring programs have been based on a systematically selected set of survey locations that, while able to track trends at those sites through time, lack inference for the overall region being monitored. This study trialled a probabilistic sampling design to address this need, taking advantage of an important prerequisite for such designs, extensive multibeam echosounder (MBES) mapping, to inform a spatially balanced sample selection. Here, we allocated 170 remotely operated vehicles (ROVs) transects based on a spatially balanced probabilistic sampling design across three locations with extensive mapping. Generalized additive models were used to estimate the density and associated barren cover of the range-expanding ecosystem engineer, the long spined urchin (Centrostephanus rodgersii). Estimates were generated at a reef-wide scale across three locations on the east coast of Tasmania, Australia, representing the leading edge of the species recent range extension. Model-based estimates of urchin density and barren cover incorporated seabed structure attributes, such as depth and ruggedness, with differences in these modelled relationships being identified between locations. Estimates ranged from 0.000065 individuals m(-2) and 0.018% barren cover in the Tasman Peninsula to 0.167 individuals m(-2) and 2.10% barren cover at Governor Island Marine Reserve, reflecting a north to south distributional gradient. This study highlights the value of combining probabilistic sampling designs, ROV transects, stereo video, and MBES mapping to generate reliable and robust estimates of important ecosystem species needed to protect reef-based fishery and conservation values via adaptive and informed management.</t>
  </si>
  <si>
    <t>[Sward, Darryn; Monk, Jacquomo; Barrett, Neville Scott] Univ Tasmania, Inst Marine &amp; Antarctic Studies, Hobart, Tas, Australia</t>
  </si>
  <si>
    <t>University of Tasmania</t>
  </si>
  <si>
    <t>Sward, D (corresponding author), Univ Tasmania, Inst Marine &amp; Antarctic Studies, Hobart, Tas, Australia.</t>
  </si>
  <si>
    <t>darryn.sward@utas.edu.au</t>
  </si>
  <si>
    <t>; Barrett, Neville/J-7593-2014</t>
  </si>
  <si>
    <t>Sward, Darryn/0000-0002-7027-9807; Barrett, Neville/0000-0002-6167-1356</t>
  </si>
  <si>
    <t>National Environmental Science Program (NESP) Marine Biodiversity Hub - Australian Government; Sustainable Marine Research Collaboration Agreement</t>
  </si>
  <si>
    <t>This work has been funded through the Sustainable Marine Research Collaboration Agreement and the National Environmental Science Program (NESP) Marine Biodiversity Hub funded by the Australian Government.</t>
  </si>
  <si>
    <t>111 RIVER ST, HOBOKEN, NJ 07030 USA</t>
  </si>
  <si>
    <t>2056-3485</t>
  </si>
  <si>
    <t>REMOTE SENS ECOL CON</t>
  </si>
  <si>
    <t>Remote Sens. Ecol. Conserv.</t>
  </si>
  <si>
    <t>FEB</t>
  </si>
  <si>
    <t>10.1002/rse2.230</t>
  </si>
  <si>
    <t>Ecology; Remote Sensing</t>
  </si>
  <si>
    <t>Environmental Sciences &amp; Ecology; Remote Sensing</t>
  </si>
  <si>
    <t>ZA2TU</t>
  </si>
  <si>
    <t>WOS:000678021000001</t>
  </si>
  <si>
    <t>Nickolaenko, AP; Galuk, YP; Hayakawa, M; Kudintseva, IG</t>
  </si>
  <si>
    <t>Nickolaenko, A. P.; Galuk, Yu P.; Hayakawa, M.; Kudintseva, I. G.</t>
  </si>
  <si>
    <t>Model source bearings of Q-bursts for observations in Antarctica</t>
  </si>
  <si>
    <t>JOURNAL OF ATMOSPHERIC AND SOLAR-TERRESTRIAL PHYSICS</t>
  </si>
  <si>
    <t>Earth - Ionosphere cavity; Day -night non-uniformity; Schumann resonance; Source bearing of Q-bursts; Elliptical polarization</t>
  </si>
  <si>
    <t>GLOBAL LIGHTNING ACTIVITY; ELF; IMPACT</t>
  </si>
  <si>
    <t>We address deviations in the source bearing of natural pulsed extremely low frequency (ELF) radio signals (Q bursts) in the Schumann resonance band. The model of smooth day - night non-uniformity is used. The observer is located at the Ukrainian Antarctic station Akademik Vernadsky (65.25 degrees S and 64.25 degrees W), and the source is positioned at the same meridian at latitudes of 20 degrees S; 25 degrees N, or 85 degrees N. The equinox period is considered when the solar terminator line is coincident with a meridian. Thus, the source - observer meridian and the terminator meridian are separated by an angular distance varying with the local time of observer. The propagation parameters of ELF radio waves were computed using the full wave solution in the form of Riccati equation for the ambient day and ambient night profiles of mesosphere conductivity. The field spectra were found from the 2D telegraph equations (2DTE). Spectra of the source bearing and of the polarization coefficient were computed for different local times. The source bearing and the polarization coefficient do not exceed +/- 15 degrees and +/- 0.35 correspondingly. The Q-bursts in the time domain were computed at the output of an example Schumann resonance receiver. Phasors of the Poynting vector were used for estimating the source bearing in the time domain. Maximum deviations in the source azimuth may reach +/- 4 degrees directed toward to the midnight point. The eccentricity of the elliptic magnetic field phasor may reach 0.1. Impact of the day - night non-uniformity is comparable with that of the continuous Schumann resonance background. Therefore, terminator effect is detectable in records of extra-powerful Q-bursts exceeding the background noise by the factor of 10-20.</t>
  </si>
  <si>
    <t>[Nickolaenko, A. P.] Natl Acad Sci Ukraine, AYa Usikov Inst Radiophys &amp; Elect, Kharkov, Ukraine; [Galuk, Yu P.] St Petersburg State Univ, Dept Math &amp; Comp Sci, St Petersburg, Russia; [Hayakawa, M.] Univ Electrocommun UEC, Hayakawa Inst Seismo Electromagnet Co Ltd Hi SEM, Alliance Ctr, Chofu, Tokyo, Japan; [Hayakawa, M.] UEC, Adv Wireless &amp; Commun Res Ctr AWCC, Chofu, Tokyo, Japan; [Kudintseva, I. G.] VN Karazin Kharkov State Univ, Dept Math &amp; Informat, Kharkov, Ukraine</t>
  </si>
  <si>
    <t>National Academy of Sciences Ukraine; O. Ya. Usikov Institute for Radio Physics &amp; Electronics, National Academy of Sciences of Ukraine; Saint Petersburg State University; University of Electro-Communications - Japan; University of Electro-Communications - Japan; Ministry of Education &amp; Science of Ukraine; VN Karazin Kharkiv National University</t>
  </si>
  <si>
    <t>Nickolaenko, AP (corresponding author), Natl Acad Sci Ukraine, AYa Usikov Inst Radiophys &amp; Elect, Kharkov, Ukraine.</t>
  </si>
  <si>
    <t>sasha@ire.kharkov.ua; j.galuk@spbu.ru; hayakawa@hi-seismo-em.jp; kudintseva@karazin.ua</t>
  </si>
  <si>
    <t>Nickolaenko, Alexander/0000-0003-0714-9214</t>
  </si>
  <si>
    <t>1364-6826</t>
  </si>
  <si>
    <t>1879-1824</t>
  </si>
  <si>
    <t>J ATMOS SOL-TERR PHY</t>
  </si>
  <si>
    <t>J. Atmos. Sol.-Terr. Phys.</t>
  </si>
  <si>
    <t>10.1016/j.jastp.2021.105723</t>
  </si>
  <si>
    <t>Geochemistry &amp; Geophysics; Meteorology &amp; Atmospheric Sciences</t>
  </si>
  <si>
    <t>UA3WM</t>
  </si>
  <si>
    <t>WOS:000685092100002</t>
  </si>
  <si>
    <t>Volzke, S; McMahon, CR; Hindell, MA; Burton, HR; Wotherspoon, SJ</t>
  </si>
  <si>
    <t>Volzke, Sophia; McMahon, Clive R.; Hindell, Mark A.; Burton, Harry R.; Wotherspoon, Simon J.</t>
  </si>
  <si>
    <t>Climate influences on female survival in a declining population of southern elephant seals (Mirounga leonina)</t>
  </si>
  <si>
    <t>ECOLOGY AND EVOLUTION</t>
  </si>
  <si>
    <t>capture-mark-recapture studies; demographics; ecological modeling; El Nino Southern Oscillation; Hidden Markov Model; population dynamics; vital rates</t>
  </si>
  <si>
    <t>ICE; ATMOSPHERE; TRENDS; AGE; REPRODUCTION; VARIABILITY; RECRUITMENT; CIRCULATION; PREDATOR; MODELS</t>
  </si>
  <si>
    <t>The Southern Ocean has been disproportionately affected by climate change and is therefore an ideal place to study the influence of changing environmental conditions on ecosystems. Changes in the demography of predator populations are indicators of broader shifts in food web structure, but long-term data are required to study these effects. Southern elephant seals (Mirounga leonina) from Macquarie Island have consistently decreased in population size while all other major populations across the Southern Ocean have recently stabilized or are increasing. Two long-term mark-recapture studies (1956-1967 and 1993-2009) have monitored this population, which provides an opportunity to investigate demographic performance over a range of climatic conditions. Using a 9-state matrix population model, we estimated climate influences on female survival by incorporating two major climatic indices into our model: The Southern Annular Mode (SAM) and the Southern Oscillation Index (SOI). Our best model included a 1 year lagged effect of SAM and an unlagged SOI as covariates. A positive relationship with SAM1 (lagged) related the previous year's SAM with juvenile survival, potentially due to changes in local prey availability surrounding Macquarie Island. The unlagged SOI had a negative effect on both juvenile and adult seals, indicating that sea ice dynamics and access to foraging grounds on the East Antarctic continental shelf could explain the different contributions of ENSO events on the survival of females in this population.</t>
  </si>
  <si>
    <t>[Volzke, Sophia; McMahon, Clive R.; Hindell, Mark A.; Wotherspoon, Simon J.] Univ Tasmania, Inst Marine &amp; Antarctic Studies, Private Bag 129, Hobart, Tas 7000, Australia; [McMahon, Clive R.] Sydney Inst Marine Sci, IMOS Anim Tagging, Mosman, NSW, Australia; [Hindell, Mark A.] Univ Tasmania, Antarctic Climate &amp; Ecosyst Cooperat Res Ctr, Hobart, Tas, Australia; [Burton, Harry R.; Wotherspoon, Simon J.] Dept Agr Water &amp; Environm, Australian Antarctic Div, Kingston, Tas, Australia</t>
  </si>
  <si>
    <t>University of Tasmania; Sydney Institute of Marine Science; University of Tasmania; Antarctic Climate &amp; Ecosystems Cooperative Research Centre (ACE CRC); Australian Antarctic Division</t>
  </si>
  <si>
    <t>Volzke, S (corresponding author), Univ Tasmania, Inst Marine &amp; Antarctic Studies, Private Bag 129, Hobart, Tas 7000, Australia.</t>
  </si>
  <si>
    <t>sophia.volzke@utas.edu.au</t>
  </si>
  <si>
    <t>Hindell, Mark A/K-1131-2013; McMahon, Clive R/D-5713-2013</t>
  </si>
  <si>
    <t>McMahon, Clive R/0000-0001-5241-8917; Volzke, Sophia/0000-0002-2882-9414; Wotherspoon, Simon/0000-0002-6947-4445; Hindell, Mark/0000-0002-7823-7185</t>
  </si>
  <si>
    <t>Australian Antarctic Division through the Australian National Antarctic Research Expeditions (ANARE)</t>
  </si>
  <si>
    <t>We thank the expeditioners at Macquarie Island between 1949 and 2010 for their tireless efforts in marking and resighting seals. The Australian Antarctic Division through the Australian National Antarctic Research Expeditions (ANARE) supported this research. The study was carried out at Macquarie Island under ethics approval to Harry Burton from the Australian Antarctic Animal Ethics Committee (AAS 2265 &amp; AAS 2794) and the Tasmanian Parks and Wildlife Service.</t>
  </si>
  <si>
    <t>2045-7758</t>
  </si>
  <si>
    <t>ECOL EVOL</t>
  </si>
  <si>
    <t>Ecol. Evol.</t>
  </si>
  <si>
    <t>10.1002/ece3.7919</t>
  </si>
  <si>
    <t>Ecology; Evolutionary Biology</t>
  </si>
  <si>
    <t>Environmental Sciences &amp; Ecology; Evolutionary Biology</t>
  </si>
  <si>
    <t>UB5UF</t>
  </si>
  <si>
    <t>WOS:000679021700001</t>
  </si>
  <si>
    <t>Jabre, LJ; Allen, AE; McCain, JSP; McCrow, JP; Tenenbaum, N; Spackeen, JL; Sipler, RE; Green, BR; Bronk, DA; Hutchins, DA; Bertrand, EM</t>
  </si>
  <si>
    <t>Jabre, Loay J.; Allen, Andrew E.; McCain, J. Scott P.; McCrow, John P.; Tenenbaum, Nancy; Spackeen, Jenna L.; Sipler, Rachel E.; Green, Beverley R.; Bronk, Deborah A.; Hutchins, David A.; Bertrand, Erin M.</t>
  </si>
  <si>
    <t>Molecular underpinnings and biogeochemical consequences of enhanced diatom growth in a Southern Ocean</t>
  </si>
  <si>
    <t>PROCEEDINGS OF THE NATIONAL ACADEMY OF SCIENCES OF THE UNITED STATES OF AMERICA</t>
  </si>
  <si>
    <t>Southern Ocean; metatranscriptomics; iron limitation; temperature; diatoms</t>
  </si>
  <si>
    <t>MARINE-PHYTOPLANKTON; IRON LIMITATION; DOMOIC ACID; FRAGILARIOPSIS-CYLINDRUS; TEMPERATURE-DEPENDENCE; ELECTRON-TRANSPORT; NITRATE REDUCTASE; CARBON; LIGHT; ANTARCTICA</t>
  </si>
  <si>
    <t>The Southern Ocean (SO) harbors some of the most intense phytoplankton blooms on Earth. Changes in temperature and iron availability are expected to alter the intensity of SO phytoplankton blooms, but little is known about how these changes will influence community composition and downstream biogeochemical processes. We performed light-saturated experimental manipulations on surface ocean microbial communities from McMurdo Sound in the Ross Sea to examine the effects of increased iron availability (+2 nM) and warming (+3 and +6 degrees C) on nutrient uptake, as well as the growth and transcriptional responses of two dominant diatoms, Fragilariopsis and Pseudo-nitzschia. We found that community nutrient uptake and primary productivity were elevated under both warming conditions without iron addition (relative to ambient -0.5 degrees C). This effect was greater than additive under concurrent iron addition and warming. Pseudo-nitzschia became more abundant under warming without added iron (especially at 6 degrees C), while Fragilariopsis only became more abundant under warming in the iron-added treatments. We attribute the apparent advantage Pseudo-nitzschia shows under warming to up-regulation of iron-conserving photosynthetic processes, utilization of iron economic nitrogen assimilation mechanisms, and increased iron uptake and storage. These data identify important molecular and physiological differences between dominant diatom groups and add to the growing body of evidence for Pseudo-nitzschia's increasingly important role in warming SO ecosystems. This study also suggests that temperature-driven shifts in SO phytoplankton assemblages may increase utilization of the vast pool of excess nutrients in iron-limited SO surface waters and thereby influence global nutrient distribution and carbon cycling.</t>
  </si>
  <si>
    <t>[Jabre, Loay J.; McCain, J. Scott P.; Bertrand, Erin M.] Dalhousie Univ, Life Sci Ctr, Dept Biol, Halifax, NS B3H 4R2, Canada; [Allen, Andrew E.; McCrow, John P.] J Craig Venter Inst, Microbial &amp; Environm Genom, La Jolla, CA 92037 USA; [Allen, Andrew E.] Univ Calif San Diego, Scripps Inst Oceanog, Integrat Oceanog Div, La Jolla, CA 92037 USA; [Tenenbaum, Nancy; Hutchins, David A.] Univ Southern Calif, Marine &amp; Environm Biol, Los Angeles, CA 90089 USA; [Spackeen, Jenna L.; Sipler, Rachel E.; Bronk, Deborah A.] Virginia Inst Marine Sci, Coll William &amp; Mary, Gloucester Point, VA 23062 USA; [Sipler, Rachel E.] Mem Univ Newfoundland, Ocean Sci Ctr, St John, NF A1C 5S7, Canada; [Sipler, Rachel E.; Bronk, Deborah A.] Bigelow Lab Ocean Sci, East Boothbay, ME 04544 USA; [Green, Beverley R.] Univ British Columbia, Dept Bot, Vancouver, BC V6T 1Z4, Canada</t>
  </si>
  <si>
    <t>Dalhousie University; J. Craig Venter Institute; University of California System; University of California San Diego; Scripps Institution of Oceanography; University of Southern California; William &amp; Mary; Virginia Institute of Marine Science; Memorial University Newfoundland; Bigelow Laboratory for Ocean Sciences; University of British Columbia</t>
  </si>
  <si>
    <t>Bertrand, EM (corresponding author), Dalhousie Univ, Life Sci Ctr, Dept Biol, Halifax, NS B3H 4R2, Canada.;Allen, AE (corresponding author), J Craig Venter Inst, Microbial &amp; Environm Genom, La Jolla, CA 92037 USA.;Allen, AE (corresponding author), Univ Calif San Diego, Scripps Inst Oceanog, Integrat Oceanog Div, La Jolla, CA 92037 USA.;Hutchins, DA (corresponding author), Univ Southern Calif, Marine &amp; Environm Biol, Los Angeles, CA 90089 USA.</t>
  </si>
  <si>
    <t>aallen@jcvi.org; dahutch@usc.edu; erin.bertrand@dal.ca</t>
  </si>
  <si>
    <t>Allen, Andrew E/C-4896-2012; Hutchins, David A/D-3301-2013; Green, Beverley R./AAJ-5199-2021</t>
  </si>
  <si>
    <t>Allen, Andrew E/0000-0001-5911-6081; Hutchins, David A/0000-0002-6637-756X; Green, Beverley R./0000-0002-4021-9387; Jabre, Loay/0000-0003-3177-6824</t>
  </si>
  <si>
    <t>NSF Antarctic Sciences Awards [1103503, 0732822, 1043671, 1043748, 1043635]; Gordon and Betty Moore Foundation [GBMF3828]; NSF Ocean Sciences Award [NSF-OCE-1136477, NSF-OCE-1756884, NSF-OCE-1638804, NSF-OCE-1851222]; Nova Scotia Graduate Scholarship; National Sciences and Engineering Research Council of Canada - Canada Graduate Scholarship; National Sciences and Engineering Research Council of Canada - Transatlantic Ocean System Science &amp; Technology scholarship; NSERC [RGPIN-2015-05009]; Simons Foundation [504183]; Canada Research Chair</t>
  </si>
  <si>
    <t>NSF Antarctic Sciences Awards; Gordon and Betty Moore Foundation(Gordon and Betty Moore Foundation); NSF Ocean Sciences Award; Nova Scotia Graduate Scholarship; National Sciences and Engineering Research Council of Canada - Canada Graduate Scholarship; National Sciences and Engineering Research Council of Canada - Transatlantic Ocean System Science &amp; Technology scholarship; NSERC(Natural Sciences and Engineering Research Council of Canada (NSERC)); Simons Foundation; Canada Research Chair(Natural Resources CanadaCanadian Forest ServiceCanada Research Chairs)</t>
  </si>
  <si>
    <t>We are grateful to Antarctic Support Contractors, especially Ned Corkran, for facilitating fieldwork. We thank Jeff Hoffman, Zhi Zhu, and Quinn Roberts for assistance in the field, Hong Zheng for her work in the laboratory, and Pratap Venepally for assistance with bioinformatic analyses. This study was funded by NSF Antarctic Sciences Awards 1103503 (to E.M.B.), 0732822 and 1043671 (to A.E.A.), 1043748 (to D.A.H.), 1043635 (to D.A.B.); Gordon and Betty Moore Foundation Grant GBMF3828 (to A.E.A.); NSF Ocean Sciences Award NSF-OCE-1136477 and NSF-OCE-1756884 (to A.E.A.) and NSF-OCE-1638804 and NSF-OCE-1851222 (to D.A.H.); Nova Scotia Graduate Scholarship to L.J.J.; National Sciences and Engineering Research Council of Canada -Canada Graduate Scholarship and Transatlantic Ocean System Science &amp; Technology scholarship to J.S.P.M.; NSERC Discovery Grant RGPIN-2015-05009 to E.M.B.; Simons Foundation Grant 504183 to E.M.B.; and Canada Research Chair support to E.M.B.</t>
  </si>
  <si>
    <t>NATL ACAD SCIENCES</t>
  </si>
  <si>
    <t>2101 CONSTITUTION AVE NW, WASHINGTON, DC 20418 USA</t>
  </si>
  <si>
    <t>0027-8424</t>
  </si>
  <si>
    <t>P NATL ACAD SCI USA</t>
  </si>
  <si>
    <t>Proc. Natl. Acad. Sci. U. S. A.</t>
  </si>
  <si>
    <t>JUL 27</t>
  </si>
  <si>
    <t>e2107238118</t>
  </si>
  <si>
    <t>10.1073/pnas.2107238118</t>
  </si>
  <si>
    <t>UA3CE</t>
  </si>
  <si>
    <t>Green Submitted, hybrid, Green Published</t>
  </si>
  <si>
    <t>WOS:000685039100008</t>
  </si>
  <si>
    <t>Freire, R; Massaro, M; McDonald, S; Trathan, P; Nicol, CJ</t>
  </si>
  <si>
    <t>Freire, Rafael; Massaro, Melanie; McDonald, Simon; Trathan, Philip; Nicol, Christine J.</t>
  </si>
  <si>
    <t>A Citizen Science Trial to Assess Perception of Wild Penguin Welfare</t>
  </si>
  <si>
    <t>FRONTIERS IN VETERINARY SCIENCE</t>
  </si>
  <si>
    <t>animal welfare; Spheniscidae; anthropogenic impact; five domains model; welfare assessment</t>
  </si>
  <si>
    <t>FARM-ANIMAL WELFARE; CONSERVATION</t>
  </si>
  <si>
    <t>Wild penguins are facing increased threats to their populations and their welfare as a consequence of human activities. Understanding the perception of animal welfare is essential to identify ethical concerns related to the negative impact of anthropogenic factors on wild species and to guide conservation efforts that reflect societal values. Since penguin conservation is of general interest, we examined the human dimension of welfare assessment across a range of interest groups concerned with penguins, seabird biology and wildlife conservation. We provided participants with a Penguin Welfare Assessment Tool (PWAT) based on the five domains model. The PWAT supports consideration of the impact of four physical aspects on welfare-relevant mental states. Bibliometric analysis of keywords from 347 scientific articles indicated that penguins around the world face five main types (themes) of anthropogenic factors and we then developed five hypothetical scenarios, each related to one theme. Seventy-five participants scored the overall impact of the events described in the scenarios on penguin welfare as negative using the PWAT. Participants rated short-duration, high-intensity events (i.e., being trapped in a ghost fishing net) as having a significantly more severe impact on penguin welfare than low-intensity, long-duration events (P &lt; 0.0001). Scores provided by participants for each domain for each scenario were largely as expected and we found good correlation (all P &lt; 0.0001) between the physical domains and mental state for all scenarios, indicating that the tool was facilitating the participants' assessment of welfare. No evidence was found that experience of working or studying penguins, or indeed any other demographic factor investigated, influenced the assessments of welfare. We found little agreement between participants in the scores provided (unalike scores mostly between 0.7 and 0.8), and agreement between participants with experience of working with penguins was no better than between participants without such experience. We discuss the possibility that low agreement within different interest groups may be improved by providing more scientific information to support the evaluation of penguin welfare. We conclude that scientific knowledge of penguin biological responses to anthropogenic factors is vital to support the evaluation of wild penguin welfare by the public and other stakeholders.</t>
  </si>
  <si>
    <t>[Freire, Rafael; Massaro, Melanie] Charles Sturt Univ, Sch Agr Environm &amp; Vet Sci, Inst Land Water &amp; Soc, Albury, NSW, Australia; [McDonald, Simon] Charles Sturt Univ, Spatial Data Anal Unit, Albury, NSW, Australia; [Trathan, Philip] British Antarctic Survey, Cambridge, England; [Nicol, Christine J.] Univ London, Royal Vet Coll, London, England</t>
  </si>
  <si>
    <t>Charles Sturt University; Charles Sturt University; UK Research &amp; Innovation (UKRI); Natural Environment Research Council (NERC); NERC British Antarctic Survey; University of London; University of London Royal Veterinary College</t>
  </si>
  <si>
    <t>Freire, R (corresponding author), Charles Sturt Univ, Sch Agr Environm &amp; Vet Sci, Inst Land Water &amp; Soc, Albury, NSW, Australia.</t>
  </si>
  <si>
    <t>rfreire@csu.edu.au</t>
  </si>
  <si>
    <t>Freire, Rafael/HTT-5016-2023; Nicol, Christine/B-4841-2011; Massaro, Melanie/P-4791-2017</t>
  </si>
  <si>
    <t>Freire, Rafael/0000-0003-4282-1379; Nicol, Christine/0000-0001-6734-2177; Massaro, Melanie/0000-0001-9039-1268; McDonald, Simon/0009-0005-8104-3225</t>
  </si>
  <si>
    <t>Universities Federation for Animal Welfare (UFAW); NERC [bas0100035] Funding Source: UKRI</t>
  </si>
  <si>
    <t>Universities Federation for Animal Welfare (UFAW); NERC(UK Research &amp; Innovation (UKRI)Natural Environment Research Council (NERC))</t>
  </si>
  <si>
    <t>Funding was provided by a grant from the Universities Federation for Animal Welfare (UFAW).</t>
  </si>
  <si>
    <t>2297-1769</t>
  </si>
  <si>
    <t>FRONT VET SCI</t>
  </si>
  <si>
    <t>Front. Vet. Sci.</t>
  </si>
  <si>
    <t>10.3389/fvets.2021.698685</t>
  </si>
  <si>
    <t>Veterinary Sciences</t>
  </si>
  <si>
    <t>TX7ZC</t>
  </si>
  <si>
    <t>Green Published, gold, Green Accepted</t>
  </si>
  <si>
    <t>WOS:000683305800001</t>
  </si>
  <si>
    <t>Travassos, JM; Martins, SS; Potocki, M; Simoes, JC</t>
  </si>
  <si>
    <t>Travassos, Jandyr M.; Martins, Saulo S.; Potocki, Mariusz; Simoes, Jefferson C.</t>
  </si>
  <si>
    <t>Reconstruction of annual accumulation rate on firn, synchronising H2O2 concentration data with an estimated temperature record</t>
  </si>
  <si>
    <t>ICE CORES; ANTARCTIC PENINSULA; CLASSIFICATION; DENSIFICATION; ALGORITHMS; ALIGNMENT; CLIMATE; MODEL</t>
  </si>
  <si>
    <t>This work deals with reconstructing firn layer thicknesses at the deposition time from the firn's observed thickness in ice cores, thus reconstructing the annual accumulation, yielding a timescale and an ice-core chronology. We employed a dynamic time warping algorithm to find an optimal, non-linear alignment between an H2O2 concentration data series from 98m worth of ice cores of a borehole on the central ice divide of the Detroit Plateau, the Antarctic Peninsula, and an estimated local temperature time series. The viability and the physical reliability of the procedure are rooted in the robustness of the seasonal marker H2O2 in a high-accumulation context, which brought the entire borehole to within the operational life span of four Antarctic stations around the Antarctic Peninsula. The process was heavily based on numerical optimisation, producing a mathematically sound match between the two series to estimate the annual layering efficiently on the entire data section at once, being disposition-free. The results herein confirm a high annual accumulation rate of a(N) = 2.8mw.e./yr, which is of the same order of magnitude as and highly correlated with that of the Bruce Plateau and twice as large as that of the Gomez Plateau, 300 and 1200 km further south, respectively.</t>
  </si>
  <si>
    <t>[Travassos, Jandyr M.] Univ Fed Para UFPA, Grad Program Geophys, Rua Augusto Correa 01, Belem, Para, Brazil; [Martins, Saulo S.] Univ Fed Rural Rio de Janeiro UFRRJ, Grad Program Geol, 465 Km 7, Seropedica, Brazil; [Simoes, Jefferson C.] Univ Fed Rio Grande do Sul UFRGS, Ctr Polar &amp; Climat, Porto Alegre, RS, Brazil; [Potocki, Mariusz; Simoes, Jefferson C.] Univ Maine, Climate Change Inst, Orono, ME 04469 USA; [Potocki, Mariusz] Univ Maine, Sch Earth &amp; Climate Sci, Orono, ME 04469 USA</t>
  </si>
  <si>
    <t>Universidade Federal do Para; Universidade Federal Rural do Rio de Janeiro (UFRRJ); Universidade Federal do Rio Grande do Sul; University of Maine System; University of Maine Orono; University of Maine System; University of Maine Orono</t>
  </si>
  <si>
    <t>Martins, SS (corresponding author), Univ Fed Rural Rio de Janeiro UFRRJ, Grad Program Geol, 465 Km 7, Seropedica, Brazil.</t>
  </si>
  <si>
    <t>ssmsaulo@gmail.com; mariusz.potocki@maine.edu</t>
  </si>
  <si>
    <t>Simoes, Jefferson Cardia/D-7232-2013</t>
  </si>
  <si>
    <t>Simoes, Jefferson Cardia/0000-0001-5555-3401; Martins, Saulo/0000-0002-8438-7657</t>
  </si>
  <si>
    <t>INCT da Criosfera (CAPES project) [88887.136384/2017-00]; PROANTAR (CNPq project) [442755/2018-0]</t>
  </si>
  <si>
    <t>INCT da Criosfera (CAPES project); PROANTAR (CNPq project)</t>
  </si>
  <si>
    <t>This research has been supported by the INCT da Criosfera (CAPES project (grant no. 88887.136384/2017-00)) and the PROANTAR (CNPq project (grant no. 442755/2018-0)).</t>
  </si>
  <si>
    <t>10.5194/tc-15-3495-2021</t>
  </si>
  <si>
    <t>TQ6EP</t>
  </si>
  <si>
    <t>WOS:000678371400001</t>
  </si>
  <si>
    <t>Defratyka, SM; Paris, JD; Yver-Kwok, C; Loeb, D; France, J; Helmore, J; Yarrow, N; Gros, V; Bousquet, P</t>
  </si>
  <si>
    <t>Defratyka, Sara M.; Paris, Jean-Daniel; Yver-Kwok, Camille; Loeb, Daniel; France, James; Helmore, Jon; Yarrow, Nigel; Gros, Valerie; Bousquet, Philippe</t>
  </si>
  <si>
    <t>Ethane measurement by Picarro CRDS G2201-i in laboratory and field conditions: potential and limitations</t>
  </si>
  <si>
    <t>ATMOSPHERIC MEASUREMENT TECHNIQUES</t>
  </si>
  <si>
    <t>GLOBAL ATMOSPHERIC ETHANE; METHANE EMISSIONS; FUGITIVE EMISSIONS; FOSSIL-FUEL; GAS; OIL; CH4</t>
  </si>
  <si>
    <t>Atmospheric ethane can be used as a tracer to distinguish methane sources, both at the local and global scale. Currently, ethane can be measured in the field using flasks or in situ analyzers. In our study, we characterized the CRDS Picarro G2201-i instrument, originally designed to measure isotopic CH4 and CO2, for measurements of ethane-to-methane ratio in mobile-measurement scenarios, near sources and under field conditions. We evaluated the limitations and potential of using the CRDS G2201-i to measure the ethane-to-methane ratio, thus extending the instrument application to simultaneously measure two methane source proxies in the field: carbon isotopic ratio and the ethane-to-methane ratio. First, laboratory tests were run to characterize the instrument in stationary conditions. Subsequently, the instrument performance was tested in field conditions as part of a controlled release experiment. Finally, the instrument was tested during mobile measurements focused on gas compressor stations. The results from the field were afterwards compared with the results obtained from instruments specifically designed for ethane measurements. Our study shows the potential of using the CRDS G2201-i instrument in a mobile configuration to determine the ethane-to-methane ratio in methane plumes under measurement conditions with an ethane uncertainty of 50 ppb. Assuming typical ethane-to-methane ratios ranging between 0 and 0.1 ppb ppb(-1), we conclude that the instrument can accurately estimate the true ethane-to-methane ratio within 1 sigma uncertainty when CH4 enhancements are at least 1 ppm, as can be found in the vicinity of strongly emitting sites such as natural gas compressor stations and roadside gas pipeline leaks.</t>
  </si>
  <si>
    <t>[Defratyka, Sara M.; Paris, Jean-Daniel; Yver-Kwok, Camille; Loeb, Daniel; Gros, Valerie; Bousquet, Philippe] Univ Paris Saclay, Lab Sci Climat &amp; Environm LSCE IPSL, CEA, CNRS,UVSQ, F-91191 Gif Sur Yvette, France; [France, James] Royal Holloway Univ London, Dept Earth Sci, Egham TW20 0EX, Surrey, England; [France, James] NERC, British Antarctic Survey, Cambridge CB3 0ET, England; [Helmore, Jon; Yarrow, Nigel] Natl Phys Lab NPL, Hampton Rd, Teddington TW11 0LW, Middx, England; [Loeb, Daniel] Univ Paris Saclay, Chem Dept, F-91400 Orsay, France</t>
  </si>
  <si>
    <t>Universite Paris Saclay; Universite Paris Cite; CEA; Centre National de la Recherche Scientifique (CNRS); University of London; Royal Holloway University London; UK Research &amp; Innovation (UKRI); Natural Environment Research Council (NERC); NERC British Antarctic Survey; National Physical Laboratory - UK; Universite Paris Cite; Universite Paris Saclay</t>
  </si>
  <si>
    <t>Defratyka, SM (corresponding author), Univ Paris Saclay, Lab Sci Climat &amp; Environm LSCE IPSL, CEA, CNRS,UVSQ, F-91191 Gif Sur Yvette, France.</t>
  </si>
  <si>
    <t>sara.defratyka@lsce.ipsl.fr</t>
  </si>
  <si>
    <t>Kwok, Camille Yver/ABC-7008-2020; France, James/L-9719-2015</t>
  </si>
  <si>
    <t>Kwok, Camille Yver/0000-0002-2181-2863; France, James/0000-0002-8785-1240; Paris, Jean-Daniel/0000-0003-2164-4916; Defratyka, Sara/0000-0002-9488-4518</t>
  </si>
  <si>
    <t>European Union [722479]; Marie Curie Actions (MSCA) [722479] Funding Source: Marie Curie Actions (MSCA); NERC [bas0100032] Funding Source: UKRI</t>
  </si>
  <si>
    <t>European Union(European Union (EU)); Marie Curie Actions (MSCA)(Marie Curie Actions); NERC(UK Research &amp; Innovation (UKRI)Natural Environment Research Council (NERC))</t>
  </si>
  <si>
    <t>This research has been supported by the European Union's Horizon 2020 research and innovation program (Marie Sklodowska-Curie grant no. 722479).</t>
  </si>
  <si>
    <t>1867-1381</t>
  </si>
  <si>
    <t>1867-8548</t>
  </si>
  <si>
    <t>ATMOS MEAS TECH</t>
  </si>
  <si>
    <t>Atmos. Meas. Tech.</t>
  </si>
  <si>
    <t>10.5194/amt-14-5049-2021</t>
  </si>
  <si>
    <t>TQ6EH</t>
  </si>
  <si>
    <t>Green Submitted, gold, Green Accepted</t>
  </si>
  <si>
    <t>WOS:000678370600001</t>
  </si>
  <si>
    <t>Simmonds, I; Li, MY</t>
  </si>
  <si>
    <t>Simmonds, Ian; Li, Muyuan</t>
  </si>
  <si>
    <t>Trends and variability in polar sea ice, global atmospheric circulations, and baroclinicity</t>
  </si>
  <si>
    <t>ANNALS OF THE NEW YORK ACADEMY OF SCIENCES</t>
  </si>
  <si>
    <t>Arctic; Antarctica; sea ice; cyclones; variability; baroclinicity</t>
  </si>
  <si>
    <t>ANTARCTIC CIRCUMPOLAR WAVE; INCREASED QUASI STATIONARITY; HEMISPHERE ANNULAR MODE; WINTER URAL BLOCKING; EXTREME COLD EVENTS; SOUTHERN-OCEAN; EXTRATROPICAL CYCLONES; SEMIANNUAL OSCILLATION; ARCTIC AMPLIFICATION; MOISTURE TRANSPORT</t>
  </si>
  <si>
    <t>We analyze the polar sea ice distribution and the global sea level pressure (SLP) and baroclinicity distributions over the satellite period of 1979-2020. In the Arctic, there are statistically significant sea ice extent (SIE) decreases in all calendar months, and the annual mean has lost 2.22 million km(2) over the four decades. The Antarctic SIE, in marked contrast, increased up to 2014, then commenced a remarkable retreat (the annual mean ice extent decreased by 2.03 million km(2) in the 3 years to 2017), and subsequently increased to near its long-term average value in 2020. The shifts in seasonal-mean SLP patterns are consistent with a warming planet. At the synoptic scale, we diagnose the changes in the baroclinicity, the mechanism by which cyclones, fronts, and other weather systems are generated. Through a novel presentation, we give an overview of the relative roles of changes in the vertical shear and static stability in influencing the global trends in baroclinicity. In both the Arctic and Antarctic regions, baroclinicity is shown to have increased in each season (with the sole exception of the Arctic in summer). This increase, coupled with midlatitude decreases in baroclinicity, results in poleward shifts of the storm tracks.</t>
  </si>
  <si>
    <t>[Simmonds, Ian; Li, Muyuan] Univ Melbourne, Sch Earth Sci, Parkville, Vic 3010, Australia; [Li, Muyuan] Chinese Acad Sci, Inst Atmospher Phys, CAS Key Lab Reg Climate Environm Temperate East A, Beijing, Peoples R China; [Li, Muyuan] Univ Chinese Acad Sci, Coll Earth &amp; Planetary Sci, Beijing, Peoples R China</t>
  </si>
  <si>
    <t>University of Melbourne; Chinese Academy of Sciences; Institute of Atmospheric Physics, CAS; Chinese Academy of Sciences; University of Chinese Academy of Sciences, CAS</t>
  </si>
  <si>
    <t>Simmonds, I (corresponding author), Univ Melbourne, Sch Earth Sci, Parkville, Vic 3010, Australia.</t>
  </si>
  <si>
    <t>simmonds@unimelb.edu.au</t>
  </si>
  <si>
    <t>Simmonds, Ian/0000-0002-4479-3255; Li, Muyuan/0000-0001-5609-8631</t>
  </si>
  <si>
    <t>National Natural Science Foundation of China [DP16010997]; [41975068]; [41790473]</t>
  </si>
  <si>
    <t>National Natural Science Foundation of China(National Natural Science Foundation of China (NSFC)); ;</t>
  </si>
  <si>
    <t>The very helpful comments by three reviewers on the original submission were greatly appreciated. Parts of this analysis weremade possible by anAustralian Research Council Grant (DP16010997) and the National Natural Science Foundation of China (Grant Numbers 41975068 and 41790473).</t>
  </si>
  <si>
    <t>0077-8923</t>
  </si>
  <si>
    <t>1749-6632</t>
  </si>
  <si>
    <t>ANN NY ACAD SCI</t>
  </si>
  <si>
    <t>Ann. N.Y. Acad. Sci.</t>
  </si>
  <si>
    <t>10.1111/nyas.14673</t>
  </si>
  <si>
    <t>XC5ZN</t>
  </si>
  <si>
    <t>Y</t>
  </si>
  <si>
    <t>N</t>
  </si>
  <si>
    <t>WOS:000678557300001</t>
  </si>
  <si>
    <t>Suttle, MD; Hasse, T; Hecht, L</t>
  </si>
  <si>
    <t>Suttle, M. D.; Hasse, T.; Hecht, L.</t>
  </si>
  <si>
    <t>Evaluating urban micrometeorites as a research resource-A large population collected from a single rooftop</t>
  </si>
  <si>
    <t>OXYGEN ISOTOPIC COMPOSITIONS; PLATINUM-GROUP ELEMENTS; COSMIC SPHERULES; ANTARCTIC MICROMETEORITES; ACCRETION RATE; AQUEOUS ALTERATION; ATMOSPHERIC ENTRY; GROUP NUGGETS; DUST; FLUX</t>
  </si>
  <si>
    <t>We report the recovery and characterization of a new urban micrometeorite collection derived from the rooftop of an industrial building in Germany. We identified 315 micrometeorites (diameter: 55-515 mu m, size peak: similar to 150 mu m, size distribution slope exponent: -2.62). They are predominantly S-type cosmic spherules (97.2%) but also two G-type spherules (0.6%), an unmelted coarse-grained single-mineral micrometeorite, and eight scoriaceous particles (2.5%) or particles transitional between scoriaceous micrometeorites and porphyritic spherules. Their analysis details how the magnetite rim on partially melted micrometeorites is progressively diluted as the melt fraction increases during heating. At least 10 micrometeorites contain platinum group nuggets (PGNs). They have chondritic compositions but are depleted in volatile Pd. However, a single nugget preserves chondritic Pd concentrations. We suggest that an Fe-Ni-S bead originally containing the PGN escaped its host cavity and wet the particle exterior, creating an Fe-rich melt that protected the nugget from evaporation. This melt layer oxidized forming magnetite-indicating that wetting events can affect the texture and composition of micrometeorites. Utilizing the well-constrained surface area (8400 m(2)) and rooftop age (21 yr), we attempted the first global mass flux estimate based on urban micrometeorite data. This produced anomalously low values (13.4 t yr(-1)), even when correcting for losses due to sample processing (&lt;89.7 t yr(-1)). Our value is approximately two orders of magnitude lower than previous estimates, indicating that &gt;99% of particles are missing, having been lost via drainage and cleaning. Rooftop collection sites have limited potential for mass flux calculations unless problems of loss can be resolved. However, urban micrometeorite collections have other advantages, notably exceptionally well-preserved particles with extremely young terrestrial ages and the ability to extract many micrometeorites from accessible sites. Urban micrometeorites should be considered complementary to Antarctic and deep-sea collections with potential for citizen science and educational exploitation.</t>
  </si>
  <si>
    <t>[Suttle, M. D.] Nat Hist Museum, Planetary Mat Grp, Dept Earth Sci, Cromwell Rd, London SW7 5BD, England; [Hasse, T.; Hecht, L.] Leibniz Inst Evolut &amp; Biodiversitatsforsch, Museum Nat Kunde, Invalidenstr 43, D-10115 Berlin, Germany; [Hecht, L.] Free Univ Berlin, Inst Geolog Wissensch, Malteserstr 74-100, D-12249 Berlin, Germany</t>
  </si>
  <si>
    <t>Natural History Museum London; Leibniz Institut fur Evolutions und Biodiversitatsforschung; Free University of Berlin</t>
  </si>
  <si>
    <t>Hecht, L (corresponding author), Leibniz Inst Evolut &amp; Biodiversitatsforsch, Museum Nat Kunde, Invalidenstr 43, D-10115 Berlin, Germany.;Hecht, L (corresponding author), Free Univ Berlin, Inst Geolog Wissensch, Malteserstr 74-100, D-12249 Berlin, Germany.</t>
  </si>
  <si>
    <t>lutz.hecht@mfn.berlin</t>
  </si>
  <si>
    <t>Hecht, Lutz/0000-0001-8904-0217; Suttle, Martin/0000-0001-7165-2215</t>
  </si>
  <si>
    <t>Science and Technology Facilities Council (STFC), UK [ST/R000727/1]; Projekt DEAL</t>
  </si>
  <si>
    <t>Science and Technology Facilities Council (STFC), UK(UK Research &amp; Innovation (UKRI)Science &amp; Technology Facilities Council (STFC)); Projekt DEAL</t>
  </si>
  <si>
    <t>MDS was funded by the Science and Technology Facilities Council (STFC), UK, through grant number ST/R000727/1-The geological history of water-rich asteroids. The Albers family (owner of the furniture store) kindly granted access to the building roof for this study. We thank Susan Taylor and Don Brownlee for their helpful comments and suggestions during the review process. Open Access funding enabled and organized by Projekt DEAL.</t>
  </si>
  <si>
    <t>10.1111/maps.13712</t>
  </si>
  <si>
    <t>TY8FH</t>
  </si>
  <si>
    <t>WOS:000678491800001</t>
  </si>
  <si>
    <t>Norazmi-Lokman, NH; Purser, GJ; Patil, JG</t>
  </si>
  <si>
    <t>Norazmi-Lokman, N. H.; Purser, G. J.; Patil, J. G.</t>
  </si>
  <si>
    <t>Efficacy of estradiol in feminising the eastern mosquitofish, Gambusia holbrooki: advance towards developing a genetic control option</t>
  </si>
  <si>
    <t>MARINE AND FRESHWATER RESEARCH</t>
  </si>
  <si>
    <t>neonate; invasive fish; livebearer; endocrine disrupting compound; sex reversal</t>
  </si>
  <si>
    <t>ENDOCRINE SEX REVERSAL; AROMATASE-ACTIVITY; STOCKING DENSITY; Y-CHROMOSOME; FISH; POPULATION; GROWTH; DIFFERENTIATION; FEMINIZATION; EXPRESSION</t>
  </si>
  <si>
    <t>As a first step towards developing genetic option to control pest populations of Gambusia holbrooki, this study investigated the efficacy of oestradiol (E2) to feminise the species. The oestrogen was administered orally via food to neonates (Experiment 1) or embryos through gravid females (Experiment 2) at dosage between 50 and 400 mg kg(-1) of feed. Two control groups consisted of (C1) normal feed and (C2) feed mixed with 70% ethanol. In Experiment 1, 100% feminisation was observed at all E2 concentrations except at 400 mg kg(-1) where no treated individuals survived. There was a significantly (P &lt; 0.05) lower mean survival rate (MSR) of all E2-treated juveniles than of controls (C1: 71.73 +/- 22.86%; C2: 70.02 +/- 18.26%), with 50 mg kg(-1) showing the best MSR (66.38 +/- 12.34%). In Experiment 2, 100% feminisation was achieved at E2 concentrations of 200-400 mg kg(-1) food, with the best MSR (59.33 +/- 12.54%) at 200 mg kg(-1) concentration, which was, however, significantly lower than in control groups (C1: 79.96 +/- 20.33%; C2: 77.09 +/- 10.32%). The reproductive output and gestation period of gravid females were not affected by E2 exposure. The outcomes provide a framework for reliable sex reversal (feminisation) in this fish, paving way for developing genetic strategies to manage and eradicate this pest fish.</t>
  </si>
  <si>
    <t>[Norazmi-Lokman, N. H.; Purser, G. J.; Patil, J. G.] Univ Tasmania, Fisheries &amp; Aquaculture Ctr, Inst Marine &amp; Antarctic Studies Taroona, Private Bag 49, Hobart, Tas, Australia; [Norazmi-Lokman, N. H.] Univ Malaysia Terengganu, Fac Fisheries &amp; Food Sci, Kuala Terengganu 21030, Terengganu, Malaysia; [Patil, J. G.] Inland Fisheries Serv, 17 Back River Rd, New Norfolk, Tas 7140, Australia</t>
  </si>
  <si>
    <t>University of Tasmania; Universiti Malaysia Terengganu</t>
  </si>
  <si>
    <t>Patil, JG (corresponding author), Univ Tasmania, Fisheries &amp; Aquaculture Ctr, Inst Marine &amp; Antarctic Studies Taroona, Private Bag 49, Hobart, Tas, Australia.;Patil, JG (corresponding author), Inland Fisheries Serv, 17 Back River Rd, New Norfolk, Tas 7140, Australia.</t>
  </si>
  <si>
    <t>jawahar.patil@utas.edu.au</t>
  </si>
  <si>
    <t>shi, danyang/ABG-6569-2021; Norazmi, Lokman Nor Hakim/AAD-2229-2020</t>
  </si>
  <si>
    <t>Norazmi, Lokman Nor Hakim/0000-0002-1927-6846; Patil, Jawahar G/0000-0002-2154-4627</t>
  </si>
  <si>
    <t>Australian Research Council [ARC LP140100428]; Inland Fisheries Service; Ministry of Higher Education, Malaysia</t>
  </si>
  <si>
    <t>Australian Research Council(Australian Research Council); Inland Fisheries Service; Ministry of Higher Education, Malaysia(Ministry of Education, Malaysia)</t>
  </si>
  <si>
    <t>The project was funded by the Australian Research Council (ARC LP140100428) and the Inland Fisheries Service. The first author received an academic staff training scholarship from the Ministry of Higher Education, Malaysia.</t>
  </si>
  <si>
    <t>CSIRO PUBLISHING</t>
  </si>
  <si>
    <t>CLAYTON</t>
  </si>
  <si>
    <t>UNIPARK, BLDG 1, LEVEL 1, 195 WELLINGTON RD, LOCKED BAG 10, CLAYTON, VIC 3168, AUSTRALIA</t>
  </si>
  <si>
    <t>1323-1650</t>
  </si>
  <si>
    <t>1448-6059</t>
  </si>
  <si>
    <t>MAR FRESHWATER RES</t>
  </si>
  <si>
    <t>Mar. Freshw. Res.</t>
  </si>
  <si>
    <t>10.1071/MF21104</t>
  </si>
  <si>
    <t>Fisheries; Limnology; Marine &amp; Freshwater Biology; Oceanography</t>
  </si>
  <si>
    <t>Fisheries; Marine &amp; Freshwater Biology; Oceanography</t>
  </si>
  <si>
    <t>ZB9KV</t>
  </si>
  <si>
    <t>WOS:000677727500001</t>
  </si>
  <si>
    <t>Gaiser, RF; Robles, CA; Kobashigawa, JM; Pereira, S; Skronski, N; Carmarán, CC</t>
  </si>
  <si>
    <t>Gaiser, R. F.; Robles, C. A.; Kobashigawa, J. M.; Pereira, S.; Skronski, N.; Carmaran, C. C.</t>
  </si>
  <si>
    <t>Mycobiota associated to Casa Moneta Museum wood, South Orkney Islands, Antarctica</t>
  </si>
  <si>
    <t>POLAR BIOLOGY</t>
  </si>
  <si>
    <t>Antarctic Peninsula; Cadophora; Cerinosterus; Cultural heritage; Fungi; Tulasnella</t>
  </si>
  <si>
    <t>FUNGAL DIVERSITY; WINDMILL ISLANDS; MICROFUNGI; GROWTH; BIODIVERSITY; TEMPERATURE; SOILS; GEOMYCES; YEASTS; REGION</t>
  </si>
  <si>
    <t>Antarctica is a continent that presents extreme conditions for life. Numerous buildings that served as housing for expeditioners and scientists are considered historical heritage, including Casa Moneta Museum, located at the Orcadas Base on Laurie Island, South Orkney Islands (Antarctic Peninsula). It is built entirely of wood, and currently shows visible signs of deterioration. In this work, we studied the mycobiota present in the deteriorated wood of the museum to characterize the fungal diversity present. Macro-, micro-morphological and phylogenetic studies were carried out to identify the fungi isolated. Temperature tests were also performed to study the growth of different strains. Almost 20% of the fungi isolated belonged to Cadophora. Other frequently obtained genera were Tulasnella (16%), Cerinosterus (12%), Coniochaeta (7%), Geomyces (7%), Acremonium (7%) and Penicillium (7%). Temperature tests indicated all strains isolated are psychrotolerant. Five species have been reported for the first time for Antarctica. Deterioration of historic wooden structures and artifacts in extreme environments is currently causing great concern, and in this study the identification of the fungi present in Casa Moneta's wood and the characterization of their metabolism could be a guide to the development of preservation strategies for this historical building.</t>
  </si>
  <si>
    <t>[Gaiser, R. F.; Robles, C. A.; Pereira, S.; Carmaran, C. C.] Univ Buenos Aires, Fac Ciencias Exactas &amp; Nat, Dept Biodiversidad &amp; Biol Expt, Intendente Guiraldes 2160,C1428EGA, Buenos Aires, DF, Argentina; [Robles, C. A.; Kobashigawa, J. M.; Pereira, S.; Carmaran, C. C.] Univ Buenos Aires, Inst Micol &amp; Bot INMIBO, Consejo Nacl Invest Cient &amp; Tecn CONICET, Intendente Guiraldes 2160,C1428EHA, Buenos Aires, DF, Argentina; [Skronski, N.] Museo Naval Nacion, Paseo Victor 602, Buenos Aires, Buenos Aires, Argentina</t>
  </si>
  <si>
    <t>University of Buenos Aires; Consejo Nacional de Investigaciones Cientificas y Tecnicas (CONICET); University of Buenos Aires</t>
  </si>
  <si>
    <t>Robles, CA; Carmarán, CC (corresponding author), Univ Buenos Aires, Fac Ciencias Exactas &amp; Nat, Dept Biodiversidad &amp; Biol Expt, Intendente Guiraldes 2160,C1428EGA, Buenos Aires, DF, Argentina.;Robles, CA; Carmarán, CC (corresponding author), Univ Buenos Aires, Inst Micol &amp; Bot INMIBO, Consejo Nacl Invest Cient &amp; Tecn CONICET, Intendente Guiraldes 2160,C1428EHA, Buenos Aires, DF, Argentina.</t>
  </si>
  <si>
    <t>caroanarobles@gmail.com; diatrypales2@gmail.com</t>
  </si>
  <si>
    <t>Robles, Carolina/IXX-0886-2023</t>
  </si>
  <si>
    <t>National Scientific and Technical Research Council (CONICET) [PIP 112 20150100956]; University of Buenos Aires [UBACYT 20020190100051BA]</t>
  </si>
  <si>
    <t>National Scientific and Technical Research Council (CONICET)(Consejo Nacional de Investigaciones Cientificas y Tecnicas (CONICET)); University of Buenos Aires(University of Buenos Aires)</t>
  </si>
  <si>
    <t>This study was financially supported by the National Scientific and Technical Research Council (CONICET) [PIP 112 20150100956] and University of Buenos Aires [UBACYT 20020190100051BA].</t>
  </si>
  <si>
    <t>0722-4060</t>
  </si>
  <si>
    <t>1432-2056</t>
  </si>
  <si>
    <t>POLAR BIOL</t>
  </si>
  <si>
    <t>Polar Biol.</t>
  </si>
  <si>
    <t>10.1007/s00300-021-02916-2</t>
  </si>
  <si>
    <t>UC8UO</t>
  </si>
  <si>
    <t>WOS:000678027300001</t>
  </si>
  <si>
    <t>Bosch, NE; Monk, J; Goetze, J; Wilson, S; Babcock, RC; Barrett, N; Clough, J; Currey-Randall, LM; Fairclough, DV; Fisher, R; Gibbons, BA; Harasti, D; Harvey, ES; Heupel, MR; Hicks, JL; Holmes, TH; Huveneers, C; Ierodiaconou, D; Jordan, A; Knott, NA; Malcolm, HA; McLean, D; Meekan, M; Newman, SJ; Radford, B; Rees, MJ; Saunders, BJ; Speed, CW; Travers, MJ; Wakefield, CB; Wernberg, T; Langlois, TJ</t>
  </si>
  <si>
    <t>Bosch, Nestor E.; Monk, Jacquomo; Goetze, Jordan; Wilson, Shaun; Babcock, Russell C.; Barrett, Neville; Clough, Jock; Currey-Randall, Leanne M.; Fairclough, David V.; Fisher, Rebecca; Gibbons, Brooke A.; Harasti, David; Harvey, Euan S.; Heupel, Michelle R.; Hicks, Jamie L.; Holmes, Thomas H.; Huveneers, Charlie; Ierodiaconou, Daniel; Jordan, Alan; Knott, Nathan A.; Malcolm, Hamish A.; McLean, Dianne; Meekan, Mark; Newman, Stephen J.; Radford, Ben; Rees, Matthew J.; Saunders, Benjamin J.; Speed, Conrad W.; Travers, Michael J.; Wakefield, Corey B.; Wernberg, Thomas; Langlois, Tim J.</t>
  </si>
  <si>
    <t>Effects of human footprint and biophysical factors on the body-size structure of fished marine species</t>
  </si>
  <si>
    <t>CONSERVATION BIOLOGY</t>
  </si>
  <si>
    <t>baited remote underwater stereo-video; ecosystem functioning; environmental reporting; fishing; human gravity; no-take marine reserves; funcionamiento ambiental; gravedad humana; pesca; reporte ambiental; reservas de proteccion total; video estereo subacuatico remoto con cebo</t>
  </si>
  <si>
    <t>REEF FISH; PROTECTED AREAS; STEREO-VIDEO; ABUNDANCE; RESERVES; INDICATORS; DIVERSITY; CASCADES; DENSITY; TARGETS</t>
  </si>
  <si>
    <t>Marine fisheries in coastal ecosystems in many areas of the world have historically removed large-bodied individuals, potentially impairing ecosystem functioning and the long-term sustainability of fish populations. Reporting on size-based indicators that link to food-web structure can contribute to ecosystem-based management, but the application of these indicators over large (cross-ecosystem) geographical scales has been limited to either fisheries-dependent catch data or diver-based methods restricted to shallow waters (&lt;20 m) that can misrepresent the abundance of large-bodied fished species. We obtained data on the body-size structure of 82 recreationally or commercially targeted marine demersal teleosts from 2904 deployments of baited remote underwater stereo-video (stereo-BRUV). Sampling was at up to 50 m depth and covered approximately 10,000 km of the continental shelf of Australia. Seascape relief, water depth, and human gravity (i.e., a proxy of human impacts) were the strongest predictors of the probability of occurrence of large fishes and the abundance of fishes above the minimum legal size of capture. No-take marine reserves had a positive effect on the abundance of fishes above legal size, although the effect varied across species groups. In contrast, sublegal fishes were best predicted by gradients in sea surface temperature (mean and variance). In areas of low human impact, large fishes were about three times more likely to be encountered and fishes of legal size were approximately five times more abundant. For conspicuous species groups with contrasting habitat, environmental, and biogeographic affinities, abundance of legal-size fishes typically declined as human impact increased. Our large-scale quantitative analyses highlight the combined importance of seascape complexity, regions with low human footprint, and no-take marine reserves in protecting large-bodied fishes across a broad range of species and ecosystem configurations.</t>
  </si>
  <si>
    <t>[Bosch, Nestor E.; Gibbons, Brooke A.; Wernberg, Thomas; Langlois, Tim J.] Univ Western Australia, Sch Biol Sci, 35 Stirling Highway, Perth, WA 6009, Australia; [Bosch, Nestor E.; Wilson, Shaun; Clough, Jock; Fisher, Rebecca; Gibbons, Brooke A.; Holmes, Thomas H.; McLean, Dianne; Meekan, Mark; Radford, Ben; Wernberg, Thomas; Langlois, Tim J.] Univ Western Australia, UWA Oceans Inst, Perth, WA, Australia; [Monk, Jacquomo; Barrett, Neville; Jordan, Alan] Univ Tasmania, Inst Marine &amp; Antarctic Studies, Hobart, Tas, Australia; [Goetze, Jordan; Wilson, Shaun; Holmes, Thomas H.] Dept Biodivers Conservat &amp; Attract, Biodivers &amp; Conservat Sci, Marine Sci Program, Kensington, WA, Australia; [Goetze, Jordan; Harvey, Euan S.; Saunders, Benjamin J.] Curtin Univ, Sch Mol &amp; Life Sci, Perth, WA, Australia; [Babcock, Russell C.] CSIRO Oceans &amp; Atmosphere, St Lucia, Qld, Australia; [Currey-Randall, Leanne M.; Heupel, Michelle R.] Australian Inst Marine Sci, Townsville, Qld, Australia; [Fairclough, David V.; Newman, Stephen J.; Travers, Michael J.; Wakefield, Corey B.] Western Australian Fisheries &amp; Marine Res Labs, Dept Primary Ind &amp; Reg Dev, North Beach, WA, Australia; [Fisher, Rebecca; McLean, Dianne; Meekan, Mark; Radford, Ben; Speed, Conrad W.] Australian Inst Marine Sci, Indian Ocean Marine Res Ctr, Crawley, WA, Australia; [Harasti, David; Jordan, Alan] NSW Dept Primary Ind, Fisheries Res, Port Stephens Fisheries Inst, Taylors Beach, NSW, Australia; [Heupel, Michelle R.] Univ Tasmania, Integrated Marine Observing Syst IMOS, Hobart, Tas, Australia; [Hicks, Jamie L.] Dept Environm &amp; Water, Marine Sci, Adelaide, SA, Australia; [Huveneers, Charlie] Flinders Univ S Australia, Coll Sci &amp; Engn, Bedford Pk, SA, Australia; [Ierodiaconou, Daniel] Deakin Univ, Ctr Integrat Ecol, Sch Life &amp; Environm Sci, Warrnambool, Vic, Australia; [Knott, Nathan A.; Malcolm, Hamish A.; Rees, Matthew J.] NSW Dept Primary Ind, Fisheries Res, Coffs Harbour, NSW, Australia; [Radford, Ben] Univ Western Australia, Sch Agr &amp; Environm, Perth, WA, Australia; [Wernberg, Thomas] Inst Marine Res, His, Norway</t>
  </si>
  <si>
    <t>University of Western Australia; University of Western Australia; University of Tasmania; Curtin University; Commonwealth Scientific &amp; Industrial Research Organisation (CSIRO); Australian Institute of Marine Science; Western Australian Fisheries &amp; Marine Research Laboratories; Australian Institute of Marine Science; University of Western Australia; NSW Department of Primary Industries; University of Tasmania; Flinders University South Australia; Deakin University; NSW Department of Primary Industries; University of Western Australia; Institute of Marine Research - Norway</t>
  </si>
  <si>
    <t>Bosch, NE (corresponding author), Univ Western Australia, Sch Biol Sci, 35 Stirling Highway, Perth, WA 6009, Australia.</t>
  </si>
  <si>
    <t>nbosch1989@gmail.com</t>
  </si>
  <si>
    <t>Babcock, Russell C/A-3794-2012; Guerra, Néstor Echedey Bosch/AAI-6774-2020; Wernberg, Thomas/B-4172-2010; Wilson, Shaun/K-8597-2019; Saunders, Benjamin/AAB-6617-2019; Knott, Nathan/AAA-8888-2019; Speed, Conrad W/F-2913-2015; Rees, Matthew John/I-9177-2012; Ierodiaconou, Daniel A/B-9915-2008; Fisher, Rebecca/C-5459-2011; Goetze, Jordan/J-3099-2015; Barrett, Neville/J-7593-2014; McLean, Dianne/H-2449-2012</t>
  </si>
  <si>
    <t>Guerra, Néstor Echedey Bosch/0000-0003-0421-8456; Wernberg, Thomas/0000-0003-1185-9745; Wilson, Shaun/0000-0002-4590-0948; Saunders, Benjamin/0000-0003-1929-518X; Knott, Nathan/0000-0002-7873-0412; Speed, Conrad W/0000-0003-3186-8710; Rees, Matthew John/0000-0002-2472-6215; Fairclough, David/0000-0002-9620-5064; Huveneers, Charlie/0000-0001-8937-1358; Fisher, Rebecca/0000-0001-5148-6731; Gibbons, Brooke/0000-0002-0628-7781; Meekan, Mark/0000-0002-3067-9427; Currey-Randall, Leanne M/0000-0002-3772-1288; Goetze, Jordan/0000-0002-3090-9763; Barrett, Neville/0000-0002-6167-1356; McLean, Dianne/0000-0002-0306-8348; Clough, Jock/0000-0001-7925-5900</t>
  </si>
  <si>
    <t>Community of Practice Fund from the Australian Institute of Marine Science; Western Australian Marine Science Institute; Curtin University; Australian Research Data Commons (ARDC's) Marine Research Data Cloud; Australian Data Partnerships program - National Collaborative Research Infrastructure Strategy; Paul G. Allen Philanthropies; Marine Biodiversity Hub through Australian Government's National Environmental Science Program</t>
  </si>
  <si>
    <t>This synthesis received financial support in the form of a workshop from the Community of Practice Fund from the Australian Institute of Marine Science, the Western Australian Marine Science Institute, and Curtin University and through support to GlobalArchive via the Australian Research Data Commons (ARDC's) Marine Research Data Cloud and Australian Data Partnerships program, funded by the National Collaborative Research Infrastructure Strategy. This work is a contribution of the Global FinPrint Project, funded by Paul G. Allen Philanthropies. Researchers T.L., A.J., B.A.G., N.B., and J.M. were supported by the Marine Biodiversity Hub through funding from the Australian Government's National Environmental Science Program.</t>
  </si>
  <si>
    <t>0888-8892</t>
  </si>
  <si>
    <t>1523-1739</t>
  </si>
  <si>
    <t>CONSERV BIOL</t>
  </si>
  <si>
    <t>Conserv. Biol.</t>
  </si>
  <si>
    <t>APR</t>
  </si>
  <si>
    <t>10.1111/cobi.13807</t>
  </si>
  <si>
    <t>0M9QW</t>
  </si>
  <si>
    <t>WOS:000678529500001</t>
  </si>
  <si>
    <t>Meekan, MG; Speed, CW; McCauley, RD; Fisher, R; Birt, MJ; Currey-Randall, LM; Semmens, JM; Newman, SJ; Cure, K; Stowar, M; Vaughan, B; Parsons, MJG</t>
  </si>
  <si>
    <t>Meekan, Mark G.; Speed, Conrad W.; McCauley, Robert D.; Fisher, Rebecca; Birt, Matthew J.; Currey-Randall, Leanne M.; Semmens, Jayson M.; Newman, Stephen J.; Cure, Katherine; Stowar, Marcus; Vaughan, Brigit; Parsons, Miles J. G.</t>
  </si>
  <si>
    <t>A large-scale experiment finds no evidence that a seismic survey impacts a demersal fish fauna</t>
  </si>
  <si>
    <t>BRUVS; predatory fish; telemetry; MBACI; community</t>
  </si>
  <si>
    <t>RED SNAPPER; ACOUSTIC TELEMETRY; ARTIFICIAL REEFS; SOUND; MORTALITY; EXPOSURE; MOVEMENTS; PRESSURE; PATTERNS; BEHAVIOR</t>
  </si>
  <si>
    <t>Seismic surveys are used to locate oil and gas reserves below the seabed and can be a major source of noise in marine environments. Their effects on commercial fisheries are a subject of debate, with experimental studies often producing results that are difficult to interpret. We overcame these issues in a large-scale experiment that quantified the impacts of exposure to a commercial seismic source on an assemblage of tropical demersal fishes targeted by commercial fisheries on the North West Shelf of Western Australia. We show that there were no short-term (days) or long-term (months) effects of exposure on the composition, abundance, size structure, behavior, or movement of this fauna. These multiple lines of evidence suggest that seismic surveys have little impact on demersal fishes in this environment.</t>
  </si>
  <si>
    <t>[Meekan, Mark G.; Speed, Conrad W.; Fisher, Rebecca; Birt, Matthew J.; Cure, Katherine; Vaughan, Brigit; Parsons, Miles J. G.] Univ Western Australia, Australian Inst Marine Sci, Perth, WA 6009, Australia; [Meekan, Mark G.] Univ Western Australia, Oceans Inst, Perth, WA 6009, Australia; [McCauley, Robert D.] Curtin Univ, Ctr Marine Sci &amp; Technol, Bentley, WA 6109, Australia; [Currey-Randall, Leanne M.; Stowar, Marcus] Australian Inst Marine Sci, Townsville, Qld 4810, Australia; [Semmens, Jayson M.] Univ Tasmania, Inst Marine &amp; Antarctic Studies, Battery Point, Tas 7004, Australia; [Newman, Stephen J.] Western Australian Fisheries &amp; Marine Res Labs, Dept Primary Ind &amp; Reg Dev, Hillarys, WA 6025, Australia</t>
  </si>
  <si>
    <t>University of Western Australia; Australian Institute of Marine Science; University of Western Australia; Curtin University; Australian Institute of Marine Science; University of Tasmania; Western Australian Fisheries &amp; Marine Research Laboratories</t>
  </si>
  <si>
    <t>Meekan, MG (corresponding author), Univ Western Australia, Australian Inst Marine Sci, Perth, WA 6009, Australia.;Meekan, MG (corresponding author), Univ Western Australia, Oceans Inst, Perth, WA 6009, Australia.</t>
  </si>
  <si>
    <t>m.meekan@aims.gov.au</t>
  </si>
  <si>
    <t>Speed, Conrad W/F-2913-2015; Newman, Stephen/C-4507-2016; Fisher, Rebecca/C-5459-2011</t>
  </si>
  <si>
    <t>Speed, Conrad W/0000-0003-3186-8710; Cure, Katherine/0000-0002-2922-6391; Meekan, Mark/0000-0002-3067-9427; McCauley, Robert/0000-0002-7401-8751; Currey-Randall, Leanne M/0000-0002-3772-1288; Newman, Stephen/0000-0002-5324-5568; Fisher, Rebecca/0000-0001-5148-6731; Semmens, Jayson/0000-0003-1742-6692</t>
  </si>
  <si>
    <t>Santos as part of the company's commitment to better understanding Western Australia's marine environment; Woodside Energy Ltd.</t>
  </si>
  <si>
    <t>AIMS acknowledges the Ngarluma, Yindjibarndi and Kariyarra People as Traditional Owners of Country adjacent to the areas where this study occurred. We recognise these People's ongoing spiritual and physical connection to Country and pay our respects to their Aboriginal Elders past, present and emerging. We acknowledge and thank the crew of the R.V. Solander, Jamie Colquhoun, Shaun Hahn, Iain Parnum, Chris Teasdale, Brett Taylor, Josh Baker, Audrey Schlaff, Michael Taylor, Gabby Mitsopoulos, Colby Bignell, Matthew Rees, Neill Roberts, and Simon Spagnol, for assistance with field work. We also thank Iain Parnum, AlaaMufti, and Simon Spagnol for geophysical data collection and analysis of multibeam sampling. We thank Rachel Przeslawski and Andrew Carroll of GeoScience Australia and anonymous reviewers for constructive comments that improved the manuscript. We also thank Peter Farrell and Michaela Dommisse for project management. This study was conducted as part of Australian Institute of Marine Science's (AIMS) North West Shoals to Shore Research Programand was supported by Santos as part of the company's commitment to better understanding Western Australia's marine environment. Additional funding was provided by Woodside Energy Ltd.</t>
  </si>
  <si>
    <t>1091-6490</t>
  </si>
  <si>
    <t>e2100869118</t>
  </si>
  <si>
    <t>10.1073/pnas.2100869118</t>
  </si>
  <si>
    <t>UA3CD</t>
  </si>
  <si>
    <t>hybrid, Green Accepted, Green Submitted, Green Published</t>
  </si>
  <si>
    <t>WOS:000685039000017</t>
  </si>
  <si>
    <t>Sauser, C; Delord, K; Barbraud, C</t>
  </si>
  <si>
    <t>Sauser, Christophe; Delord, Karine; Barbraud, Christophe</t>
  </si>
  <si>
    <t>Sea ice and local weather affect reproductive phenology of a polar seabird with breeding consequences</t>
  </si>
  <si>
    <t>ORNITHOLOGICAL APPLICATIONS</t>
  </si>
  <si>
    <t>climate change; fledging success; hatching date; laying date; seabird; sea ice; snowfall; Snow Petrel; wind</t>
  </si>
  <si>
    <t>CLIMATE-CHANGE; PHENOTYPIC PLASTICITY; ANTARCTIC SEABIRD; TOP-PREDATOR; BIRDS; MARINE; ADELIE; LONG; RESPONSES; VARIABILITY</t>
  </si>
  <si>
    <t>Breeding at the right time is essential for animals living in seasonal environments to ensure that energy requirements for reproduction, especially the nutritional needs for rearing offspring, coincide with peak food availability. Climate change is likely to cause modifications in the timing of maximum food availability, and organisms living in polar environments where the breeding period is heavily contracted may be particularly affected. Here we used a 26-year dataset to study the phenological response of a pagophilic species, the Snow Petrel (Pagodroma nivea), to climate change and its demographic impact. First, we investigated the trends and relationships between climate variables and hatching dates measured in three neighboring colonies. In a second step, we examined the impact of the hatching date and environmental covariates on the fledging probability. Our results showed that sea ice, a climate-related variable, showed a positive temporal trend. We found that hatching date was delayed when sea ice concentration was greater and local weather conditions were worse (i.e., increase in the number of windy days or the number of snow days). Hatching date had a negative effect on fledging probability, and fledging probability showed a bell-shaped temporal trend. We suggest that Snow Petrels can delay breeding phenology in response to environmental conditions. However, this plasticity may be limited as fledging success decreased with delayed hatching, potentially making the Snow Petrel vulnerable to a mismatch between resource availability and nutritional needs.</t>
  </si>
  <si>
    <t>[Sauser, Christophe; Delord, Karine; Barbraud, Christophe] CNRS, Ctr Etud Biol Chize UMR 7372, Villiers En Bois, France</t>
  </si>
  <si>
    <t>Centre National de la Recherche Scientifique (CNRS); CNRS - Institute of Ecology &amp; Environment (INEE)</t>
  </si>
  <si>
    <t>Sauser, C (corresponding author), CNRS, Ctr Etud Biol Chize UMR 7372, Villiers En Bois, France.</t>
  </si>
  <si>
    <t>christophe.sauser@orange.fr</t>
  </si>
  <si>
    <t>Barbraud, Christophe/0000-0003-0146-212X; Sauser, Christophe/0000-0001-8809-781X; Delord, Karine/0000-0001-6720-951X</t>
  </si>
  <si>
    <t>French Polar Institute IPEV [109]; Projet SENSEI (Sentinels of the sea ice) - Fondation BNP Paribas</t>
  </si>
  <si>
    <t>French Polar Institute IPEV; Projet SENSEI (Sentinels of the sea ice) - Fondation BNP Paribas</t>
  </si>
  <si>
    <t>The long-term demographic study at Dumont d'Urville station was supported by the French Polar Institute IPEV (programme No 109, resp. H. Weimerskirch). The study is a contribution to the Projet SENSEI (Sentinels of the sea ice) funded by Fondation BNP Paribas.</t>
  </si>
  <si>
    <t>OXFORD UNIV PRESS INC</t>
  </si>
  <si>
    <t>CARY</t>
  </si>
  <si>
    <t>JOURNALS DEPT, 2001 EVANS RD, CARY, NC 27513 USA</t>
  </si>
  <si>
    <t>0010-5422</t>
  </si>
  <si>
    <t>2732-4621</t>
  </si>
  <si>
    <t>ORNITHOL APPL</t>
  </si>
  <si>
    <t>Ornithol. Appl.</t>
  </si>
  <si>
    <t>NOV 1</t>
  </si>
  <si>
    <t>duab032</t>
  </si>
  <si>
    <t>10.1093/ornithapp/duab032</t>
  </si>
  <si>
    <t>Ornithology</t>
  </si>
  <si>
    <t>YM5LT</t>
  </si>
  <si>
    <t>WOS:000746616800002</t>
  </si>
  <si>
    <t>van Zijl, C; Soal, K; Volkmar, R; Govers, Y; Böswald, M; Bekker, A</t>
  </si>
  <si>
    <t>van Zijl, C.; Soal, K.; Volkmar, R.; Govers, Y.; Boswald, M.; Bekker, A.</t>
  </si>
  <si>
    <t>The use of operational modal analysis and mode tracking for insight into vessel</t>
  </si>
  <si>
    <t>MARINE STRUCTURES</t>
  </si>
  <si>
    <t>Operational modal analysis; Mode tracking; Full-scale measurements; Polar vessels; Whipping; Fatigue</t>
  </si>
  <si>
    <t>WAVELET TRANSFORMS; ICE; IDENTIFICATION</t>
  </si>
  <si>
    <t>Accurate dynamic models of flexible ship structures are required to predict structural vibration caused by environmental loads. Knowledge of dynamic or modal properties are important, for example, to study fatigue damage. In this paper, operational modal analysis (OMA) is used to identify the vibration characteristics of a polar vessel from full-scale acceleration measurements. Five modes are tracked over a range of different operating and environmental conditions, including calm, open water, two ice cases and an open water storm. Compared to the calm, open water conditions, vertical bending modes were generally affected the most by the operating environment, with natural frequency and damping increasing up to 3.7 and 349 %, respectively, in ice. Severity of two-node and three-node vertical bending responses, quantified using a root-mean-square value, were found to be especially large during the open water storm case. Temporal behaviour of two-node and three-node vertical bending due to wave-slamming further contained multiple whipping responses, pointing towards possible cumulative damage over a large number of stress cycles occurring at the midship. Higher damping in ice resulted in responses with lower magnitudes and shorter durations.</t>
  </si>
  <si>
    <t>[van Zijl, C.; Bekker, A.] Stellenbosch Univ, Dept Mech &amp; Mechatron Engn, Sound &amp; Vibrat Res Grp, Stellenbosch, South Africa; [Soal, K.; Volkmar, R.; Govers, Y.; Boswald, M.] German Aerosp Ctr DLR, Inst Aeroelastic, Bunsenstr 10, D-37073 Gottingen, Germany</t>
  </si>
  <si>
    <t>Stellenbosch University; Helmholtz Association; German Aerospace Centre (DLR)</t>
  </si>
  <si>
    <t>van Zijl, C (corresponding author), Stellenbosch Univ, Dept Mech &amp; Mechatron Engn, Sound &amp; Vibrat Res Grp, Stellenbosch, South Africa.</t>
  </si>
  <si>
    <t>christofvanzijl@gmail.com; Keith.Soal@dlr.de; annieb@sun.ac.za</t>
  </si>
  <si>
    <t>Govers, Yves/R-7082-2017</t>
  </si>
  <si>
    <t>Govers, Yves/0000-0003-2236-596X</t>
  </si>
  <si>
    <t>National Research Foundation (NRF) through the South African National Antarctic Programme (SANAP) [110737]; Flotilla Foundation; Department of Environmental Affairs of South Africa</t>
  </si>
  <si>
    <t>National Research Foundation (NRF) through the South African National Antarctic Programme (SANAP); Flotilla Foundation; Department of Environmental Affairs of South Africa</t>
  </si>
  <si>
    <t>Funding from the National Research Foundation (NRF) through the South African National Antarctic Programme (SANAP Grant No. 110737) is thankfully recognised. The Flotilla Foundation is acknowledged for funding the charter of the SA Agulhas II for the Weddell Sea Expedition, 2019. The authors express thanks to the Department of Environmental Affairs of South Africa and Captain Knowledge Bengu and Crew of the S.A. Agulhas II for their support and assistance during the Weddell Sea Expedition 2019.</t>
  </si>
  <si>
    <t>0951-8339</t>
  </si>
  <si>
    <t>1873-4170</t>
  </si>
  <si>
    <t>MAR STRUCT</t>
  </si>
  <si>
    <t>Mar. Struct.</t>
  </si>
  <si>
    <t>10.1016/j.marstruc.2021.103043</t>
  </si>
  <si>
    <t>Engineering, Marine; Engineering, Civil</t>
  </si>
  <si>
    <t>Engineering</t>
  </si>
  <si>
    <t>TZ5XQ</t>
  </si>
  <si>
    <t>WOS:000684545600005</t>
  </si>
  <si>
    <t>Cloete, R; Loock, JC; Van Horsten, NR; Fietz, S; Mtshali, TN; Planquette, H; Roychoudhury, AN</t>
  </si>
  <si>
    <t>Cloete, Ryan; Loock, Jean C.; van Horsten, Natasha R.; Fietz, Susanne; Mtshali, Thato N.; Planquette, Helene; Roychoudhury, Alakendra N.</t>
  </si>
  <si>
    <t>Winter Biogeochemical Cycling of Dissolved and Particulate Cadmium in the Indian Sector of the Southern Ocean (GEOTRACES GIpr07 Transect)</t>
  </si>
  <si>
    <t>trace metal; phytoplankton; GEOTRACES; Southern Ocean; dissolved cadmium; particulate cadmium; diatoms; winter</t>
  </si>
  <si>
    <t>SUB-ANTARCTIC ZONE; TRACE-METALS CD; PHOSPHORUS RATIO; IRON LIMITATION; PHYTOPLANKTON; ATLANTIC; ZINC; WATERS; SPECIATION; PHOSPHATE</t>
  </si>
  <si>
    <t>Winter distributions of dissolved cadmium (dCd) and particulate cadmium (pCd) were measured for the first time in the Indian sector of the Southern Ocean thereby contributing a unique spatial and seasonal dataset. Seven depth profiles, between 41 degrees S and 58 degrees S, were collected along the 30 degrees E longitude during the 2017 austral winter to investigate the biogeochemical cycling of cadmium during a period characterized by contrasting upper water column dynamics compared to summer. Our results support an important role for biological uptake during winter months albeit weaker compared to summer. Distinct, biologically driven changes in cadmium cycling across the transect were observed. For example, surface ratios of pCd to phosphorus (P; pCd:P) increased from 0.37 to 1.07 mmol mol(-1) between the subtropical zone (STZ) and the Antarctic zone (AAZ) reflecting increased Cd requirements for diatoms at higher latitudes which, in turn, was driven by a complex relationship between the availability of dCd and dissolved iron (dFe), zinc (dZn) and manganese (dMn). Vertical profiles of pCd:P displayed near-surface maxima consistent with (1) P occurring in two phases with different labilities and the lability of Cd being somewhere in-between and (2) increasing dCd to phosphate (PO4; dCd:PO4) ratios with depth at each station. North of the Antarctic Polar Front (APF), a secondary, deeper pCd:P maximum may reflect an advective signal associated with northward subducting Antarctic Intermediate Water (AAIW). The strong southward increase in surface dCd and dCd:PO4, from approximately 10-700 pmol kg(-1) and 40-400 mu mol mol(-1), respectively, reflected the net effect of preferential uptake and regeneration of diatoms with high Cd content and the upwelling of Cd enriched water masses in the AAZ. Furthermore, distinct dCd versus PO4 relationships were observed in each of the intermediate and deep water masses suggesting that dCd and PO4 distributions at depth are largely the result of physical water mass mixing.</t>
  </si>
  <si>
    <t>[Cloete, Ryan; Loock, Jean C.; van Horsten, Natasha R.; Fietz, Susanne; Roychoudhury, Alakendra N.] Stellenbosch Univ, Dept Earth Sci, Ctr Trace Met &amp; Expt Biogeochem TracEx, Stellenbosch, South Africa; [van Horsten, Natasha R.] Council Sci &amp; Ind Res CSIR, Southern Ocean Carbon &amp; Climate Observ, Stellenbosch, South Africa; [van Horsten, Natasha R.; Planquette, Helene] Univ Brest, CNRS, IRD, IFREMER, Plouzane, France; [Mtshali, Thato N.] Dept Environm Forestry &amp; Fisheries, Oceans &amp; Coast, Cape Town, South Africa</t>
  </si>
  <si>
    <t>Stellenbosch University; Ifremer; Centre National de la Recherche Scientifique (CNRS); Universite de Bretagne Occidentale; Institut de Recherche pour le Developpement (IRD)</t>
  </si>
  <si>
    <t>Cloete, R (corresponding author), Stellenbosch Univ, Dept Earth Sci, Ctr Trace Met &amp; Expt Biogeochem TracEx, Stellenbosch, South Africa.</t>
  </si>
  <si>
    <t>15994619@sun.ac.za</t>
  </si>
  <si>
    <t>Fietz, Susanne/A-8695-2012</t>
  </si>
  <si>
    <t>Fietz, Susanne/0000-0003-0896-8385</t>
  </si>
  <si>
    <t>National Research Foundation (NRF) Innovation Ph.D. studentship; NRF [UID 111210, 110731, 93069, 105826, 110715]</t>
  </si>
  <si>
    <t>National Research Foundation (NRF) Innovation Ph.D. studentship; NRF</t>
  </si>
  <si>
    <t>RC was supported through the National Research Foundation (NRF) Innovation Ph.D. studentship. This research was supported by NRF grants (UID# 93069, 105826, and 110715) to AR. SF acknowledges funding from NRF (UID 111210 and 110731) .</t>
  </si>
  <si>
    <t>JUL 26</t>
  </si>
  <si>
    <t>10.3389/fmars.2021.656321</t>
  </si>
  <si>
    <t>TS1JR</t>
  </si>
  <si>
    <t>Green Published, gold, Green Submitted</t>
  </si>
  <si>
    <t>WOS:000679414600001</t>
  </si>
  <si>
    <t>Braun, C; Esefeld, J; Savelieva, L; Peter, HU</t>
  </si>
  <si>
    <t>Braun, Christina; Esefeld, Jan; Savelieva, Larisa; Peter, Hans-Ulrich</t>
  </si>
  <si>
    <t>Population decline of the cape petrel (Daption capense) on King George Island, South Shetland Islands, Antarctica</t>
  </si>
  <si>
    <t>Daption capense; Environmental changes; Food availability; Fulmarine seabird; Indicator species; South Shetland Islands</t>
  </si>
  <si>
    <t>NELSON ISLAND; CLIMATE-CHANGE; BREEDING SUCCESS; ORKNEY ISLANDS; MAYES ISLAND; BROWN SKUA; SEABIRDS; DIET; PREDATION</t>
  </si>
  <si>
    <t>The Antarctic and the surrounding Southern Ocean are currently subject to rapid environmental changes and increasing anthropogenic impacts. Seabird populations often reflect those changes and so act as indicators of environmental variability. Their population trends may provide information on a variety of environmental parameters on the scale of years or decades. We therefore provide long-term data on the cape petrel (Daption capense) population from a long-term monitoring program on Fildes Peninsula, South Shetland Islands, Maritime Antarctic, an area of considerable human activity. Our data, covering a period of 36 years, indicate some variability, but no clear trend in the number of breeding pairs between the breeding seasons 1985 and 2006. However, beginning in the 2008 season, the population decreased significantly and reached a minimum in the 2020 season. The mean annual decrease between 2008 and 2020 was 10.6%. We discuss possible causes of this strong negative population trend. Anthropogenic disturbance only affects a few breeding sites in the area and is therefore unable, on its own, to explain the consistent population decline at all the breeding sites studied. We think it more likely that reduced food availability was the main cause of the drastic decline in the cape petrel population.</t>
  </si>
  <si>
    <t>[Braun, Christina; Esefeld, Jan; Peter, Hans-Ulrich] Friedrich Schiller Univ Jena, Inst Ecol &amp; Evolut, Polar &amp; Bird Ecol Grp, Dornburger Str 159, D-07743 Jena, Germany; [Savelieva, Larisa] St Petersburg State Univ, Inst Earth Sci, Univ Skaya 7-9, St Petersburg 199034, Russia</t>
  </si>
  <si>
    <t>Friedrich Schiller University of Jena; Saint Petersburg State University</t>
  </si>
  <si>
    <t>Braun, C (corresponding author), Friedrich Schiller Univ Jena, Inst Ecol &amp; Evolut, Polar &amp; Bird Ecol Grp, Dornburger Str 159, D-07743 Jena, Germany.</t>
  </si>
  <si>
    <t>Chr.Braun@uni-jena.de</t>
  </si>
  <si>
    <t>Savelieva, Larisa/H-9135-2013</t>
  </si>
  <si>
    <t>German Environment Agency [FKZ 203 13 124, FKZ 3708 91 102, FKZ 3712 87 100, FKZ 3715 19 213 0, FKZ 3718 18 100 0]</t>
  </si>
  <si>
    <t>German Environment Agency</t>
  </si>
  <si>
    <t>We thank for their field work the participants of the German expeditions made during the 1980s as well as the current and former members of the Polar &amp; Bird Ecology Group. Since 2003 the study was part of various monitoring projects commissioned by the German Environment Agency (FKZ 203 13 124, FKZ 3708 91 102, FKZ 3712 87 100, FKZ 3715 19 213 0 and FKZ 3718 18 100 0). We also thank the reviewers K. Weidinger, J. C. S. Creuwels and Gisele P. M. Dantas for their helpful comments and suggestions on improving the manuscript. The manuscript was edited during revision by Dr A.J. Davis, English Experience Language Services, Gottingen, Germany.</t>
  </si>
  <si>
    <t>10.1007/s00300-021-02914-4</t>
  </si>
  <si>
    <t>WOS:000679106800002</t>
  </si>
  <si>
    <t>Zeb, L; Teng, XN; Shafiq, M; Wang, SC; Xiu, ZL; Su, ZG</t>
  </si>
  <si>
    <t>Zeb, Liaqat; Teng, Xin-Nan; Shafiq, Muhammad; Wang, Shu-Chang; Xiu, Zhi-Long; Su, Zhi-Guo</t>
  </si>
  <si>
    <t>Three-liquid-phase salting-out extraction of eicosapentaenoic acid (EPA) and docosahexaenoic acid (DHA)-rich oils from Euphausia superba</t>
  </si>
  <si>
    <t>ENGINEERING IN LIFE SCIENCES</t>
  </si>
  <si>
    <t>Antarctic krill; docosahexaenoic acid; eicosapentaenoic acid; extraction efficiency; fluoride; three-liquid-phase salting-out extraction system</t>
  </si>
  <si>
    <t>POLYUNSATURATED FATTY-ACIDS; KRILL OIL; FLUORIDE; SEPARATION; FERMENTATION; BROTHS; DHA</t>
  </si>
  <si>
    <t>The TLPSOES parameters were optimized by response surface methodology using Box-Behnken design, which were 16.5% w/w of ammonium citrate, 17.5% w/w of ethanol, and 46% w/w of n-hexane at 70 min of stirring time. Under optimized conditions the extraction efficiency attained was 90.91 +/- 0.97% of EPA, 90.02 +/- 1.04% of DHA, and 91.85 +/- 1.11% of KO in the top n-hexane phase. The highest extraction efficiency of proteins and flavonoids, i.e. 88.34 +/- 1.35% and 79.67 +/- 1.13%, was recorded in the solid interface and ethanol phase, respectively. The KO extracted by TLPSOES system consisted of lowest fluoride level compared to the conventional method and whole wet krill biomass. The TLPSOES is a potential candidate for nutraceutical industry of KO extraction from wet krill biomass.</t>
  </si>
  <si>
    <t>[Zeb, Liaqat; Teng, Xin-Nan; Shafiq, Muhammad; Wang, Shu-Chang; Xiu, Zhi-Long] Dalian Univ Technol, Sch Bioengn, 2 Linggong Rd, Dalian 116024, Peoples R China; [Su, Zhi-Guo] Chinese Acad Sci, Inst Proc Engn, State Key Lab Biochem Engn, Beijing, Peoples R China</t>
  </si>
  <si>
    <t>Dalian University of Technology; Institute of Process Engineering, CAS; Chinese Academy of Sciences</t>
  </si>
  <si>
    <t>Xiu, ZL (corresponding author), Dalian Univ Technol, Sch Bioengn, 2 Linggong Rd, Dalian 116024, Peoples R China.</t>
  </si>
  <si>
    <t>zhlxiu@dlut.edu.cn</t>
  </si>
  <si>
    <t>Zeb, Liaqat/AAZ-9953-2020</t>
  </si>
  <si>
    <t>Zeb, Liaqat/0000-0002-3657-5362; Jiang, Lili/0000-0003-4350-0059</t>
  </si>
  <si>
    <t>NationalNatural Science Foundation of China [22078042, 21476042]</t>
  </si>
  <si>
    <t>NationalNatural Science Foundation of China(National Natural Science Foundation of China (NSFC))</t>
  </si>
  <si>
    <t>NationalNatural Science Foundation of China, Grant/Award Numbers: 22078042, 21476042</t>
  </si>
  <si>
    <t>1618-0240</t>
  </si>
  <si>
    <t>1618-2863</t>
  </si>
  <si>
    <t>ENG LIFE SCI</t>
  </si>
  <si>
    <t>Eng. Life Sci.</t>
  </si>
  <si>
    <t>10.1002/elsc.202000098</t>
  </si>
  <si>
    <t>WH0XI</t>
  </si>
  <si>
    <t>WOS:000678795500001</t>
  </si>
  <si>
    <t>Krumova, E; Abrashev, R; Dishliyska, V; Stoyancheva, G; Kostadinova, N; Miteva-Staleva, J; Spasova, B; Angelova, M</t>
  </si>
  <si>
    <t>Krumova, Ekaterina; Abrashev, Radoslav; Dishliyska, Vladislava; Stoyancheva, Galina; Kostadinova, Nedelina; Miteva-Staleva, Jeny; Spasova, Boryana; Angelova, Maria</t>
  </si>
  <si>
    <t>Cold-active catalase from the psychrotolerant fungus Penicillium griseofulvum</t>
  </si>
  <si>
    <t>JOURNAL OF BASIC MICROBIOLOGY</t>
  </si>
  <si>
    <t>Antarctic fungi; cold-active catalase; cold-adapted properties; improved enzyme production; laboratory technology</t>
  </si>
  <si>
    <t>SUPEROXIDE-DISMUTASE; VIBRIO-SALMONICIDA; GLUCOSE-OXIDASE; PURIFICATION; ENZYMES; PEROXIDASE</t>
  </si>
  <si>
    <t>Cold-active catalase (CAT) elicits great interest because of its vast prospective at the medical, commercial, and biotechnological levels. The study paper reports the production of cold-active CAT by the strain Penicillium griseofulvum P29 isolated from Antarctic soil. Improved enzyme production was achieved by optimization of medium and culture conditions. Maximum CAT was demonstrated under low glucose content (2%), 10% inoculum size, temperature 20 degrees C, and dissolved oxygen concentration (DO) 40%. An effective laboratory technology based on changing the oxidative stress level through an increase of DO in the bioreactor was developed. The used strategy resulted in a 1.7- and 1.4-fold enhanced total enzyme activity and maximum enzyme productivity. The enzyme was purified and characterized. P. griseofulvum P29 CAT was most active at approximately 20 degrees C and pH 6.0. Its thermostability was in the range between 5 degrees C and 40 degrees C.</t>
  </si>
  <si>
    <t>[Krumova, Ekaterina; Abrashev, Radoslav; Dishliyska, Vladislava; Kostadinova, Nedelina; Miteva-Staleva, Jeny; Spasova, Boryana; Angelova, Maria] Bulgarian Acad Sci, Stephan Angeloff Inst Microbiol, Dept Mycol, Acad G Bonchev 26, Sofia 1113, Bulgaria; [Stoyancheva, Galina] Bulgarian Acad Sci, Stephan Angeloff Inst Microbiol, Dept Gen Microbiol, Sofia, Bulgaria</t>
  </si>
  <si>
    <t>Bulgarian Academy of Sciences; Stephan Angeloff Institute of Microbiology, Bulgarian Academy of Sciences; Bulgarian Academy of Sciences; Stephan Angeloff Institute of Microbiology, Bulgarian Academy of Sciences</t>
  </si>
  <si>
    <t>Angelova, M (corresponding author), Bulgarian Acad Sci, Stephan Angeloff Inst Microbiol, Dept Mycol, Acad G Bonchev 26, Sofia 1113, Bulgaria.</t>
  </si>
  <si>
    <t>mariange@microbio.bas.bg</t>
  </si>
  <si>
    <t>Kostadinova, Nedelina/AAW-4852-2021</t>
  </si>
  <si>
    <t>Bulgarian National Science Fund [DN-01/1-2016]</t>
  </si>
  <si>
    <t>Bulgarian National Science Fund(National Science Fund of Bulgaria)</t>
  </si>
  <si>
    <t>Bulgarian National Science Fund, Grant/Award Number: DN-01/1-2016</t>
  </si>
  <si>
    <t>0233-111X</t>
  </si>
  <si>
    <t>1521-4028</t>
  </si>
  <si>
    <t>J BASIC MICROB</t>
  </si>
  <si>
    <t>J. Basic Microbiol.</t>
  </si>
  <si>
    <t>10.1002/jobm.202100209</t>
  </si>
  <si>
    <t>UM3AG</t>
  </si>
  <si>
    <t>WOS:000678912600001</t>
  </si>
  <si>
    <t>Jones, KA; Ratcliffe, N; Votier, SC; Lisovski, S; Bonnet-Lebrun, AS; Staniland, IJ</t>
  </si>
  <si>
    <t>Jones, Kayleigh A.; Ratcliffe, Norman; Votier, Stephen C.; Lisovski, Simeon; Bonnet-Lebrun, Anne-Sophie; Staniland, Iain J.</t>
  </si>
  <si>
    <t>Sexual segregation in juvenile Antarctic fur seals</t>
  </si>
  <si>
    <t>OECOLOGIA</t>
  </si>
  <si>
    <t>Geolocation; Size dimorphism; Early life; Foraging; Pinnipeds</t>
  </si>
  <si>
    <t>ARCTOCEPHALUS-GAZELLA; SIZE DIMORPHISM; PATTERNS; GROWTH; MORTALITY; BEHAVIOR; BIRDS; REPRODUCTION; MECHANISMS; EVOLUTION</t>
  </si>
  <si>
    <t>Sexual segregation, the differential space, habitat or resource use by males and females, can have profound implications for conservation, as one sex may be more vulnerable to environmental and anthropogenic stressors. The drivers of sexual segregation, such as sex differences in body size, breeding constraints, and social behaviour, have been well studied in adults but are poorly understood in immature animals. To determine whether sexual segregation occurs in juvenile Antarctic fur seals, Arctocephalus gazella, and investigate the underlying drivers, we deployed Global Location Sensors on 26 males and 19 females of 1-3 years of age at Bird Island, South Georgia. Sexual segregation occurred in foraging distribution, primarily in latitude, with females foraging closer to South Georgia and the Polar Front, and males foraging further south near the Antarctic Peninsula. This segregation was particularly evident in Feb-Apr and May-Nov, and males spent more time hauled out than females in May-Nov. Although juveniles have no immediate reproductive commitments, reproductive selection pressures are still likely to operate and drive sex differences in body size, risk-taking, and social roles. These factors, coupled with prey distribution, likely contributed to sexual segregation in juvenile Antarctic fur seals. Consequently, male and female juveniles may compete with different fisheries and respond differently to environmental change, highlighting the importance of considering sex and age groups in species conservation efforts.</t>
  </si>
  <si>
    <t>[Jones, Kayleigh A.; Ratcliffe, Norman; Bonnet-Lebrun, Anne-Sophie; Staniland, Iain J.] British Antarctic Survey, Madingley Rd, Cambridge, England; [Jones, Kayleigh A.] Univ Exeter, Exeter, Devon, England; [Votier, Stephen C.] Heriot Watt Univ, Lyell Ctr, Edinburgh, Midlothian, Scotland; [Lisovski, Simeon] Helmholtz Ctr Polar &amp; Marine Res, Alfred Wegener Inst, Potsdam, Germany</t>
  </si>
  <si>
    <t>UK Research &amp; Innovation (UKRI); Natural Environment Research Council (NERC); NERC British Antarctic Survey; University of Exeter; Heriot Watt University; Helmholtz Association; Alfred Wegener Institute, Helmholtz Centre for Polar &amp; Marine Research</t>
  </si>
  <si>
    <t>Jones, KA (corresponding author), British Antarctic Survey, Madingley Rd, Cambridge, England.;Jones, KA (corresponding author), Univ Exeter, Exeter, Devon, England.</t>
  </si>
  <si>
    <t>kayleighannjones211@gmail.com</t>
  </si>
  <si>
    <t>Staniland, Iain/I-4725-2012; Bonnet-Lebrun, Anne-Sophie/GYU-2977-2022; Votier, Stephen/IUO-0154-2023</t>
  </si>
  <si>
    <t>Staniland, Iain/0000-0003-2736-9134; Bonnet-Lebrun, Anne-Sophie/0000-0002-7587-615X; Votier, Stephen/0000-0002-0976-0167; Lisovski, Simeon/0000-0002-6399-0035; Jones, Kayleigh/0000-0001-9509-5185</t>
  </si>
  <si>
    <t>Natural Environment Research Council Capability Fund; Natural Environment Research Council Great Western Four + Doctoral Training Partnership [NE/L002434/1]; NERC [bas0100035] Funding Source: UKRI</t>
  </si>
  <si>
    <t>Natural Environment Research Council Capability Fund; Natural Environment Research Council Great Western Four + Doctoral Training Partnership; NERC(UK Research &amp; Innovation (UKRI)Natural Environment Research Council (NERC))</t>
  </si>
  <si>
    <t>This study was supported by the Natural Environment Research Council Capability Fund and the Natural Environment Research Council Great Western Four + Doctoral Training Partnership (NE/L002434/1).</t>
  </si>
  <si>
    <t>0029-8549</t>
  </si>
  <si>
    <t>1432-1939</t>
  </si>
  <si>
    <t>Oecologia</t>
  </si>
  <si>
    <t>10.1007/s00442-021-04983-y</t>
  </si>
  <si>
    <t>WF2JW</t>
  </si>
  <si>
    <t>WOS:000678410900001</t>
  </si>
  <si>
    <t>Ghiz, ML; Scott, RC; Vogelmann, AM; Lenaerts, JTM; Lazzara, M; Lubin, D</t>
  </si>
  <si>
    <t>Ghiz, Madison L.; Scott, Ryan C.; Vogelmann, Andrew M.; Lenaerts, Jan T. M.; Lazzara, Matthew; Lubin, Dan</t>
  </si>
  <si>
    <t>Energetics of surface melt in West Antarctica</t>
  </si>
  <si>
    <t>ICE-SHELF; MASS-BALANCE; ENERGY BALANCE; ROSS ISLAND; CLIMATE; VARIABILITY; MELTWATER; SNOW; MICROPHYSICS; DRIVERS</t>
  </si>
  <si>
    <t>We use reanalysis data and satellite remote sensing of cloud properties to examine how meteorological conditions alter the surface energy balance to cause surface melt that is detectable in satellite passive microwave imagery over West Antarctica. This analysis can detect each of the three primary mechanisms for inducing surface melt at a specific location: thermal blanketing involving sensible heat flux and/or longwave heating by optically thick cloud cover, allwave radiative enhancement by optically thin cloud cover, and fohn winds. We examine case studies over Pine Island and Thwaites glaciers, which are of interest for ice shelf and ice sheet stability, and over Siple Dome, which is more readily accessible for field work. During January 2015 over Siple Dome we identified a melt event whose origin is an allwave radiative enhancement by optically thin clouds. During December 2011 over Pine Island and Thwaites glaciers, we identified a melt event caused mainly by thermal blanketing from optically thick clouds. Over Siple Dome, those same 2011 synoptic conditions yielded a thermal-blanketing-driven melt event that was initiated by an impulse of sensible heat flux and then prolonged by cloud longwave heating. The December 2011 synoptic conditions also generated fohn winds at a location on the Ross Ice Shelf adjacent to the Transantarctic Mountains, and we analyze this case with additional support from automatic weather station data. In contrast, a late-summer thermal blanketing period over Pine Island and Thwaites glaciers during February 2013 showed surface melt initiated by cloud longwave heating and then prolonged by enhanced sensible heat flux. One limitation thus far with this type of analysis involves uncertainties in the cloud optical properties. Nevertheless, with improvements this type of analysis can enable quantitative prediction of atmospheric stress on the vulnerable Antarctic ice shelves in a steadily warming climate.</t>
  </si>
  <si>
    <t>[Ghiz, Madison L.; Lubin, Dan] Univ Calif San Diego, Scripps Inst Oceanog, La Jolla, CA 92093 USA; [Scott, Ryan C.] Sci Syst &amp; Applicat Inc, Hampton, VA 23666 USA; [Vogelmann, Andrew M.] Brookhaven Natl Lab, Environm &amp; Climate Sci Dept, Upton, NY 11973 USA; [Lenaerts, Jan T. M.] Univ Colorado, Dept Atmospher &amp; Ocean Sci, Boulder, CO 80309 USA; [Lazzara, Matthew] Univ Wisconsin, Antarctic Meteorol Res Ctr, Space Sci &amp; Engn Ctr, Madison, WI 53706 USA; [Lazzara, Matthew] Madison Area Tech Coll, Madison, WI 53704 USA</t>
  </si>
  <si>
    <t>University of California System; University of California San Diego; Scripps Institution of Oceanography; Science Systems and Applications Inc; United States Department of Energy (DOE); Brookhaven National Laboratory; University of Colorado System; University of Colorado Boulder; University of Wisconsin System; University of Wisconsin Madison</t>
  </si>
  <si>
    <t>Lubin, D (corresponding author), Univ Calif San Diego, Scripps Inst Oceanog, La Jolla, CA 92093 USA.</t>
  </si>
  <si>
    <t>dlubin@ucsd.edu</t>
  </si>
  <si>
    <t>Keyes, Dennis/AAZ-9285-2021; Lenaerts, Jan/D-9423-2012; Vogelmann, Andrew/M-8779-2014</t>
  </si>
  <si>
    <t>Lenaerts, Jan/0000-0003-4309-4011; Vogelmann, Andrew/0000-0003-1918-5423; Scott, Ryan/0000-0002-9182-0834</t>
  </si>
  <si>
    <t>NSF [OPP-1744954, OPP-1924730]; US Department of Energy [DE-SC0017981]; DOE ASR [DE-SC0012704]; National Aeronautics and Space Administration [80NSSC18K1025]; U.S. Department of Energy (DOE) [DE-SC0017981] Funding Source: U.S. Department of Energy (DOE)</t>
  </si>
  <si>
    <t>NSF(National Science Foundation (NSF)); US Department of Energy(United States Department of Energy (DOE)); DOE ASR; National Aeronautics and Space Administration(National Aeronautics &amp; Space Administration (NASA)); U.S. Department of Energy (DOE)(United States Department of Energy (DOE))</t>
  </si>
  <si>
    <t>Madison L. Ghiz and Dan Lubin were supported by NSF grant OPP-1744954 and US Department of Energy grant DE-SC0017981. Andrew M. Vogelmann was supported by DOE ASR under contract DE-SC0012704. Jan T. M. Lenaerts was supported by the National Aeronautics and Space Administration under grant 80NSSC18K1025. Matthew Lazzara was supported by NSF grant OPP-1924730.</t>
  </si>
  <si>
    <t>10.5194/tc-15-3459-2021</t>
  </si>
  <si>
    <t>TP4SA</t>
  </si>
  <si>
    <t>WOS:000677584200001</t>
  </si>
  <si>
    <t>Hrbácek, F; Engel, Z; Knazková, M; Smolíková, J</t>
  </si>
  <si>
    <t>Hrbacek, Filip; Engel, Zbynek; Knazkova, Michaela; Smolikova, Jana</t>
  </si>
  <si>
    <t>Effect of summer snow cover on the active layer thermal regime and thickness on CALM-S JGM site, James Ross Island, eastern Antarctic Peninsula</t>
  </si>
  <si>
    <t>CATENA</t>
  </si>
  <si>
    <t>Antarctica; Soils; Periglacial environment; Ground penetrating radar; Ground temperature</t>
  </si>
  <si>
    <t>GROUND SURFACE-TEMPERATURE; LIVINGSTON ISLAND; BYERS PENINSULA; MARITIME ANTARCTICA; DECEPTION ISLAND; PERMAFROST; LAKE; VARIABILITY; DYNAMICS</t>
  </si>
  <si>
    <t>This study aims to assess the role of ephemeral snow cover on ground thermal regime and active layer thickness in two ground temperature measurement profiles on the Circumpolar Active Layer Monitoring Network - South (CALM-S) JGM site on James Ross Island, eastern Antarctic Peninsula during the high austral summer 2018. The snowstorm of 13-14 January created a snowpack of recorded depth of up to 38 cm. The snowpack remained on the study site for 12 days in total and covered 46% of its area six days after the snowfall. It directly affected ground thermal regime as indicates temperature record at snow-covered profile AWS-JGM which subsurface section was nearly 5 degrees C colder compared to the snow-free AWS-CALM profile. The thermal insulation effect of snow cover is also reflected in the mean monthly (January) and summer (DJF) ground temperatures on AWS-JGM that decreased by ca 1.1 and 0.7 degrees C, respectively. Summer thawing degree days at a depth of 5 cm decreased by ca 10% and active layer was ca 5-10 cm thinner when compared to previous snow-free summer seasons. Surveying by ground penetrating radar revealed a general active layer thinning of up to 20% in those parts of the CALM-S which were covered by snow of &gt;20 cm depth for at least six days.</t>
  </si>
  <si>
    <t>[Hrbacek, Filip; Knazkova, Michaela; Smolikova, Jana] Masaryk Univ, Fac Sci, Dept Geog, Brno, Czech Republic; [Engel, Zbynek; Smolikova, Jana] Charles Univ Prague, Fac Sci, Dept Phys Geog &amp; Geoecol, Prague, Czech Republic</t>
  </si>
  <si>
    <t>Masaryk University Brno; Charles University Prague</t>
  </si>
  <si>
    <t>Hrbácek, F (corresponding author), Masaryk Univ, Fac Sci, Dept Geog, Brno, Czech Republic.</t>
  </si>
  <si>
    <t>hrbacekfilip@gmail.com</t>
  </si>
  <si>
    <t>Engel, Zbyněk/S-2954-2016; Smolíková, Jana JS/H-9111-2017; Hrbacek, Filip/ABG-4319-2020</t>
  </si>
  <si>
    <t>Engel, Zbyněk/0000-0002-5209-7823; Hrbacek, Filip/0000-0001-5032-9216</t>
  </si>
  <si>
    <t>Ministry of Education, Youth and Sports of the Czech Republic [LM2015078, CZ.02.1.01/0.0/0.0/16_013/0001708]; Masaryk University [MUNI/A/1517/2020]; Czech Science Foundation [GC20-20240S]</t>
  </si>
  <si>
    <t>Ministry of Education, Youth and Sports of the Czech Republic(Ministry of Education, Youth &amp; Sports - Czech Republic); Masaryk University; Czech Science Foundation(Grant Agency of the Czech Republic)</t>
  </si>
  <si>
    <t>The research was supported by the Ministry of Education, Youth and Sports of the Czech Republic projects LM2015078 and CZ.02.1.01/0.0/0.0/16_013/0001708; by the Masaryk University project MUNI/A/1517/2020; and by the Czech Science Foundation project GC20-20240S. The authors acknowledge the crew of JGM station, particularly Jakub Ondruch for providing UAV imagery and Kamil Laska for the support on the meteorological measurements setting and maintenance.</t>
  </si>
  <si>
    <t>0341-8162</t>
  </si>
  <si>
    <t>1872-6887</t>
  </si>
  <si>
    <t>Catena</t>
  </si>
  <si>
    <t>10.1016/j.catena.2021.105608</t>
  </si>
  <si>
    <t>Geosciences, Multidisciplinary; Soil Science; Water Resources</t>
  </si>
  <si>
    <t>Geology; Agriculture; Water Resources</t>
  </si>
  <si>
    <t>WB0JX</t>
  </si>
  <si>
    <t>WOS:000703268900033</t>
  </si>
  <si>
    <t>Jadwiszczak, P; Reguero, M; Mörs, T</t>
  </si>
  <si>
    <t>Jadwiszczak, Piotr; Reguero, Marcelo; Mors, Thomas</t>
  </si>
  <si>
    <t>A new small-sized penguin from the late Eocene of Seymour Island with additional material of Mesetaornis polaris</t>
  </si>
  <si>
    <t>GFF</t>
  </si>
  <si>
    <t>Paleogene; Antarctic Peninsula; Submeseta Formation; early Sphenisciformes; Marambiornopsis; Mesetaornis</t>
  </si>
  <si>
    <t>Here, we report on two tarsometatarsi assignable to relatively small-sized Eocene Antarctic penguins, housed in the palaeozoological collections of Naturhistoriska riksmuseet, Stockholm. The Priabonian fossils were collected by museum staff during two joined Argentinean and Swedish expeditions from the Submeseta Formation on Seymour Island, Antarctic Peninsula. One specimen represents a new early sphenisciform, Marambiornopsis sobrali gen. et sp. nov., the sixth small-sized tarsometatarsus-based penguin species known from the Antarctic Eocene. Micro-CT scanning revealed the presence of quite large and essentially empty metatarsal medullary cavities. The second fossil can unequivocally be assigned to Mesetaornis polaris. The specimen represents only the second record of this species and supposedly a relatively young bird. Micro-CT scanning showed that in M. polaris the metatarsal medullary cavities are less developed than in M. sobrali - the cortical and trabecular bone tissues left rather little room for significant hollow spaces. Both specimens also differ in overall density of their trabecular networks. Genus name: LSIDurn:lsid:zoobank.org:act:604F02AA-DD0C-4789-B4D6-85EA68A39A68 Species name: LSIDurn:lsid:zoobank.org:act:477F0FC5-D07B-4A92-97FD-3C4805BAF503</t>
  </si>
  <si>
    <t>[Jadwiszczak, Piotr] Univ Bialystok, Fac Biol, Bialystok, Poland; [Reguero, Marcelo] Inst Antartico Argentino, Campus Miguelete, Buenos Aires, DF, Argentina; [Mors, Thomas] Swedish Museum Nat Hist, Dept Palaeobiol, POB 50007, SE-10405 Stockholm, Sweden</t>
  </si>
  <si>
    <t>University of Bialystok; Instituto Antartico Argentino; Swedish Museum of Natural History</t>
  </si>
  <si>
    <t>Mörs, T (corresponding author), Swedish Museum Nat Hist, Dept Palaeobiol, POB 50007, SE-10405 Stockholm, Sweden.</t>
  </si>
  <si>
    <t>Reguero, Marcelo A./JHS-4893-2023</t>
  </si>
  <si>
    <t>Mors, Thomas/0000-0003-2268-5824; Reguero, Marcelo A./0000-0003-0875-8484; Jadwiszczak, Piotr/0000-0002-5263-1125</t>
  </si>
  <si>
    <t>Agencia Nacional de Promocion Cientifica y Tecnologica [PICTO 0093/2010]; Carl Tryggers Stiftelse for Vetenskaplig Forskning [20:300]; Consejo Nacional de Investigaciones Cientificas y Tecnicas [PIP 0462]; Sixth Framework Programme [SYNTHESYS SE-TAF-4399]; Vetenskapsradet [2009-4447]</t>
  </si>
  <si>
    <t>Agencia Nacional de Promocion Cientifica y Tecnologica(ANPCyTSpanish Government); Carl Tryggers Stiftelse for Vetenskaplig Forskning; Consejo Nacional de Investigaciones Cientificas y Tecnicas(Consejo Nacional de Investigaciones Cientificas y Tecnicas (CONICET)); Sixth Framework Programme(European Union (EU)); Vetenskapsradet(Swedish Research Council)</t>
  </si>
  <si>
    <t>This work was supported by the Agencia Nacional de Promocion Cientifica y Tecnologica [PICTO 0093/2010]; Carl Tryggers Stiftelse for Vetenskaplig Forskning [20:300]; Consejo Nacional de Investigaciones Cientificas y Tecnicas [PIP 0462]; Sixth Framework Programme [SYNTHESYS SE-TAF-4399]; Vetenskapsradet [2009-4447].</t>
  </si>
  <si>
    <t>TAYLOR &amp; FRANCIS LTD</t>
  </si>
  <si>
    <t>ABINGDON</t>
  </si>
  <si>
    <t>2-4 PARK SQUARE, MILTON PARK, ABINGDON OR14 4RN, OXON, ENGLAND</t>
  </si>
  <si>
    <t>1103-5897</t>
  </si>
  <si>
    <t>2000-0863</t>
  </si>
  <si>
    <t>JUL 3</t>
  </si>
  <si>
    <t>2-3</t>
  </si>
  <si>
    <t>10.1080/11035897.2021.1900385</t>
  </si>
  <si>
    <t>Geology; Paleontology</t>
  </si>
  <si>
    <t>WJ3BU</t>
  </si>
  <si>
    <t>WOS:000678942700001</t>
  </si>
  <si>
    <t>Barral, QB; Zakardjian, B; Dumas, F; Garreau, P; Testor, P; Beuvier, J</t>
  </si>
  <si>
    <t>Barral, Quentin-Boris; Zakardjian, Bruno; Dumas, Franck; Garreau, Pierre; Testor, Pierre; Beuvier, Jonathan</t>
  </si>
  <si>
    <t>Characterization of fronts in the Western Mediterranean with a special focus on the North Balearic Front</t>
  </si>
  <si>
    <t>PROGRESS IN OCEANOGRAPHY</t>
  </si>
  <si>
    <t>Frontal detection; Seasonal variability; Annual variability; Deep water formation; Eddies; Western Mediterranean; North Balearic Front</t>
  </si>
  <si>
    <t>DENSE WATER FORMATION; OCEAN DEEP CONVECTION; ANTARCTIC POLAR FRONT; ALMERIA-ORAN FRONT; IN-SITU; SURFACE CIRCULATION; INTERANNUAL VARIABILITY; MESOSCALE VARIABILITY; CLIMATE-CHANGE; ANTICYCLONIC EDDY</t>
  </si>
  <si>
    <t>We focus on the characterization of thermohaline fronts in the Western Mediterranean, with a particular focus on the North Balearic Front (NBF), separating the Atlantic Waters that spread into the Algerian Basin from the saltier and colder waters of the Liguro-Provencal area. We use a simple gradient-based method of front detection applied to a 20-year (from June 1993 to June 2013) reanalysis of the Mediterranean. Statistics of daily frontal indices are used to identify areas of recurrent fronts, i.e., frontal zones. Comparisons with data from glider transects and remotely sensed sea surface temperature and altimetry data have been used to validate our approach from daily to seasonal and interannual time scales. Our method yielded two co-existing frontal zones in the area of the NBF. One with an almost permanent haline surface frontal zone extending southeastward from the Balearic Islands to Sardinia, representing the northern limit of the fresher Atlantic Water that spreads via instabilities of the Algerian Current and associated Algerian Eddies. Between years, its position shifts by about 1 degrees of latitude, possibly due to processes associated with both the deep water formation in the Provencal Basin and the spreading of southern Algerian Eddies. The second frontal zone is seasonal and thermally driven extending off the northeast of Menorca to the northwest of Corsica. The Pyrenees Front, a sharp thermal front off Cap de Creus which marks the boundary between the warm surface waters of the Balearic Sea and the cooler waters in the Gulf of Lion in late summer, appears to facilitate the formation of the aforementioned seasonal thermal front through the northeastward advection of its waters toward the West Corsican Current. The divergent eastward extensions of the two frontal zones, and their differences in nature, structure, and spatio-temporal variability, call for a revisit of the NBF appellation and a clarification of its dynamics.</t>
  </si>
  <si>
    <t>[Barral, Quentin-Boris; Zakardjian, Bruno] Univ Toulon &amp; Var, Aix Marseille Univ, Mediterranean Inst Oceanog, CNRS INSU,IRD,MIO UM 110, La Garde, France; [Dumas, Franck] SHOM, Serv Hydrol &amp; Oceanog Marine, 13 Rue Chatelier,CS592803, F-29228 Brest 2, France; [Garreau, Pierre] UNIV Brest, Lab Oceanog Phys &amp; Spatiale LOPS, IUEM, IFREMER,CNRS UMR 6523,IRD, F-29280 Plouzane, France; [Testor, Pierre] Sorbonne Univ, Inst Pierre Simon Laplace IPSL, Observ Ecce Terra,CNRS,IRD,MNHN,UMR 7159, Lab Oceanog &amp; Climatol LOCEAN,UPMC Univ Pierre &amp;, Paris, France; [Beuvier, Jonathan] Mercator Ocean Int, Parc Technol Canal,8-10 Rue Hermes, F-31520 Ramonville St Agne, France</t>
  </si>
  <si>
    <t>Institut de Recherche pour le Developpement (IRD); Universite de Toulon; Aix-Marseille Universite; Centre National de la Recherche Scientifique (CNRS); CNRS - National Institute for Earth Sciences &amp; Astronomy (INSU); Institut de Recherche pour le Developpement (IRD); Ifremer; Universite de Bretagne Occidentale; Institut Universitaire Europeen de la Mer (IUEM); Centre National de la Recherche Scientifique (CNRS); CNRS - National Institute for Earth Sciences &amp; Astronomy (INSU); Institut de Recherche pour le Developpement (IRD); Museum National d'Histoire Naturelle (MNHN); Sorbonne Universite</t>
  </si>
  <si>
    <t>Barral, QB (corresponding author), Univ Toulon &amp; Var, Aix Marseille Univ, Mediterranean Inst Oceanog, CNRS INSU,IRD,MIO UM 110, La Garde, France.</t>
  </si>
  <si>
    <t>barral.quentin-boris@mio.osupytheas.fr</t>
  </si>
  <si>
    <t>Barral, Quentin-Boris/IZQ-6005-2023</t>
  </si>
  <si>
    <t>Barral, Quentin-Boris/0000-0001-9045-1478; GARREAU, Pierre/0000-0001-7544-750X</t>
  </si>
  <si>
    <t>French Ministere de l'Enseignement Superieur, de la Recherche et de l'Innovation (MESRI); French CNRS/INSU program LEFE-GMMC</t>
  </si>
  <si>
    <t>This work was part of the PhD thesis of Q.-B. Barral funded by the French Ministere de l'Enseignement Superieur, de la Recherche et de l'Innovation (MESRI) . It is a contribution to the MISTRALS (Mediter-ranean INtegrated STudies at Regional And Local Scales) program through the CLOSCHEMED (CLOsure SCHEme of the MEDiterranean gyre) project funded by the French CNRS/INSU program LEFE-GMMC. Glider data were collected in the framework of the MISTRALS/Hymex and MOOSE (Mediterranean Ocean Observing System for the Environ-ment, https:// www.moose-network.fr/fr/) programs and made freely available by the EGO (Everyone's Gliding Observatories, https:// www.ego-network.org/dokuwiki/doku.php) . We would like to acknowledge the staff of the French National Pool of Gliders (DT-INSU/CNRS - CETSM/Ifremer) for the sustained glider deployments carried out in the framework of the above programs. This study has been conducted using E.U. Copernicus Marine Service Information. Remotely sensed sea level anomaly and sea surface temperatures came from CMEMS (Copernicus Marine Environment Monitoring Service, https://marine.copernicus. eu/) .</t>
  </si>
  <si>
    <t>0079-6611</t>
  </si>
  <si>
    <t>1873-4472</t>
  </si>
  <si>
    <t>PROG OCEANOGR</t>
  </si>
  <si>
    <t>Prog. Oceanogr.</t>
  </si>
  <si>
    <t>SEP-OCT</t>
  </si>
  <si>
    <t>10.1016/j.pocean.2021.102636</t>
  </si>
  <si>
    <t>WA3HV</t>
  </si>
  <si>
    <t>WOS:000702781100001</t>
  </si>
  <si>
    <t>Righter, K; Schutt, J; Lunning, N; Harvey, R; Karner, J</t>
  </si>
  <si>
    <t>Righter, Kevin; Schutt, John; Lunning, Nicole; Harvey, Ralph; Karner, James</t>
  </si>
  <si>
    <t>Identification and pairing reassessment of unequilibrated ordinary chondrites from four Antarctic dense collection areas</t>
  </si>
  <si>
    <t>THERMAL HISTORY; FE-NI; CLASSIFICATION; CHONDRULES</t>
  </si>
  <si>
    <t>New analyses of Cr2O3 contents of olivines from type II chondrules in unequilibrated chondrites (UOC) from four dense collections are reported here. This survey of petrologic type 3 UOCs was undertaken to identify primitive chondrites that may have been overlooked, and to address possible pairing errors. We have identified 23 primitive UOCs (&lt;= 3.10) (only five identified previously, for a total of 28 overall), and also recommend other revisions to prior classifications and pairings.</t>
  </si>
  <si>
    <t>[Righter, Kevin; Lunning, Nicole] NASA JSC, ARES, Mailcode XI2, Houston, TX 77058 USA; [Schutt, John; Harvey, Ralph] Case Western Reserve Univ, Dept Earth Environm &amp; Planetary Sci, 10900 Euclid Ave, Cleveland, OH 44106 USA; [Karner, James] Univ Utah, Dept Geol &amp; Geophys, Salt Lake City, UT 84113 USA</t>
  </si>
  <si>
    <t>National Aeronautics &amp; Space Administration (NASA); NASA Johnson Space Center; University System of Ohio; Case Western Reserve University; Utah System of Higher Education; University of Utah</t>
  </si>
  <si>
    <t>Righter, K (corresponding author), NASA JSC, ARES, Mailcode XI2, Houston, TX 77058 USA.</t>
  </si>
  <si>
    <t>kevin.righter-1@nasa.gov</t>
  </si>
  <si>
    <t>Lunning, Nicole/0000-0002-9845-5104; Righter, Kevin/0000-0002-6075-7908</t>
  </si>
  <si>
    <t>Polar Geospatial Center under NSF-OPP [1043681, 1559691]</t>
  </si>
  <si>
    <t>Polar Geospatial Center under NSF-OPP</t>
  </si>
  <si>
    <t>We thank Anne Peslier for assistance with the Cameca electron microprobe at NASA-JSC, and Jeff Grossman for sharing unpublished microprobe data for MET samples. All DigitalGlobe Worldview and Ikonos satellite imagery was acquired through Polar Geospatial Center. Support for this work provided by the Polar Geospatial Center under NSF-OPP awards 1043681 and 1559691.</t>
  </si>
  <si>
    <t>10.1111/maps.13707</t>
  </si>
  <si>
    <t>WOS:000677220400001</t>
  </si>
  <si>
    <t>López-Quirós, A; Escutia, C; Etourneau, J; Rodríguez-Tovar, FJ; Roignant, S; Lobo, FJ; Thompson, N; Bijl, PK; Bohoyo, F; Salzmann, U; Evangelinos, D; Salabarnada, A; Hoem, FS; Sicre, MA</t>
  </si>
  <si>
    <t>Lopez-Quiros, Adrian; Escutia, Carlota; Etourneau, Johan; Rodriguez-Tovar, Francisco J.; Roignant, Sabine; Lobo, Francisco J.; Thompson, Nick; Bijl, Peter K.; Bohoyo, Fernando; Salzmann, Ulrich; Evangelinos, Dimitris; Salabarnada, Ariadna; Hoem, Frida S.; Sicre, Marie-Alexandrine</t>
  </si>
  <si>
    <t>Eocene-Oligocene paleoenvironmental changes in the South Orkney Microcontinent (Antarctica) linked to the opening of Powell Basin</t>
  </si>
  <si>
    <t>GLOBAL AND PLANETARY CHANGE</t>
  </si>
  <si>
    <t>Late Eocene-early Oligocene; Drake Passage; South Orkney Microcontinent; ODP 696; Paleoenvironment</t>
  </si>
  <si>
    <t>N-ALKANE DISTRIBUTIONS; CARBON-RICH SEDIMENTS; ORGANIC-MATTER; DRAKE PASSAGE; TRACE-FOSSIL; CENOZOIC EVOLUTION; TECTONIC EVOLUTION; IMAGE TREATMENT; WESTERN KUTCH; CHAIN-LENGTH</t>
  </si>
  <si>
    <t>The scarcity of paleo-records from the Antarctic Peninsular region of the Southern Ocean hinders our understanding of the timing of the opening of Drake Passage, specifically in the region of the South Orkney Microcontinent (SOM) and Powell Basin, between the Scotia and Antarctic plates. At Ocean Drilling Program (ODP) Hole 696B, SOM sediments recovered from the upper Eocene-lower Oligocene (-37.6-32.2 Ma) enable us to gain insight into paleoceanographic and paleoclimatic changes during gateway opening across the major Cenozoic climate shift -the Eocene-Oligocene transition- when the Antarctic ice sheet first reached sea-level. We propose the following sequence of events, based on a multi-proxy analysis of sediment facies, mineralogy, and organic matter geochemistry (TOC, TN, C/N ratio, delta 13C, delta 15N, and n-alkanes). During the late Eocene (-37.6-35.5 Ma) the SOM was attached to the Antarctic Peninsula, and terrigenous sediments of likely local origin were deposited in shallow waters under conditions of reduced-oxygen/lowsalinity, and temperate climate. In the latest Eocene (-35.5-34.1 Ma), terrigenous input was reduced due to the separation of the SOM from the Antarctic Peninsula by proto-Powell Basin opening. Decreased sediment supply during continuous deepening of the SOM led to deposition of a condensed section with significant glauconitization, recurrent winnowing by bottom currents, and suboxic conditions near the sediment-water interface. At the time of the Eocene-Oligocene transition (EOT; -34.1-33.6 Ma) two upward-coarsening sediment sections were deposited within an overall upward-fining section, which we interpret as records of regressive phases due to ice sheet expansion. During the early Oligocene (-33.6-33.2 Ma) the SOM deepened further because of continued opening of Powell Basin, and organic-rich sediments were deposited as a result of enhanced biological production, partially driven by enhanced upwelling. Major cooling caused a change from forests indicating relatively humid temperate conditions in the late Eocene, to forests indicative of dry and cool conditions in the Oligocene, as shown by biomarker records, which also indicate weakening contributions of terrestrial organic matter to the marine sedimentary record. We thus conclude that a shallow gateway, the proto-Powell Basin, formed at -35.5 Ma, as seen in the decreased delivery of proximal, coarse terrigenous sediments to the SOM margin; this was followed by a longterm deepening trend, interrupted by EOT regression due to continent-wide ice sheet build-up. Opening of the proto-Powell Basin could have provided a shallow-water pathway for water flowing from the Drake PassageScotia Sea towards the northern Weddell Sea, enhancing upwelling at the southern SOM shelf margin. Hence, increased marine productivity across the EOT might have resulted from the combined effects of the opening of Powell Basin and climate cooling.</t>
  </si>
  <si>
    <t>[Lopez-Quiros, Adrian] Aarhus Univ, Dept Geosci, Hoegh Guldbergs Gade 2, DK-8000 Aarhus C, Denmark; [Lopez-Quiros, Adrian; Escutia, Carlota; Etourneau, Johan; Lobo, Francisco J.; Evangelinos, Dimitris; Salabarnada, Ariadna] Univ Granada, Inst Andaluz Ciencias Tierra, CSIC, Avda Palmeras 4, Granada 18100, Spain; [Etourneau, Johan] PSL Res Univ, EPHE, Paris, France; [Etourneau, Johan] Univ Bordeaux, UMR EPOC CNRS 5805, Bordeaux, France; [Rodriguez-Tovar, Francisco J.] Univ Granada, Dept Stratig &amp; Paleontol, Granada 18071, Spain; [Roignant, Sabine; Sicre, Marie-Alexandrine] Sorbonne Univ, UMR LOCEAN CNRS IRD MNHN 7159, Paris, France; [Thompson, Nick; Salzmann, Ulrich] Northumbria Univ, Dept Geog &amp; Environm Sci, Newcastle Upon Tyne, Tyne &amp; Wear, England; [Bijl, Peter K.; Hoem, Frida S.] Univ Utrecht, Dept Earth Sci, Budapestlann 4, NL-3584 CB Utrecht, Netherlands; [Bohoyo, Fernando] Inst Geol &amp; Minero Espana, Rios Rosas 23, Madrid 28003, Spain</t>
  </si>
  <si>
    <t>Aarhus University; University of Granada; Consejo Superior de Investigaciones Cientificas (CSIC); CSIC - Instituto Andaluz de Ciencias de la Tierra (IACT); Universite PSL; Ecole Pratique des Hautes Etudes (EPHE); Universite de Bordeaux; University of Granada; Museum National d'Histoire Naturelle (MNHN); Sorbonne Universite; Northumbria University; Utrecht University</t>
  </si>
  <si>
    <t>López-Quirós, A (corresponding author), Aarhus Univ, Dept Geosci, Hoegh Guldbergs Gade 2, DK-8000 Aarhus C, Denmark.</t>
  </si>
  <si>
    <t>alquiros@geo.au.dk</t>
  </si>
  <si>
    <t>Bohoyo, Fernando/C-1062-2011; Roset, Ariadna Salabarnada/L-8798-2014; Escutia, Carlota/B-8614-2015; López Quirós, Adrián/K-6513-2017; Lobo, Francisco José/J-9836-2012; Evangelinos, Dimitris/ABH-5910-2020; Bohoyo, Fernando/AAZ-5990-2021; Evagelinos, Dimitris/ISU-3607-2023; Salzmann, Ulrich/H-9929-2017</t>
  </si>
  <si>
    <t>Bohoyo, Fernando/0000-0002-1044-8816; Roset, Ariadna Salabarnada/0000-0003-2239-2538; López Quirós, Adrián/0000-0002-7522-2834; Lobo, Francisco José/0000-0002-3294-7202; Evangelinos, Dimitris/0000-0002-4978-3056; Bohoyo, Fernando/0000-0002-1044-8816; Salabarnada, Ariadna/0000-0003-0858-8083; Salzmann, Ulrich/0000-0001-5598-5327; Sicre, Marie-Alexandrine/0000-0002-5015-1400</t>
  </si>
  <si>
    <t>Spanish Ministry of Science and Innovation [CTM2014-60451-C2-1/2-P, CTM2017-89711-C2-1/2-P]; Natural Environment Research Council (NERC) [NE/S007512/1]; European Research Council under the European Community [802835]; Secretaria de Estado de I + D + I, Spain [PID2019-104625RB-100]; FEDER Andalucia [B-RNM-072-UGR18]; Junta de Andalucia [P18-RT-4074]; NERC [NE/S007512/1] Funding Source: UKRI</t>
  </si>
  <si>
    <t>Spanish Ministry of Science and Innovation(Spanish Government); Natural Environment Research Council (NERC)(UK Research &amp; Innovation (UKRI)Natural Environment Research Council (NERC)); European Research Council under the European Community(European Research Council (ERC)); Secretaria de Estado de I + D + I, Spain(Spanish Government); FEDER Andalucia; Junta de Andalucia(Junta de Andalucia); NERC(UK Research &amp; Innovation (UKRI)Natural Environment Research Council (NERC))</t>
  </si>
  <si>
    <t>This research relied on samples provided by the International Ocean Discovery Program (IODP) . We thank the staff at the Gulf Coast core repository (GCR) for assistance in ODP Leg 113 core handling and shipping. We also acknowledge the help of Dr. Rocio Marquez Crespo (Scientific Instrumentation Center, University of Granada) for her assistance using the ESEM. Thanks are given to Dr. Claus-Dieter Hill-enbrand (British Antarctic Survey) for critical reading of an earlier version of this paper, and to Carlos ExpositoCeballos (University of Granada) for helpful discussions about benthic foraminifera preserva-tion at Hole 696B. We also appreciate the constructive comments pro-vided by Dr. Ellen Thomas and Dr. Sandra Passchier that greatly improved the manuscript. We thank Jean Sanders for correction of the English text. Funding for this research was provided by the Spanish Ministry of Science and Innovation (grants CTM2014-60451-C2-1/2-P and CTM2017-89711-C2-1/2-P) cofounded by the European Union through FEDER funds. RT acknowledges funding provided by Project PID2019-104625RB-100 (Secretaria de Estado de I + D + I, Spain) , B-RNM-072-UGR18 (FEDER Andalucia) , and P18-RT-4074 (Junta de Andalucia) . NT received funding from the Natural Environment Research Council (NERC) -funded Doctoral Training Partnership ONE Planet [NE/S007512/1] . The European Research Council under the European Community's Seventh Framework Program provided funding for this work through ERC Starting Grant #802835 (OceaNice) to PKB. This paper is a contribution to the SCAR PAIS Programme.</t>
  </si>
  <si>
    <t>0921-8181</t>
  </si>
  <si>
    <t>1872-6364</t>
  </si>
  <si>
    <t>GLOBAL PLANET CHANGE</t>
  </si>
  <si>
    <t>Glob. Planet. Change</t>
  </si>
  <si>
    <t>10.1016/j.gloplacha.2021.103581</t>
  </si>
  <si>
    <t>WQ3JF</t>
  </si>
  <si>
    <t>WOS:000713715000001</t>
  </si>
  <si>
    <t>Wan, R; Guan, QL; Huang, LY; Li, ZG; Zhou, C; Wang, L; Jia, MX</t>
  </si>
  <si>
    <t>Wan, Rong; Guan, Qinglong; Huang, Liuyi; Li, Zengguang; Zhou, Cheng; Wang, Lei; Jia, Mingxiu</t>
  </si>
  <si>
    <t>Effects of otter board and cable length on hydrodynamic performance of Antarctic krill trawl system</t>
  </si>
  <si>
    <t>OCEAN ENGINEERING</t>
  </si>
  <si>
    <t>Antarctic krill trawl; Otter board; Numerical simulation; Wind tunnel model test; Full-scale measurement at sea</t>
  </si>
  <si>
    <t>NUMERICAL-SIMULATION</t>
  </si>
  <si>
    <t>The net position and the spreading performance are crucial for hydrodynamic performances of Antarctic krill trawl, which determine its fishing efficiency. In this paper, the hydrodynamic performance of an Antarctic krill trawl system (including trawler, cable, otter board and trawl) was studied by means of numerical simulation combined with full-scale measurement at sea. The numerical model was established based on finite element method and the principle of minimum potential energy was employed to determine the equilibrium configuration of the trawl system in uniform current. The Newton-Raphson method was applied to solve the equilibrium equation. A multi-wing vertical cambered otter board was designed and a series of wind tunnel model tests were carried on in order to explore the hydrodynamic performance (drag coefficient, lift coefficient and lift-drag ratio) of the otter board. By comparing the simulated results and the simulated results after correction with the experimental results at sea, the modified Tauti's law and the accuracy of the numerical method were verified. The results showed that the fishing vessel, the trawl and the otter board matched well on hydrodynamics. The effects of the warp length, the leg length, the towing speed and the angle of attack of the otter board on the net position, the spread of otter board and the spreading performance of net opening were analyzed. Scientific suggestions on the setting of each component of the trawl system were given based on the numerical simulation study. This paper could be regarded as a scientific reference for Antarctic krill trawl fishing operation.</t>
  </si>
  <si>
    <t>[Wan, Rong; Guan, Qinglong; Huang, Liuyi] Ocean Univ China, Fishery Coll, Qingdao 266003, Peoples R China; [Wan, Rong; Li, Zengguang; Zhou, Cheng] Shanghai Ocean Univ, Coll Marine Sci, Natl Engn Res Ctr Ocean Fisheries, Shanghai 201306, Peoples R China; [Wang, Lei] East China Sea Fisheries Res Inst, Shanghai 200090, Peoples R China; [Jia, Mingxiu] China Natl Fisheries Corp, Beijing 100160, Peoples R China</t>
  </si>
  <si>
    <t>Ocean University of China; Shanghai Ocean University; National Engineering Research Center for Oceanic Fisheries; Chinese Academy of Fishery Sciences; East China Sea Fisheries Research Institute, CAFS</t>
  </si>
  <si>
    <t>Guan, QL (corresponding author), Ocean Univ China, Fishery Coll, Qingdao 266003, Peoples R China.</t>
  </si>
  <si>
    <t>gql@stu.ouc.edu.cn</t>
  </si>
  <si>
    <t>Huang, Liuyi/GXG-9845-2022; zhou, cheng/AEL-4243-2022</t>
  </si>
  <si>
    <t>Marine S&amp;T Fund of Shandong Province for Pilot National Laboratory for Marine Science and Technology (Qingdao) [2018SDKJ0304-1]; Development of Antarctic Krill Trawl Project of China National Fisheries Corp., China [20150256]; National Natural Science Foundation of China [41806110]</t>
  </si>
  <si>
    <t>Marine S&amp;T Fund of Shandong Province for Pilot National Laboratory for Marine Science and Technology (Qingdao); Development of Antarctic Krill Trawl Project of China National Fisheries Corp., China; National Natural Science Foundation of China(National Natural Science Foundation of China (NSFC))</t>
  </si>
  <si>
    <t>The study was financially supported by the Marine S&amp;T Fund of Shandong Province for Pilot National Laboratory for Marine Science and Technology (Qingdao) (2018SDKJ0304-1), the Development of Antarctic Krill Trawl Project (20150256) of China National Fisheries Corp., China, and the National Natural Science Foundation of China (41806110).</t>
  </si>
  <si>
    <t>0029-8018</t>
  </si>
  <si>
    <t>1873-5258</t>
  </si>
  <si>
    <t>OCEAN ENG</t>
  </si>
  <si>
    <t>Ocean Eng.</t>
  </si>
  <si>
    <t>10.1016/j.oceaneng.2021.109408</t>
  </si>
  <si>
    <t>Engineering, Marine; Engineering, Civil; Engineering, Ocean; Oceanography</t>
  </si>
  <si>
    <t>UR4FF</t>
  </si>
  <si>
    <t>WOS:000696705900005</t>
  </si>
  <si>
    <t>Grasse, P; Haynert, K; Doering, K; Geilert, S; Jones, JL; Brzezinski, MA; Frank, M</t>
  </si>
  <si>
    <t>Grasse, Patricia; Haynert, Kristin; Doering, Kristin; Geilert, Sonja; Jones, Janice L.; Brzezinski, Mark A.; Frank, Martin</t>
  </si>
  <si>
    <t>Controls on the Silicon Isotope Composition of Diatoms in the Peruvian Upwelling</t>
  </si>
  <si>
    <t>biogenic silica; plankton - taxonomic group/assemblage; silicon cycle; upwelling region; oxygen minimum zone; core-top calibration; paleo proxies</t>
  </si>
  <si>
    <t>EASTERN TROPICAL PACIFIC; LAST GLACIAL MAXIMUM; OXYGEN MINIMUM ZONE; BIOGENIC SILICA; SOUTHERN-OCEAN; NUTRIENT UTILIZATION; COASTAL WATERS; ANTARCTIC ZONE; MARINE DIATOM; FRACTIONATION</t>
  </si>
  <si>
    <t>The upwelling area off Peru is characterized by exceptionally high rates of primary productivity, mainly dominated by diatoms, which require dissolved silicic acid (dSi) to construct their frustules. The silicon isotope compositions of dissolved silicic acid (delta Si-30(dSi)) and biogenic silica (delta Si-30(bSi)) in the ocean carry information about dSi utilization, dissolution, and water mass mixing. Diatoms are preserved in the underlying sediments and can serve as archives for past nutrient conditions. However, the factors influencing the Si isotope fractionation between diatoms and seawater are not fully understood. More delta Si-30(bSi) data in today's ocean are required to validate and improve the understanding of paleo records. Here, we present the first delta Si-30(bSi) data (together with delta Si-30(dSi)) from the water column in the Peruvian Upwelling region. Samples were taken under strong upwelling conditions and the bSi collected from seawater consisted of more than 98% diatoms. The delta Si-30(dSi) signatures in the surface waters were higher (+1.7 parts per thousand to +3.0 parts per thousand) than delta Si-30(bSi) (+1.0 parts per thousand to +2 parts per thousand) with offsets between diatoms and seawater (Delta Si-30) ranging from -0.4 parts per thousand to -1.0 parts per thousand. In contrast, delta Si-30(dSi) and delta Si-30(bSi) signatures were similar in the subsurface waters of the oxygen minimum zone (OMZ) as a consequence of a decrease in delta Si-30(dSi). A strong relationship between delta Si-30(bSi) and [dSi] in surface water samples supports that dSi utilization of the available pool (70 and 98%) is the main driver controlling delta Si-30(bSi). A comparison of delta Si-30(bSi) samples from the water column and from underlying core-top sediments (delta Si-30(bSi_sed.)) in the central upwelling region off Peru (10 degrees S and 15 degrees S) showed good agreement (delta Si-30(bSi_sed.) = +0.9 parts per thousand to +1.7 parts per thousand), although we observed small differences in delta Si-30(bSi) depending on the diatom size fraction and diatom assemblage. A detailed analysis of the diatom assemblages highlights apparent variability in fractionation among taxa that has to be taken into account when using delta Si-30(bSi) data as a paleo proxy for the reconstruction of dSi utilization in the region.</t>
  </si>
  <si>
    <t>[Grasse, Patricia] German Ctr Integrat Biodivers Res iDiv, Leipzig, Germany; [Grasse, Patricia; Doering, Kristin; Geilert, Sonja; Frank, Martin] GEOMAR Helmholtz Ctr Ocean Res, Kiel, Germany; [Haynert, Kristin] Senckenberg Meer, Marine Res Dept, Wilhemshaven, Germany; [Jones, Janice L.; Brzezinski, Mark A.] Univ Calif Santa Barbara, Marine Sci Inst, Santa Barbara, CA 93106 USA; [Jones, Janice L.; Brzezinski, Mark A.] Univ Calif Santa Barbara, Dept Ecol Evolut &amp; Marine Biol, Santa Barbara, CA 93106 USA</t>
  </si>
  <si>
    <t>Helmholtz Association; GEOMAR Helmholtz Center for Ocean Research Kiel; Senckenberg Gesellschaft fur Naturforschung (SGN); University of California System; University of California Santa Barbara; University of California System; University of California Santa Barbara</t>
  </si>
  <si>
    <t>Grasse, P (corresponding author), German Ctr Integrat Biodivers Res iDiv, Leipzig, Germany.;Grasse, P (corresponding author), GEOMAR Helmholtz Ctr Ocean Res, Kiel, Germany.</t>
  </si>
  <si>
    <t>patricia.grasse@idiv.de</t>
  </si>
  <si>
    <t>Doering, Kristin/ABD-4916-2020; Grasse, Patricia/AAJ-6483-2020</t>
  </si>
  <si>
    <t>Doering, Kristin/0000-0002-7900-2169; Grasse, Patricia/0000-0002-1745-4418; Geilert, Sonja/0000-0002-8971-5867</t>
  </si>
  <si>
    <t>Deutsche Forschungsgemeinschaft (DFG) [Sonderforschungsbereich 754]; [OCE1233028]</t>
  </si>
  <si>
    <t>Deutsche Forschungsgemeinschaft (DFG)(German Research Foundation (DFG));</t>
  </si>
  <si>
    <t>The project was funded by the Sonderforschungsbereich 754 Climate -Biogeochemistry Interactions in the Tropical Ocean(www.sfb754.de), which was supported by the Deutsche Forschungsgemeinschaft (DFG). MB and JJ were supported by the US National Science Foundation (OCE1233028).</t>
  </si>
  <si>
    <t>JUL 23</t>
  </si>
  <si>
    <t>10.3389/fmars.2021.697400</t>
  </si>
  <si>
    <t>TZ2LI</t>
  </si>
  <si>
    <t>Green Accepted, gold</t>
  </si>
  <si>
    <t>WOS:000684306800001</t>
  </si>
  <si>
    <t>Koppel, DJ; Whitelaw, N; Adams, MS; King, CK; Jolley, DF</t>
  </si>
  <si>
    <t>Koppel, Darren J.; Whitelaw, Nicholas; Adams, Merrin S.; King, Catherine K.; Jolley, Dianne F.</t>
  </si>
  <si>
    <t>The microalga Phaeocystis antarctica is tolerant to salinity and metal mixture toxicity interactions</t>
  </si>
  <si>
    <t>ENVIRONMENTAL SCIENCE-PROCESSES &amp; IMPACTS</t>
  </si>
  <si>
    <t>ACUTE COPPER TOXICITY; KING GEORGE ISLAND; ENVIRONMENTALLY RELEVANT; GLOBAL OCEAN; LIFE-CYCLE; GREEN-ALGA; MARINE; ESTUARINE; MODEL; BIOAVAILABILITY</t>
  </si>
  <si>
    <t>Salinity in the Antarctic nearshore marine environment is seasonally dynamic and climate change is driving greater variability through altered sea ice seasons, ocean evaporation rates, and increased terrestrial ice melt. The greatest salinity changes are likely to occur in the nearshore environment where elevated metal exposures from historical waste or wastewater discharge occur. How salinity changes affect metal toxicity has not yet been investigated. This study investigated the toxicity of cadmium, copper, nickel, lead, and zinc, and their equitoxic mixtures across a salinity gradient to the Antarctic marine microalga Phaeocystis antarctica. In the metal-free control exposures, algal population growth rates were significantly lower at salinities 35 PSU compared to the control growth rate at 35 PSU of 0.60 +/- 0.05 doublings per day and there was no growth below 10 or above 68 PSU. Salinity-induced changes to metal speciation and activity were investigated using the WHAM VII model. Percentages of free ion activity and metal-organic complexes increased at decreasing salinities while the activity of inorganic metal complexes increased with increasing salinities. Despite metal speciation and activity changes, toxicity was generally unchanged across the salinity gradient except that there was less copper toxicity and more lead toxicity than model predictions at salinities of 15 and 25 PSU and antagonistic interactions in metal-mixture treatments. In mixtures with and without copper, it was shown that copper was responsible for similar to 50% of the antagonism from observed toxicity at salinities below 45 PSU. Across all treatments, using different metal fractions in toxicity models did not improve toxicity predictions compared to dissolved metal concentrations. These results provide evidence that P. antarctica is unlikely to be at a greater risk from metal contaminants as a result of salinity changes.</t>
  </si>
  <si>
    <t>[Koppel, Darren J.] Curtin Univ, Fac Sci &amp; Engn, Perth, WA, Australia; [Koppel, Darren J.; Whitelaw, Nicholas] Univ Wollongong, Fac Sci Med &amp; Hlth, Wollongong, NSW, Australia; [Koppel, Darren J.; Adams, Merrin S.; Jolley, Dianne F.] CSIRO Land &amp; Water, Lucas Heights, NSW, Australia; [King, Catherine K.] Australian Antarctic Div, Kingston, Tas, Australia</t>
  </si>
  <si>
    <t>Curtin University; University of Wollongong; Commonwealth Scientific &amp; Industrial Research Organisation (CSIRO); Australian Antarctic Division</t>
  </si>
  <si>
    <t>Koppel, DJ (corresponding author), Curtin Univ, Fac Sci &amp; Engn, Perth, WA, Australia.;Koppel, DJ (corresponding author), Univ Wollongong, Fac Sci Med &amp; Hlth, Wollongong, NSW, Australia.;Koppel, DJ (corresponding author), CSIRO Land &amp; Water, Lucas Heights, NSW, Australia.</t>
  </si>
  <si>
    <t>darren.koppel@curtin.edu.au</t>
  </si>
  <si>
    <t>Koppel, Darren J/AAY-6884-2020; Adams, Merrin S/F-3513-2011; King, Catherine/G-7059-2017; Jolley, Dianne/D-1597-2009</t>
  </si>
  <si>
    <t>Koppel, Darren J/0000-0001-7534-237X; King, Catherine/0000-0003-3356-0381; Jolley, Dianne/0000-0003-1028-1603</t>
  </si>
  <si>
    <t>Australian government through Australian Antarctic Science Grant [AAS 4326]; Australian Government Research Training Program Scholarship; CSIRO Land and Water</t>
  </si>
  <si>
    <t>Australian government through Australian Antarctic Science Grant; Australian Government Research Training Program Scholarship(Australian GovernmentDepartment of Industry, Innovation and Science); CSIRO Land and Water(Commonwealth Scientific &amp; Industrial Research Organisation (CSIRO))</t>
  </si>
  <si>
    <t>Funding and support were provided by the Australian government through Australian Antarctic Science Grant (AAS 4326), an Australian Government Research Training Program Scholarship for Dr D. J. Koppel, and support from CSIRO Land and Water. We thank Drs L. Golding and J. Stauber (CSIRO) and the anonymous reviewers for their comments that improved the manuscript.</t>
  </si>
  <si>
    <t>ROYAL SOC CHEMISTRY</t>
  </si>
  <si>
    <t>THOMAS GRAHAM HOUSE, SCIENCE PARK, MILTON RD, CAMBRIDGE CB4 0WF, CAMBS, ENGLAND</t>
  </si>
  <si>
    <t>2050-7887</t>
  </si>
  <si>
    <t>2050-7895</t>
  </si>
  <si>
    <t>ENVIRON SCI-PROC IMP</t>
  </si>
  <si>
    <t>Environ. Sci.-Process Impacts</t>
  </si>
  <si>
    <t>SEP 1</t>
  </si>
  <si>
    <t>10.1039/d1em00233c</t>
  </si>
  <si>
    <t>Chemistry, Analytical; Environmental Sciences</t>
  </si>
  <si>
    <t>Chemistry; Environmental Sciences &amp; Ecology</t>
  </si>
  <si>
    <t>UT8SI</t>
  </si>
  <si>
    <t>WOS:000681400400001</t>
  </si>
  <si>
    <t>Hellmann, JL; Hopp, T; Burkhardt, C; Becker, H; Fischer-Gödde, M; Kleine, T</t>
  </si>
  <si>
    <t>Hellmann, Jan L.; Hopp, Timo; Burkhardt, Christoph; Becker, Harry; Fischer-Goedde, Mario; Kleine, Thorsten</t>
  </si>
  <si>
    <t>Tellurium isotope cosmochemistry: Implications for volatile fractionation in chondrite parent bodies and origin of the late veneer</t>
  </si>
  <si>
    <t>Tellurium Te isotopes; Mass-dependent isotope fractionation; Ordinary chondrites; Enstatite chondrites; Rayleigh fractionation; Thermal metamorphism Late accretion; Bulk silicate Earth; Peridotites</t>
  </si>
  <si>
    <t>HIGHLY SIDEROPHILE ELEMENTS; THERMAL METAMORPHISM; PRIMITIVE METEORITES; PERIDOTITE MASSIFS; MANTLE; SILICATE; CONSTRAINTS; SE; RU; TE</t>
  </si>
  <si>
    <t>Tellurium stable isotope compositions and abundances (delta Te-128/126 relative to SRM 3156) are reported for 43 ordinary, enstatite, and Rumuruti chondrites, which together with results from a companion study on carbonaceous chondrites are used to assess the origin of volatile element fractionations in chondrites. Whereas Te isotope variations among carbonaceous chondrites predominantly reflect mixing between isotopically light chondrules/chondrule precursors and CI-like matrix, Te isotope variations among non-carbonaceous chondrites mainly result from Te redistribution during parent body thermal metamorphism. The enstatite chondrites in particular display increasingly heavy Te isotopic compositions and decreasing Te concentrations with increasing degree of metamorphism, indicating migration of isotopically light Te from the strongly metamorphosed inner parts towards the cooler outer regions of the parent bodies. By contrast, ordinary and Rumuruti chondrites display less systematic Te isotope variations, implying more localized redistribution of Te during parent body thermal metamorphism. We also report Te stable isotope data for 19 terrestrial mantle-derived rocks. Peridotites with Al2O3 contents close to those inferred for the bulk silicate Earth (BSE) exhibit uniform delta Te-128/126 values, which we interpret to represent the Te isotopic composition of the BSE. This composition overlaps with the Te isotope composition of some volatile-rich carbonaceous chondrites (most notably CM chondrites), but also with that of enstatite chondrites. Comparison of the Te results to Se isotopes and Se/Te ratios shows that due to uncertainties in the composition of the BSE and the isotopic composition of bulk chondrite parent bodies, neither Te isotopes alone nor the combined Se-Te elemental and isotopic systematics can distinguish between a carbonaceous and enstatite chondrite-like late veneer, which is the presumed source of Se and Te in the BSE. Together, the results of this study illustrate that the relative abundances and mass-dependent isotope compositions of volatile elements like Se and Te are modified by physical and chemical processes occurring after planetary accretion, which severely complicates their use as genetic tracers. A corollary of this is that contrary to prior proposals the Se-Te systematics are not contradicting an inner solar system origin of the late veneer, as it has been inferred using nucleosynthetic isotope anomalies of other elements. (C) 2021 Elsevier Ltd. All rights reserved.</t>
  </si>
  <si>
    <t>[Hellmann, Jan L.; Hopp, Timo; Burkhardt, Christoph; Fischer-Goedde, Mario; Kleine, Thorsten] Univ Munster, Inst Planetol, Wilhelm Klemm Str 10, D-48149 Munster, Germany; [Hopp, Timo] Univ Chicago, Dept Geophys Sci, Origins Lab, 5734 South Ellis Ave, Chicago, IL 60637 USA; [Hopp, Timo] Univ Chicago, Enrico Fermi Inst, 5734 South Ellis Ave, Chicago, IL 60637 USA; [Becker, Harry] Free Univ Berlin, Inst Geol Wissensch, Malteserstr 74-100, D-12249 Berlin, Germany; [Fischer-Goedde, Mario] Univ Cologne, Inst Geol &amp; Mineral, Zulpicher Str 49b, D-50674 Cologne, Germany</t>
  </si>
  <si>
    <t>University of Munster; University of Chicago; University of Chicago; Free University of Berlin; University of Cologne</t>
  </si>
  <si>
    <t>Hellmann, JL (corresponding author), Univ Munster, Inst Planetol, Wilhelm Klemm Str 10, D-48149 Munster, Germany.</t>
  </si>
  <si>
    <t>jan.hellmann@uni-muenster.de</t>
  </si>
  <si>
    <t>Kleine, Thorsten/S-2792-2017</t>
  </si>
  <si>
    <t>Burkhardt, Christoph/0000-0002-6952-5783; Hellmann, Jan L./0000-0001-5365-492X; Hopp, Timo/0000-0002-4056-5431</t>
  </si>
  <si>
    <t>NSF; NASA; Deutsche Forschungsgemeinschaft (DFG, German Research Foundation) [263649064 - TRR 170]</t>
  </si>
  <si>
    <t>NSF(National Science Foundation (NSF)); NASA(National Aeronautics &amp; Space Administration (NASA)); Deutsche Forschungsgemeinschaft (DFG, German Research Foundation)(German Research Foundation (DFG))</t>
  </si>
  <si>
    <t>We gratefully acknowledge NASA, the Max Planck Institute for Chemistry, Mainz, the US Museum of Natural History, the Field Museum Chicago, the Natural History Museum, London, and the Naturhistorisches Museum Wien for providing meteorite specimens.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Manuela Fehr for providing aliquots of Te standard solutions used in prior studies. Constructive reviews by three anonymous reviewers, and the editorial efforts of L. Qin are gratefully acknowledged. Funded by the Deutsche Forschungsgemeinschaft (DFG, German Research Foundation) -Project-ID 263649064 -TRR 170. This is TRR170 publication No. 114.</t>
  </si>
  <si>
    <t>10.1016/j.gca.2021.06.038</t>
  </si>
  <si>
    <t>TT7NG</t>
  </si>
  <si>
    <t>WOS:000680530800004</t>
  </si>
  <si>
    <t>Sporta Caputi, S; Careddu, G; Calizza, E; Fiorentino, F; Maccapan, D; Rossi, L; Costantini, ML</t>
  </si>
  <si>
    <t>Sporta Caputi, Simona; Careddu, Giulio; Calizza, Edoardo; Fiorentino, Federico; Maccapan, Deborah; Rossi, Loreto; Costantini, Maria Letizia</t>
  </si>
  <si>
    <t>Corrigendum: Seasonal Food Web Dynamics in the Antarctic Benthos of Tethys Bay (Ross Sea): Implications for Biodiversity Persistence Under Different Seasonal Sea-Ice Coverage</t>
  </si>
  <si>
    <t>Correction</t>
  </si>
  <si>
    <t>Antarctica; climate change; food webs; keystone species; population-wide metrics; seasonal sea-ice dynamics; stable isotopes; trophic interactions</t>
  </si>
  <si>
    <t>[Sporta Caputi, Simona; Careddu, Giulio; Calizza, Edoardo; Fiorentino, Federico; Maccapan, Deborah; Rossi, Loreto; Costantini, Maria Letizia] Sapienza Univ Rome, Dept Environm Biol, Rome, Italy; [Rossi, Loreto; Costantini, Maria Letizia] CoNISMa, Rome, Italy</t>
  </si>
  <si>
    <t>Sapienza University Rome; CoNISMa</t>
  </si>
  <si>
    <t>Calizza, E (corresponding author), Sapienza Univ Rome, Dept Environm Biol, Rome, Italy.</t>
  </si>
  <si>
    <t>edoardo.calizza@uniroma1.it</t>
  </si>
  <si>
    <t>10.3389/fmars.2021.733768</t>
  </si>
  <si>
    <t>TT0BF</t>
  </si>
  <si>
    <t>WOS:000680016100001</t>
  </si>
  <si>
    <t>Schulz, KG; Achterberg, EP; Arístegui, J; Bach, LT; Baños, I; Boxhammer, T; Erler, D; Igarza, M; Kalter, V; Ludwig, A; Löscher, C; Meyer, J; Meyer, J; Minutolo, F; von der Esch, E; Ward, BB; Riebesell, U</t>
  </si>
  <si>
    <t>Schulz, Kai G.; Achterberg, Eric P.; Aristegui, Javier; Bach, Lennart T.; Banos, Isabel; Boxhammer, Tim; Erler, Dirk; Igarza, Maricarmen; Kalter, Verena; Ludwig, Andrea; Loscher, Carolin; Meyer, Jana; Meyer, Judith; Minutolo, Fabrizio; von der Esch, Elisabeth; Ward, Bess B.; Riebesell, Ulf</t>
  </si>
  <si>
    <t>Nitrogen loss processes in response to upwelling in a Peruvian coastal setting dominated by denitrification - a mesocosm approach</t>
  </si>
  <si>
    <t>BIOGEOSCIENCES</t>
  </si>
  <si>
    <t>TROPICAL SOUTH-PACIFIC; ANAEROBIC AMMONIUM OXIDATION; OXYGEN MINIMUM ZONE; WATER-COLUMN; HETEROTROPHIC DENITRIFICATION; MATTER STOICHIOMETRY; N-2 PRODUCTION; ANAMMOX; VARIABILITY; CARBON</t>
  </si>
  <si>
    <t>Upwelling of nutrient-rich deep waters make eastern boundary upwelling systems (EBUSs), such as the Humboldt Current system, hot spots of marine productivity. Associated settling of organic matter to depth and consecutive aerobic decomposition results in large subsurface water volumes being oxygen depleted. Under these circumstances, organic matter remineralisation can continue via denitrification, which represents a major loss pathway for bioavailable nitrogen. Additionally, anaerobic ammonium oxidation can remove significant amounts of nitrogen in these areas. Here we assess the interplay of suboxic water upwelling and nitrogen cycling in a manipulative offshore mesocosm experiment. Measured denitrification rates in incubations with water from the oxygen-depleted bottom layer of the mesocosms (via N-15 label incubations) mostly ranged between 5.5 and 20 nmolN(2) L-1 h(-1) (interquartile range), reaching up to 80 nmolN(2) L-1 h(-1). However, actual in situ rates in the mesocosms, estimated via Michaelis-Menten kinetic scaling, did most likely not exceed 0.2-4.2 nmolN(2) L-1 h(-1) (interquartile range) due to substrate limitation. In the surrounding Pacific, measured denitrification rates were similar, although indications of substrate limitation were detected only once. In contrast, anammox (anaerobic ammonium oxidation) made only a minor contribution to the overall nitrogen loss when encountered in both the mesocosms and the Pacific Ocean. This was potentially related to organic matter C / N stoichiometry and/or process-specific oxygen and hydrogen sulfide sensitivities. Over the first 38 d of the experiment, total nitrogen loss calculated from in situ rates of denitrification and anammox was comparable to estimates from a full nitrogen budget in the mesocosms and ranged between similar to 1 and 5.5 mu molNL(-1). This represents up to similar to 20% of the initially bioavailable inorganic and organic nitrogen standing stocks. Interestingly, this loss is comparable to the total amount of particulate organic nitrogen that was exported into the sediment traps at the bottom of the mesocosms at about 20m depth. Altogether, this suggests that a significant portion, if not the majority of nitrogen that could be exported to depth, is already lost, i.e. converted to N-2 in a relatively shallow layer of the surface ocean, provided that there are oxygen-deficient conditions like those during coastal upwelling in our study. Published data for primary productivity and nitrogen loss in all EBUSs reinforce such conclusion.</t>
  </si>
  <si>
    <t>[Schulz, Kai G.; Erler, Dirk] Southern Cross Univ, Sch Environm Sci &amp; Engn, Ctr Coastal Biogeochem, Lismore, NSW, Australia; [Achterberg, Eric P.; Boxhammer, Tim; Kalter, Verena; Ludwig, Andrea; Meyer, Jana; Meyer, Judith; Minutolo, Fabrizio; Riebesell, Ulf] GEOMAR Helmholtz Ctr Ocean Res Kiel, Kiel, Germany; [Aristegui, Javier; Banos, Isabel] Univ Las Palmas de Gran Canaria ULPGC, IOCAG, Inst Oceanog &amp; Cambio Global, Las Palmas Gran Canaria, Spain; [Bach, Lennart T.] Univ Tasmania, Inst Marine &amp; Antarctic Studies, Hobart, Tas, Australia; [Igarza, Maricarmen] Direcc Gen Invest Oceanog &amp; Cambio Climat, Inst Mar Peru IMARPE, Callao, Peru; [Kalter, Verena] Mem Univ Newfoundland, Dept Ocean Sci, Logy Bay, NF, Canada; [Loscher, Carolin] Univ Southern Denmark, Danish Inst Adv Study DIAS, Dept Biol, Campusvej 55, Odense M, Denmark; [von der Esch, Elisabeth] Tech Univ Munich, Inst Hydrochem, Chair Analyt Chem &amp; Water Chem, Munich, Germany; [Ward, Bess B.] Princeton Univ, Dept Geosci, Princeton, NJ 08544 USA</t>
  </si>
  <si>
    <t>Southern Cross University; Helmholtz Association; GEOMAR Helmholtz Center for Ocean Research Kiel; Universidad de Las Palmas de Gran Canaria; University of Tasmania; Instituto del Mar del Peru; Memorial University Newfoundland; Aarhus University; University of Southern Denmark; Technical University of Munich; Princeton University</t>
  </si>
  <si>
    <t>Schulz, KG (corresponding author), Southern Cross Univ, Sch Environm Sci &amp; Engn, Ctr Coastal Biogeochem, Lismore, NSW, Australia.</t>
  </si>
  <si>
    <t>kai.schulz@scu.edu.au</t>
  </si>
  <si>
    <t>Achterberg, Eric P/C-5820-2009; Schulz, Kai/AEZ-9073-2022; Arístegui, Javier/D-5833-2013; Erler, Dirk V/I-7209-2012; Boxhammer, Tim/GLN-6190-2022</t>
  </si>
  <si>
    <t>Schulz, Kai/0000-0002-8481-4639; Arístegui, Javier/0000-0002-7526-7741; Boxhammer, Tim/0000-0002-9632-5947; Banos Ceron, lsabel/0000-0003-3811-6597; Igarza, Maricarmen/0000-0003-0219-1560; Loscher, Carolin/0000-0002-2044-6849; Bach, Lennart/0000-0003-0202-3671; Erler, Dirk/0000-0003-1242-7311; Ward, Bess/0000-0001-7870-2684</t>
  </si>
  <si>
    <t>Collaborative Research Center (SFB 754), Climate-Biogeochemistry Interactions in the Tropical Ocean - German Research Foundation (DFG); Helmholtz International Fellow Award 2015; EU by AQUACOSM; Leibniz Award 2012</t>
  </si>
  <si>
    <t>Collaborative Research Center (SFB 754), Climate-Biogeochemistry Interactions in the Tropical Ocean - German Research Foundation (DFG)(German Research Foundation (DFG)); Helmholtz International Fellow Award 2015; EU by AQUACOSM; Leibniz Award 2012</t>
  </si>
  <si>
    <t>This research has been supported by the Collaborative Research Center (SFB 754), Climate-Biogeochemistry Interactions in the Tropical Ocean, financed by the German Research Foundation (DFG), the Leibniz Award 2012 (granted to Ulf Riebesell), the Helmholtz International Fellow Award 2015 (granted to Javier Aristegui), and EU funding by AQUACOSM (granted to a number of participants, including Javier Aristegui and Kai G. Schulz).</t>
  </si>
  <si>
    <t>1726-4170</t>
  </si>
  <si>
    <t>1726-4189</t>
  </si>
  <si>
    <t>Biogeosciences</t>
  </si>
  <si>
    <t>10.5194/bg-18-4305-2021</t>
  </si>
  <si>
    <t>Ecology; Geosciences, Multidisciplinary</t>
  </si>
  <si>
    <t>Environmental Sciences &amp; Ecology; Geology</t>
  </si>
  <si>
    <t>TP4QC</t>
  </si>
  <si>
    <t>WOS:000677579200001</t>
  </si>
  <si>
    <t>Brisbourne, AM; Kendall, M; Kufner, SK; Hudson, TS; Smith, AM</t>
  </si>
  <si>
    <t>Brisbourne, Alex M.; Kendall, Michael; Kufner, Sofia-Katerina; Hudson, Thomas S.; Smith, Andrew M.</t>
  </si>
  <si>
    <t>Downhole distributed acoustic seismic profiling at Skytrain Ice Rise, West Antarctica</t>
  </si>
  <si>
    <t>WEDDELL SEA SECTOR; INTERNAL-FRICTION; ANISOTROPIC ICE; GROUNDING-LINE; FABRICS; CORE; FLOW; SHEET; POLARIZATION; DEFORMATION</t>
  </si>
  <si>
    <t>Antarctic ice sheet history is imprinted in the structure and fabric of the ice column. At ice rises, the signature of ice flow history is preserved due to the low strain rates inherent at these independent ice flow centres. We present results from a distributed acoustic sensing (DAS) experiment at Skytrain Ice Rise in the Weddell Sea sector of West Antarctica, aimed at delineating the englacial fabric to improve our understanding of ice sheet history in the region. This pilot experiment demonstrates the feasibility of an innovative technique to delineate ice rise structure. Both direct and reflected P- and S-wave energy, as well as surface wave energy, are observed using a range of source offsets, i.e. a walkaway vertical seismic profile, recorded using fibre optic cable. Significant noise, which results from the cable hanging untethered in the borehole, is modelled and suppressed at the processing stage. At greater depth where the cable is suspended in drilling fluid, seismic interval velocities and attenuation are measured. Vertical P-wave velocities are high (V-INT = 3984 +/- 218ms(-1)) and consistent with a strong vertical cluster fabric. Seismic attenuation is high (Q(INT) = 75 +/- 12) and inconsistent with previous observations in ice sheets over this temperature range. The signal level is too low, and the noise level too high, to undertake analysis of englacial fabric variability. However, modelling of P- and S-wave travel times and amplitudes with a range of fabric geometries, combined with these measurements, demonstrates the capacity of the DAS method to discriminate englacial fabric distribution. From this pilot study we make a number of recommendations for future experiments aimed at quantifying englacial fabric to improve our understanding of recent ice sheet history.</t>
  </si>
  <si>
    <t>[Brisbourne, Alex M.; Kufner, Sofia-Katerina; Smith, Andrew M.] NERC British Antarctic Survey, IDP, Cambridge CB3 0ET, England; [Kendall, Michael; Hudson, Thomas S.] Univ Oxford, Dept Earth Sci, Oxford OX1 3AN, England</t>
  </si>
  <si>
    <t>University of Oxford</t>
  </si>
  <si>
    <t>Brisbourne, AM (corresponding author), NERC British Antarctic Survey, IDP, Cambridge CB3 0ET, England.</t>
  </si>
  <si>
    <t>aleisb@bas.ac.uk</t>
  </si>
  <si>
    <t>Hudson, Thomas/IQS-9833-2023; Brisbourne, Alex/E-6198-2013</t>
  </si>
  <si>
    <t>Hudson, Thomas/0000-0003-2944-883X; Kendall, John Michael/0000-0002-1486-3945; SMITH, ANDREW/0000-0001-8577-482X; Brisbourne, Alex/0000-0002-9887-7120; Kufner, Sofia-Katerina/0000-0002-9687-5455</t>
  </si>
  <si>
    <t>Natural Environment Research Council [NE/G014159/1, CASS-166]; DigiMon project, Accelerating CCS Technologies (ACT) programme [299622]; NERC [NE/G014159/1] Funding Source: UKRI</t>
  </si>
  <si>
    <t>Natural Environment Research Council(UK Research &amp; Innovation (UKRI)Natural Environment Research Council (NERC)); DigiMon project, Accelerating CCS Technologies (ACT) programme; NERC(UK Research &amp; Innovation (UKRI)Natural Environment Research Council (NERC))</t>
  </si>
  <si>
    <t>This research has been supported by the Natural Environment Research Council (grant nos. NE/G014159/1 and CASS-166) and by the DigiMon project (project no. 299622), which is part of Accelerating CCS Technologies (ACT) programme.</t>
  </si>
  <si>
    <t>10.5194/tc-15-3443-2021</t>
  </si>
  <si>
    <t>TP4QJ</t>
  </si>
  <si>
    <t>WOS:000677579900001</t>
  </si>
  <si>
    <t>Lang, M; Song, YS; Li, Y; Xiang, X; Ni, L; Miao, JJ</t>
  </si>
  <si>
    <t>Lang, Meng; Song, Yishan; Li, Yan; Xiang, Xi; Ni, Ling; Miao, Junjian</t>
  </si>
  <si>
    <t>Purification, identification, and molecular mechanism of DPP-IV inhibitory peptides from defatted Antarctic krill powder</t>
  </si>
  <si>
    <t>JOURNAL OF FOOD BIOCHEMISTRY</t>
  </si>
  <si>
    <t>defatted antarctic krill powder; diabetes mellitus; DPP-IV inhibitory peptides; molecular docking; purification and identification</t>
  </si>
  <si>
    <t>DIPEPTIDYL; ANTIOXIDANT; HYDROLYSIS</t>
  </si>
  <si>
    <t>Dipeptidyl peptidase-IV (DPP-IV) inhibitors can reduce the blood sugar levels of diabetic patients by preventing the rapid decomposition of incretin hormone and prolonging its physiological effects. In this study, DPP-IV inhibitory peptides FAGDDAPR and LAPPRGSL were isolated from defatted Antarctic krill powder (DAKP) protein by the sequential purification of ultrafiltration, gel filtration chromatography, and RP-HPLC, and IC50 values of the two peptides were 349.70 +/- 3.66 mu M and 461.14 +/- 0.87 mu M, respectively. The FAGDDAPR and LAPPRGSL were identified by LC-MS/MS method, and the molecular models of DPP-IV and the two peptides were further constructed by AutoDock Vina software, the results revealed that the inhibition activity of FAGDDAPR and LAPPRGSL was mainly attributed to the formation of strong hydrophobic interactions and hydrogen bonds with amino acids of DPP-IV. Practical applications DAKP is an economical by-product produced in the production of krill oil and contains high-quality protein, but these products were mainly used as fish feed and had low utility value in the past. DPP-IV inhibitors are an efficacious drug employed in the treatment of hyperglycemia processes. However, these drugs can cause undesirable side effects. Thus, the development of new natural hypoglycemic drugs with low side effects is a valuable strategy to be applied in therapeutic interventions.</t>
  </si>
  <si>
    <t>[Lang, Meng; Song, Yishan; Li, Yan; Xiang, Xi; Ni, Ling; Miao, Junjian] Shanghai Ocean Univ, Coll Food Sci &amp; Technol, Shanghai, Peoples R China</t>
  </si>
  <si>
    <t>Shanghai Ocean University</t>
  </si>
  <si>
    <t>Song, YS (corresponding author), Shanghai Ocean Univ, Coll Food Sci &amp; Technol, Shanghai, Peoples R China.</t>
  </si>
  <si>
    <t>yssong@shou.edu.cn</t>
  </si>
  <si>
    <t>Xiang, Xi/HTO-6753-2023</t>
  </si>
  <si>
    <t>Xiang, Xi/0000-0002-5590-7289</t>
  </si>
  <si>
    <t>National Key Research and Development Program of China [2019YFD0902000]</t>
  </si>
  <si>
    <t>National Key Research and Development Program of China</t>
  </si>
  <si>
    <t>National Key Research and Development Program of China, Grant/Award Number: 2019YFD0902000</t>
  </si>
  <si>
    <t>0145-8884</t>
  </si>
  <si>
    <t>1745-4514</t>
  </si>
  <si>
    <t>J FOOD BIOCHEM</t>
  </si>
  <si>
    <t>J. Food Biochem.</t>
  </si>
  <si>
    <t>e13872</t>
  </si>
  <si>
    <t>10.1111/jfbc.13872</t>
  </si>
  <si>
    <t>Biochemistry &amp; Molecular Biology; Food Science &amp; Technology</t>
  </si>
  <si>
    <t>UL4DK</t>
  </si>
  <si>
    <t>WOS:000678086700001</t>
  </si>
  <si>
    <t>Leal, PP; Roleda, MY; Fernandez, PA; Nitschke, U; Hurd, CL</t>
  </si>
  <si>
    <t>Leal, Pablo P.; Roleda, Michael Y.; Fernandez, Pamela A.; Nitschke, Udo; Hurd, Catriona L.</t>
  </si>
  <si>
    <t>Reproductive phenology and morphology of Macrocystis pyrifera (Laminariales, Ochrophyta) from southern New Zealand in relation to wave exposure</t>
  </si>
  <si>
    <t>JOURNAL OF PHYCOLOGY</t>
  </si>
  <si>
    <t>hydrodynamics; population dynamic; seasonality; sorus ripeness; sporogenesis; water motion</t>
  </si>
  <si>
    <t>GIANT-KELP MACROCYSTIS; OCEAN ACIDIFICATION; SEASONAL GROWTH; DISTINCT FORMS; PHAEOPHYCEAE; ECOLOGY; PHOTOSYNTHESIS; POPULATION; CALIFORNIA; SURVIVAL</t>
  </si>
  <si>
    <t>Macrocystis pyrifera is a major habitat forming kelp in coastal ecosystems of temperate regions of the northern and southern hemispheres. We investigated the seasonal occurrence of adult sporophytes, morphological characteristics, and reproductive phenology at two sites within a wave-protected harbour and two wave-exposed sites in southern New Zealand every 3-4 months between 2012 and 2013. Seasonality in reproduction was assessed via the number of sporophylls, the occurrence of sori on sporophylls, and non-sporophyllous laminae (fertile pneumatocyst-bearing blades and fertile apical scimitars), meiospore release, and germination. We found that M. pyrifera was present and reproductive year-round in three of the four sites, and patterns were similar for the wave-exposure conditions. Sori were found on pneumatocyst-bearing blades and apical scimitars in addition to the sporophylls, and viable meiospores were released from all three types of laminae. Morphological variations between sites with different wave exposure indicate that sporophytes from wave-protected sites have bigger blades and holdfasts and are longer than those from wave-exposed sites. We discuss the implications of these biological variables for the ecology of M. pyrifera inhabiting different wave exposure environments in southern New Zealand.</t>
  </si>
  <si>
    <t>[Leal, Pablo P.; Roleda, Michael Y.; Hurd, Catriona L.] Univ Otago, Dept Bot, 479 Great King St, Dunedin 9016, New Zealand; [Leal, Pablo P.] Inst Fomento Pesquero IFOP, Dept Repoblac &amp; Cultivo, Balmaceda 252,Casilla 665, Puerto Montt, Chile; [Roleda, Michael Y.] Norwegian Inst Bioecon Res, Kudalsveien 6, N-8027 Bodo, Norway; [Roleda, Michael Y.] Univ Philippines Diliman, Coll Sci, Marine Sci Inst, Quezon City, Philippines; [Fernandez, Pamela A.] Univ Los Lagos, Ctr &amp; Mar &amp; CeBiB, Camino Chinquihue Km 6,Casilla 557, Puerto Montt, Chile; [Nitschke, Udo] Jahnstr 6, D-85088 Vohburg, Germany; [Hurd, Catriona L.] Univ Tasmania, Inst Marine &amp; Antarctic Studies, 20 Castray Esplanade Battery Point, Hobart, Tas 7004, Australia</t>
  </si>
  <si>
    <t>University of Otago; Instituto de Fomento Pesquero (Valparaiso); Norwegian Institute of Bioeconomy Research; University of the Philippines System; University of the Philippines Diliman; Universidad de Los Lagos; University of Tasmania</t>
  </si>
  <si>
    <t>Leal, PP (corresponding author), Univ Otago, Dept Bot, 479 Great King St, Dunedin 9016, New Zealand.;Leal, PP (corresponding author), Inst Fomento Pesquero IFOP, Dept Repoblac &amp; Cultivo, Balmaceda 252,Casilla 665, Puerto Montt, Chile.</t>
  </si>
  <si>
    <t>pablo.leal@ifop.cl</t>
  </si>
  <si>
    <t>Roleda, Michael Y./H-9645-2019; Leal, Pablo P./N-3927-2019; Fernandez, Pamela/AAX-1676-2021; Hurd, Catriona/J-2411-2013</t>
  </si>
  <si>
    <t>Roleda, Michael Y./0000-0003-0568-9081; Leal, Pablo P./0000-0002-7616-1850; Fernandez, Pamela/0000-0003-3122-0084; Hurd, Catriona/0000-0001-9965-4917</t>
  </si>
  <si>
    <t>BECAS CHILE-ANID; Programa Integral de Desarrollo de Acuicultura de Algas para Pescadores Artesanales (Etapa 4) - Subsecretaria de Economia y Empresas de Menor Tamano; Philippine's Department of Science and Technology (DOST) Balik Scientist Program; Skidmore College, NY, USA; Chilean National Commission for Scientific and Technological Research (ANID/FONDECYT) [3170225, 1180647]; ANID/Programa Basal [FB-0001]</t>
  </si>
  <si>
    <t>BECAS CHILE-ANID; Programa Integral de Desarrollo de Acuicultura de Algas para Pescadores Artesanales (Etapa 4) - Subsecretaria de Economia y Empresas de Menor Tamano; Philippine's Department of Science and Technology (DOST) Balik Scientist Program; Skidmore College, NY, USA; Chilean National Commission for Scientific and Technological Research (ANID/FONDECYT); ANID/Programa Basal</t>
  </si>
  <si>
    <t>Pablo P. Leal was supported by a scholarship from BECAS CHILE-ANID and by Programa Integral de Desarrollo de Acuicultura de Algas para Pescadores Artesanales (Etapa 4), funded by the Subsecretaria de Economia y Empresas de Menor Tamano (Convenio 2016). Michael Y. Roleda acknowledges the Philippine's Department of Science and Technology (DOST) Balik Scientist Program for the fellowship. Udo Nitschke gratefully acknowledges support by Skidmore College, 815 North Broadway, Saratoga Springs, NY 12866, USA. Pamela A. Fernandez was supported by the Chilean National Commission for Scientific and Technological Research (ANID/FONDECYT; Postdoctoral grant 3170225 and grant 1180647) and ANID/Programa Basal (CeBiB, FB-0001). We are grateful to Rocio Suarez for assisting in field sampling.</t>
  </si>
  <si>
    <t>0022-3646</t>
  </si>
  <si>
    <t>1529-8817</t>
  </si>
  <si>
    <t>J PHYCOL</t>
  </si>
  <si>
    <t>J. Phycol.</t>
  </si>
  <si>
    <t>10.1111/jpy.13190</t>
  </si>
  <si>
    <t>Plant Sciences; Marine &amp; Freshwater Biology</t>
  </si>
  <si>
    <t>WI1JT</t>
  </si>
  <si>
    <t>WOS:000676115400001</t>
  </si>
  <si>
    <t>Pantó, G; Pasotti, F; Macheriotou, L; Vanreusel, A</t>
  </si>
  <si>
    <t>Panto, Gabriella; Pasotti, Francesca; Macheriotou, Lara; Vanreusel, Ann</t>
  </si>
  <si>
    <t>Combining Traditional Taxonomy and Metabarcoding: Assemblage Structure of Nematodes in the Shelf Sediments of the Eastern Antarctic Peninsula</t>
  </si>
  <si>
    <t>Eastern Antarctic Peninsula; benthos; nematodes; Prince Gustav Channel; Duse Bay; metabarcoding; ASVs; biodiversity</t>
  </si>
  <si>
    <t>WEDDELL SEA; MARINE NEMATODES; PHYTOPLANKTON ASSEMBLAGES; MEIOFAUNA COMMUNITIES; B EMBAYMENTS; ICE-SHELF; LARSEN; PATTERNS; GLACIER; COLONIZATION</t>
  </si>
  <si>
    <t>This study provides a snapshot of the largely understudied meiobenthic and nematode communities in the Prince Gustav Channel (PGC) and Duse Bay (DB). We compared five stations sampled at different water depths along the shelf and investigated their meiobenthic community structure. We approached nematode biodiversity combining traditional taxonomic identification and high throughput sequencing (HTS), with the use of Amplicon Sequence Variants (ASVs). Additionally, we characterized the environment by primary production proxies, grain size and seasonal ice conditions. Our results suggest that the availability of organic matter and its freshness are responsible for the high densities found at all depths. However, potential factors influencing the high local and regional variability of meiofauna density and biodiversity are less clear. A bathymetric transect consisting of three stations in DB (200, 500, and 1,000 m depth) showed increasing pigment concentrations in the first centimeters of the sediment vertical profile with increasing water depth, whereas the meiofauna densities showed the opposite trend. The deepest station of DB seems to function as a sink for fine material as supported by the higher silt fraction and higher organic matter concentrations. When comparing the two basins in the PGC (1,000 and 1,250 m) and the one in DB (1,000 m), differences in terms of environmental variables, meiofaunal densities, and composition were observed. The deepest basin in PGC is located further South (closer to the highly unstable Larsen area), and marked differences with the other basins suggest that it might be experiencing different conditions as a result of its presence near the summer ice margin and its more elongated topography. Both, the shallowest and the deepest stations showed the highest number of unique sequences, suggesting a more biodiverse nematode assemblage. The morphological identification did not show significant differences in the biodiversity of all stations, differently from the ASVs approach. However, the lack of reference sequences in online databases and the thickness of nematode's cuticule are still important issues to consider as they potentially lead to underestimations of biodiversity and functional traits.</t>
  </si>
  <si>
    <t>[Panto, Gabriella; Pasotti, Francesca; Macheriotou, Lara; Vanreusel, Ann] Univ Ghent, Biol Dept, Marine Biol Res Grp, Ghent, Belgium</t>
  </si>
  <si>
    <t>Ghent University</t>
  </si>
  <si>
    <t>Pantó, G (corresponding author), Univ Ghent, Biol Dept, Marine Biol Res Grp, Ghent, Belgium.</t>
  </si>
  <si>
    <t>Gabriella.Panto@UGent.be</t>
  </si>
  <si>
    <t>Macheriotou, Lara/O-4343-2019</t>
  </si>
  <si>
    <t>Macheriotou, Lara/0000-0002-5662-5689; Pasotti, Francesca/0000-0002-8971-8195; Panto, Gabriella/0000-0002-2552-5941</t>
  </si>
  <si>
    <t>Belgian Science Policy (BELSPO/BRAIN) [BR/154/A1-Recto]; EMBRC Belgium (FWO project) [GOH3817N]</t>
  </si>
  <si>
    <t>Belgian Science Policy (BELSPO/BRAIN); EMBRC Belgium (FWO project)(FWO)</t>
  </si>
  <si>
    <t>This work contributes to project BR/154/A1-Recto of the Belgian Science Policy (BELSPO/BRAIN). The environmental and molecular research was carried out with infrastructure funded by EMBRC Belgium (FWO project GOH3817N).</t>
  </si>
  <si>
    <t>10.3389/fmars.2021.629706</t>
  </si>
  <si>
    <t>WI5DP</t>
  </si>
  <si>
    <t>WOS:000708380900001</t>
  </si>
  <si>
    <t>Nocera, AC; Giménez, EM; Diez, MJ; Retana, MV; Winkler, G</t>
  </si>
  <si>
    <t>Nocera, Ariadna C.; Gimenez, Eloisa M.; Diez, Mariano J.; Valeria Retana, Maria; Winkler, Gesche</t>
  </si>
  <si>
    <t>Krill diel vertical migration in Southern Patagonia</t>
  </si>
  <si>
    <t>JOURNAL OF PLANKTON RESEARCH</t>
  </si>
  <si>
    <t>Euphausiids; biomass; echosounder; video plankton recorder; DVM</t>
  </si>
  <si>
    <t>SAN JORGE GULF; HAKE MERLUCCIUS-HUBBSI; NORTHERN BENGUELA CURRENT; PLEOTICUS-MUELLERI BATE; ANTARCTIC KRILL; EUPHAUSIA-LUCENS; MEGANYCTIPHANES-NORVEGICA; ADAPTIVE SIGNIFICANCE; TIDAL FRONT; ZOOPLANKTON</t>
  </si>
  <si>
    <t>Diel vertical migration (DVM) of krill was studied throughout 36 h at a fixed station (46.05 degrees S, 66.19 degrees W; 98-m depth) located in the center of the San Jorge Gulf, Southern Patagonia area, during February 2014. Using an echosounder system, combined with an autonomous Video Plankton Recorder (Auto-VPR) and Jacknet samplings, we describe the migration pattern, the associated biomass and the macrozooplankton species involved. The net sampling and the Auto-VPR images allowed us to identify the krill species detected in the echosounder signals, which corresponded to Euphausia lucens, Euphausia vallentini and Nematoscelis megalops. The krill community followed a normal pattern of DVM, ascending at dusk (similar to 18:30 h) and descending at dawn (similar to 06:30 h), forming a dense layer near the bottom during the day. Krill vertical migration speed was estimated from the echogram data at similar to 1 cm s(-1) (1 body length per s for 1-cm-long animal), and the integrated mean biomass was 57.8 g m(-2). This study provides a description of temporal and spatial patterns of krill vertical distribution, which should be taken into account when studying the complexity of the SJG ecosystem dynamics and carbon flux.</t>
  </si>
  <si>
    <t>[Nocera, Ariadna C.] Univ Nacl Patagonia San, Ctr Estudio Sistemas Marinos CCT CENPAT CONICET, Bv Brown 2915, RA-9120 Puerto Madryn, Argentina; [Nocera, Ariadna C.; Valeria Retana, Maria] Univ Nacl Patagonia San Juan Bosco, Bv Brown 3051, RA-9120 Puerto Madryn, Argentina; [Gimenez, Eloisa M.; Diez, Mariano J.] Ctr Austral Invest Cient CADIC CONICET, Bernardo Houssay 200, RA-9410 Ushuaia, Argentina; [Winkler, Gesche] Univ Quebec Rimouski, Inst Sci Mer, 310 Allee Ursulines, Rimouski, PQ G5L 3A1, Canada</t>
  </si>
  <si>
    <t>Universidad Nacional de la Patagonia San Juan Bosco; Consejo Nacional de Investigaciones Cientificas y Tecnicas (CONICET); University of Quebec; Universite du Quebec a Rimouski</t>
  </si>
  <si>
    <t>Nocera, AC (corresponding author), Univ Nacl Patagonia San, Ctr Estudio Sistemas Marinos CCT CENPAT CONICET, Bv Brown 2915, RA-9120 Puerto Madryn, Argentina.;Nocera, AC (corresponding author), Univ Nacl Patagonia San Juan Bosco, Bv Brown 3051, RA-9120 Puerto Madryn, Argentina.</t>
  </si>
  <si>
    <t>arinocera@gmail.com</t>
  </si>
  <si>
    <t>Giménez, Eloísa/HLH-7592-2023</t>
  </si>
  <si>
    <t>Nocera, Ariadna Celina/0000-0003-2964-8102; Gimenez, Eloisa Mariana/0000-0002-4328-2293</t>
  </si>
  <si>
    <t>Ministerio de Ciencia; Tecnologia e Innovacion Productiva (MINCYT); Provincia del Chubut; Consejo Nacional de Investigaciones Cientificas y Tecnicas (CONICET)</t>
  </si>
  <si>
    <t>Ministerio de Ciencia(Spanish Government); Tecnologia e Innovacion Productiva (MINCYT); Provincia del Chubut; Consejo Nacional de Investigaciones Cientificas y Tecnicas (CONICET)(Consejo Nacional de Investigaciones Cientificas y Tecnicas (CONICET))</t>
  </si>
  <si>
    <t>Ministerio de Ciencia; Tecnologia e Innovacion Productiva (MINCYT); Provincia del Chubut; Consejo Nacional de Investigaciones Cientificas y Tecnicas (CONICET).</t>
  </si>
  <si>
    <t>0142-7873</t>
  </si>
  <si>
    <t>1464-3774</t>
  </si>
  <si>
    <t>J PLANKTON RES</t>
  </si>
  <si>
    <t>J. Plankton Res.</t>
  </si>
  <si>
    <t>JUL-AUG</t>
  </si>
  <si>
    <t>10.1093/plankt/fbab047</t>
  </si>
  <si>
    <t>Marine &amp; Freshwater Biology; Oceanography</t>
  </si>
  <si>
    <t>TZ0NL</t>
  </si>
  <si>
    <t>WOS:000684173000008</t>
  </si>
  <si>
    <t>Touchette, D; Altshuler, I; Gostincar, C; Zalar, P; Raymond-Bouchard, I; Zajc, J; McKay, CP; Gunde-Cimerman, N; Whyte, LG</t>
  </si>
  <si>
    <t>Touchette, D.; Altshuler, I.; Gostincar, C.; Zalar, P.; Raymond-Bouchard, I.; Zajc, J.; McKay, C. P.; Gunde-Cimerman, N.; Whyte, L. G.</t>
  </si>
  <si>
    <t>Novel Antarctic yeast adapts to cold by switching energy metabolism and increasing small RNA synthesis</t>
  </si>
  <si>
    <t>ISME JOURNAL</t>
  </si>
  <si>
    <t>PENTOSE-PHOSPHATE PATHWAY; FATTY-ACID-COMPOSITION; SACCHAROMYCES-CEREVISIAE; LOW-TEMPERATURE; RHODOTORULA-MUCILAGINOSA; BASIDIOMYCETOUS YEAST; RIBOSOMAL-RNA; SP-NOV.; GROWTH; PERMAFROST</t>
  </si>
  <si>
    <t>The novel extremophilic yeast Rhodotorula frigidialcoholis, formerly R. JG1b, was isolated from ice-cemented permafrost in University Valley (Antarctic), one of coldest and driest environments on Earth. Phenotypic and phylogenetic analyses classified R. frigidialcoholis as a novel species. To characterize its cold-adaptive strategies, we performed mRNA and sRNA transcriptomic analyses, phenotypic profiling, and assessed ethanol production at 0 and 23 degrees C. Downregulation of the ETC and citrate cycle genes, overexpression of fermentation and pentose phosphate pathways genes, growth without reduction of tetrazolium dye, and our discovery of ethanol production at 0 degrees C indicate that R. frigidialcoholis induces a metabolic switch from respiration to ethanol fermentation as adaptation in Antarctic permafrost. This is the first report of microbial ethanol fermentation utilized as the major energy pathway in response to cold and the coldest temperature reported for natural ethanol production. R. frigidialcoholis increased its diversity and abundance of sRNAs when grown at 0 versus 23 degrees C. This was consistent with increase in transcription of Dicer, a key protein for sRNA processing. Our results strongly imply that post-transcriptional regulation of gene expression and mRNA silencing may be a novel evolutionary fungal adaptation in the cryosphere.</t>
  </si>
  <si>
    <t>[Touchette, D.; Altshuler, I.; Raymond-Bouchard, I.; Whyte, L. G.] McGill Univ, Dept Nat Resource Sci, Ste Anne De Bellevue, PQ, Canada; [Gostincar, C.; Zalar, P.; Gunde-Cimerman, N.] Univ Ljubljana, Biotech Fac, Dept Biol, Ljubljana, Slovenia; [Gostincar, C.] BGI Qingdao, Lars Bolund Inst Regenerat Med, Qingdao, Peoples R China; [Zajc, J.] Agr Inst Slovenia, Ljubljana, Slovenia; [McKay, C. P.] NASA, Ames Res Ctr, Moffett Field, CA 94035 USA</t>
  </si>
  <si>
    <t>McGill University; University of Ljubljana; Beijing Genomics Institute (BGI); Agricultural Institute Slovenia; National Aeronautics &amp; Space Administration (NASA); NASA Ames Research Center</t>
  </si>
  <si>
    <t>Whyte, LG (corresponding author), McGill Univ, Dept Nat Resource Sci, Ste Anne De Bellevue, PQ, Canada.</t>
  </si>
  <si>
    <t>lyle.whyte@mcgill.ca</t>
  </si>
  <si>
    <t>Polona, Zalar/IUM-9916-2023; Gunde-Cimerman, Nina/L-5681-2013; Gostinčar, Cene/AGO-6748-2022</t>
  </si>
  <si>
    <t>Gostinčar, Cene/0000-0002-0149-3674; Touchette, David/0000-0002-1985-9224; Zajc, Janja/0000-0001-8479-7069; Whyte, Lyle/0000-0002-3443-3299; Altshuler, Ianina/0000-0003-2235-1664; McKay, Christopher/0000-0002-6243-1362</t>
  </si>
  <si>
    <t>McGill Space Institute</t>
  </si>
  <si>
    <t>The authors acknowledge the valuable input from Dr Jennifer Ronholm and Dr Jacqueline Goordial for their critical feedback and for the setting up of the project, and Dr Barry R. Bochner, from Biolog Inc. for his valuable advice with the Biolog Phenotypic MicroArray tests analysis. The authors acknowledge the support of the McGill Space Institute.</t>
  </si>
  <si>
    <t>SPRINGERNATURE</t>
  </si>
  <si>
    <t>CAMPUS, 4 CRINAN ST, LONDON, N1 9XW, ENGLAND</t>
  </si>
  <si>
    <t>1751-7362</t>
  </si>
  <si>
    <t>1751-7370</t>
  </si>
  <si>
    <t>ISME J</t>
  </si>
  <si>
    <t>ISME J.</t>
  </si>
  <si>
    <t>JAN</t>
  </si>
  <si>
    <t>10.1038/s41396-021-01030-9</t>
  </si>
  <si>
    <t>Ecology; Microbiology</t>
  </si>
  <si>
    <t>Environmental Sciences &amp; Ecology; Microbiology</t>
  </si>
  <si>
    <t>XS1WU</t>
  </si>
  <si>
    <t>WOS:000675794200003</t>
  </si>
  <si>
    <t>Li, F; Suominen, M; Lu, LL; Kujala, P; Taylor, R</t>
  </si>
  <si>
    <t>Li, Fang; Suominen, Mikko; Lu, Liangliang; Kujala, Pentti; Taylor, Rocky</t>
  </si>
  <si>
    <t>A probabilistic method for long-term estimation of ice loads on ship hull</t>
  </si>
  <si>
    <t>STRUCTURAL SAFETY</t>
  </si>
  <si>
    <t>Ice load; Long-term estimation; Probabilistic method; Event Maximum Method; Full-scale measurement; Ice-going ships</t>
  </si>
  <si>
    <t>AMPLITUDES</t>
  </si>
  <si>
    <t>Ships navigating in ice-infested regions need strengthened hull to resist the loads arising from the interactions with ice. Correct estimation of the maximum ice loads a ship may encounter during its lifetime is of vital importance for the design of ship structures. Due to the stochastic nature of ice properties and interaction processes, probabilistic approaches are useful to make long-term estimations of local ice loads on the hull. The Event Maximum Method (EMM) is an existing probabilistic approach for the long-term estimation of ice loads on the hull. This paper aims to extend the current EMM, first by introducing a model for the intercept of the linear regression line on the abscissa in order to quantify this value. Moreover, ice concentration is considered in the extended method as the second ice condition parameter in addition to thickness. The proposed method is applied to the full-scale measurement of the ship S.A. Agulhas II using the data obtained from the 2018/19 Antarctic voyage. The obtained model is then validated against six-year measurement data from 2013 to 2019, which shows reasonable similarity.</t>
  </si>
  <si>
    <t>[Li, Fang; Suominen, Mikko; Lu, Liangliang; Kujala, Pentti] Aalto Univ, Sch Engn, Espoo, Finland; [Taylor, Rocky] Mem Univ Newfoundland, Fac Engn &amp; Appl Sci, St John, NF, Canada</t>
  </si>
  <si>
    <t>Aalto University; Memorial University Newfoundland</t>
  </si>
  <si>
    <t>Li, F (corresponding author), Aalto Univ, Sch Engn, Espoo, Finland.</t>
  </si>
  <si>
    <t>fang.li@aalto.fi</t>
  </si>
  <si>
    <t>Kujala, Pentti JS/B-3780-2011; Suominen, Mikko/D-6571-2012; Li, Fang/B-4861-2018</t>
  </si>
  <si>
    <t>Suominen, Mikko/0000-0001-9758-9365; Li, Fang/0000-0003-0589-9644</t>
  </si>
  <si>
    <t>Lloyd's Register Foundation</t>
  </si>
  <si>
    <t>This project has received funding from the Lloyd's Register Foundation, a charitable foundation, helping to protect life and property by supporting engineering-related education, public engagement and the application of research www.lrfoundation.org.uk.</t>
  </si>
  <si>
    <t>0167-4730</t>
  </si>
  <si>
    <t>1879-3355</t>
  </si>
  <si>
    <t>STRUCT SAF</t>
  </si>
  <si>
    <t>Struct. Saf.</t>
  </si>
  <si>
    <t>10.1016/j.strusafe.2021.102130</t>
  </si>
  <si>
    <t>Engineering, Civil</t>
  </si>
  <si>
    <t>UR7WS</t>
  </si>
  <si>
    <t>WOS:000696955300002</t>
  </si>
  <si>
    <t>Malinverno, E; Bosio, G; Di Celma, C; Gariboldi, K; Gioncada, A; Pierantoni, PP; Collareta, A; Molli, G; Bagnoli, G; Sarti, G; Urbina, M; Bianucci, G</t>
  </si>
  <si>
    <t>Malinverno, Elisa; Bosio, Giulia; Di Celma, Claudio; Gariboldi, Karen; Gioncada, Anna; Pierantoni, Pietro Paolo; Collareta, Alberto; Molli, Giancarlo; Bagnoli, Gabriella; Sarti, Giovanni; Urbina, Mario; Bianucci, Giovanni</t>
  </si>
  <si>
    <t>(Bio)stratigraphic overview and paleoclimatic-paleoceanographic implications of the middle-upper Eocene deposits from the Ica River Valley (East Pisco Basin, Peru)</t>
  </si>
  <si>
    <t>PALAEOGEOGRAPHY PALAEOCLIMATOLOGY PALAEOECOLOGY</t>
  </si>
  <si>
    <t>Paracas Formation; Otuma Formation; calcareous nannofossils; diatoms; silicoflagellates; fossil Lagerstatte</t>
  </si>
  <si>
    <t>FOSSIL MARINE VERTEBRATES; CALCAREOUS NANNOFOSSIL BIOSTRATIGRAPHY; MIOCENE CHILCATAY FORMATION; BASILOSAURID CETACEA; ANTARCTIC GLACIATION; CONTINENTAL-MARGIN; KERGUELEN PLATEAU; THERMAL MAXIMUM; CERRO COLORADO; SOUTHERN-OCEAN</t>
  </si>
  <si>
    <t>The Eocene sediment successions of the East Pisco Basin (southern Peru) host an exceptionally rich and wellpreserved assemblage of vertebrate fossils. However, due to the dearth of geochronological and biostratigraphic controls as well as of stratigraphic correlations, our understanding of these rocks and their fossil content remains elusive. This paper provides a comprehensive calcareous nannofossil, diatom, and silicoflagellate biostratigraphic framework for the Eocene strata exposed at four localities along the Ica River Valley, permitting a robust chronological calibration of the marine vertebrate fauna entombed therein and a better definition of important appearance/ extinction events. The Paracas Formation, deposited directly on top of the Proterozoic and Paleozoic rocks of the crystalline basement, is formed by a siliciclastic-bioclastic sand-sized deposit (Los Choros member) and calcareous-terrigenous siltstone (Yumaque member) that was deposited from the Lutetian (47.8-41.2 Ma) through the Bartonian (41.2-37.7 Ma) to the early Priabonian (37.7-33.9 Ma). The unconformably overlying Otuma Formation consists of a basal sandstone, followed by calcareous siltstone intercalated by diatomite layers towards the top. In the study area, the Otuma Formation is Priabonian in age and is truncated at the top by an unconformity at the base of the overlying Miocene Chilcatay Formation. Due to the angular nature of the unconformity, the upper Otuma strata reach the Oligocene elsewhere. Average sedimentation rates range from 17 to 24 m/My in the Yumaque member of the Paracas Formation and increase to 147-170 m/My in the Otuma Formation. The microfossil assemblages witness a coastal setting with warm-temperate conditions for the Paracas Formation that become slightly cooler (though still temperate) in the upper Otuma Formation. Diatomaceous layers in the upper Otuma Formation indicate an overall increase in nutrient availability, which could reflect the global reorganization of ocean currents at the Eocene-Oligocene transition. However, the taxonomic composition of the diatom assemblage suggests seasonal rather than persistent upwelling conditions.</t>
  </si>
  <si>
    <t>[Malinverno, Elisa; Bosio, Giulia] Univ Milano Bicocca, Dipartimento Sci Ambiente &amp; Terra, I-20126 Milan, Italy; [Di Celma, Claudio; Pierantoni, Pietro Paolo] Univ Camerino, Scuola Sci &amp; Tecnol, I-62032 Camerino, Italy; [Gariboldi, Karen; Gioncada, Anna; Collareta, Alberto; Molli, Giancarlo; Bagnoli, Gabriella; Sarti, Giovanni; Bianucci, Giovanni] Univ Pisa, Dipartimento Sci Terra, I-56126 Pisa, Italy; [Urbina, Mario] Univ Nacl Mayor San Marcos, Dept Paleontol Vertebrados, Museo Hist Nat, Lima 1, Peru</t>
  </si>
  <si>
    <t>University of Milano-Bicocca; University of Camerino; University of Pisa; Universidad Nacional Mayor de San Marcos</t>
  </si>
  <si>
    <t>Malinverno, E (corresponding author), Piazza Sci 4, I-20126 Milan, Italy.</t>
  </si>
  <si>
    <t>elisa.malinverno@unimib.it; giulia.bosio@unimib.it; claudio.dicelma@unicam.it; karen.gariboldi@dst.unipi.it; anna.gioncada@unipi.it; pietropaolo.pierantoni@unicam.it; alberto.collareta@unipi.it; giancarlo.molli@unipi.it; gabriella.bagnoli@unipi.it; giovanni.sarti@unipi.it; mariourbina01@hotmail.com; bianucci@dst.unipi.it</t>
  </si>
  <si>
    <t>Bosio, Giulia/AAO-9836-2020; Gioncada, Anna/HSC-1389-2023</t>
  </si>
  <si>
    <t>Gioncada, Anna/0000-0002-8513-7377; Sarti, Giovanni/0000-0002-6327-4768; BOSIO, GIULIA/0000-0001-8067-4926</t>
  </si>
  <si>
    <t>Italian Ministero dell'Istruzione, dell'Universita e della Ricerca (MIUR) [2012YJSBMK EAR-9317031, 2012YJSBMK_002, 2012YJSBMK 003]; University of Camerino; University of Pisa [PRA_2017_0032]</t>
  </si>
  <si>
    <t>Italian Ministero dell'Istruzione, dell'Universita e della Ricerca (MIUR)(Ministry of Education, Universities and Research (MIUR)); University of Camerino; University of Pisa</t>
  </si>
  <si>
    <t>Fieldwork was supported by grants from the Italian Ministero dell'Istruzione, dell'Universit`a e della Ricerca (MIUR) to Bianucci (PRIN Project, 2012YJSBMK EAR-9317031), Malinverno (PRIN Project, 2012YJSBMK_002), Di Celma (PRIN Project, 2012YJSBMK 003); the University of Camerino (FAR 2019 grant); the University of Pisa to Bianucci (PRA_2017_0032).</t>
  </si>
  <si>
    <t>0031-0182</t>
  </si>
  <si>
    <t>1872-616X</t>
  </si>
  <si>
    <t>PALAEOGEOGR PALAEOCL</t>
  </si>
  <si>
    <t>Paleogeogr. Paleoclimatol. Paleoecol.</t>
  </si>
  <si>
    <t>10.1016/j.palaeo.2021.110567</t>
  </si>
  <si>
    <t>Geography, Physical; Geosciences, Multidisciplinary; Paleontology</t>
  </si>
  <si>
    <t>Physical Geography; Geology; Paleontology</t>
  </si>
  <si>
    <t>TZ0RA</t>
  </si>
  <si>
    <t>WOS:000684182500007</t>
  </si>
  <si>
    <t>Teets, NM; Hayward, SAL</t>
  </si>
  <si>
    <t>Teets, Nicholas M.; Hayward, Scott A. L.</t>
  </si>
  <si>
    <t>Editorial on combatting the cold: Comparative physiology of low temperature and related stressors in arthropods</t>
  </si>
  <si>
    <t>COMPARATIVE BIOCHEMISTRY AND PHYSIOLOGY A-MOLECULAR &amp; INTEGRATIVE PHYSIOLOGY</t>
  </si>
  <si>
    <t>CHYMOMYZA-COSTATA; ANTARCTIC MIDGE; INSECT; DIAPAUSE; TOLERANCE; ACCLIMATION; PLASTICITY; RESPONSES; FLY; DESICCATION</t>
  </si>
  <si>
    <t>[Teets, Nicholas M.] Univ Kentucky, Dept Entomol, Lexington, KY 40546 USA; [Hayward, Scott A. L.] Univ Birmingham, Sch Biosci, Birmingham B15 2TT, W Midlands, England</t>
  </si>
  <si>
    <t>University of Kentucky; University of Birmingham</t>
  </si>
  <si>
    <t>Teets, NM (corresponding author), Univ Kentucky, Dept Entomol, Lexington, KY 40546 USA.</t>
  </si>
  <si>
    <t>n.teets@uky.edu</t>
  </si>
  <si>
    <t>Teets, Nicholas/IQT-5328-2023; Teets, Nicholas/H-7386-2013</t>
  </si>
  <si>
    <t>Teets, Nicholas/0000-0003-0963-7457</t>
  </si>
  <si>
    <t>NERC [NE/T009446/1] Funding Source: UKRI</t>
  </si>
  <si>
    <t>NERC(UK Research &amp; Innovation (UKRI)Natural Environment Research Council (NERC))</t>
  </si>
  <si>
    <t>ELSEVIER SCIENCE INC</t>
  </si>
  <si>
    <t>STE 800, 230 PARK AVE, NEW YORK, NY 10169 USA</t>
  </si>
  <si>
    <t>1095-6433</t>
  </si>
  <si>
    <t>1531-4332</t>
  </si>
  <si>
    <t>COMP BIOCHEM PHYS A</t>
  </si>
  <si>
    <t>Comp. Biochem. Physiol. A-Mol. Integr. Physiol.</t>
  </si>
  <si>
    <t>10.1016/j.cbpa.2021.111037</t>
  </si>
  <si>
    <t>Biochemistry &amp; Molecular Biology; Physiology; Zoology</t>
  </si>
  <si>
    <t>TW6QO</t>
  </si>
  <si>
    <t>WOS:000682522100013</t>
  </si>
  <si>
    <t>Sun, WK; Zhou, XH; Yang, L; Zhou, DX; Li, F</t>
  </si>
  <si>
    <t>Sun, Weikang; Zhou, Xinghua; Yang, Lei; Zhou, Dongxu; Li, Feng</t>
  </si>
  <si>
    <t>Construction of the Mean Sea Surface Model Combined HY-2A With DTU18 MSS in the Antarctic Ocean</t>
  </si>
  <si>
    <t>FRONTIERS IN ENVIRONMENTAL SCIENCE</t>
  </si>
  <si>
    <t>HY-2A; DTU18 MSS; sentinel-3A; validation; wavelength; absolute error; power spectral density</t>
  </si>
  <si>
    <t>SATELLITE ALTIMETRY; GRAVITY; TOPEX/POSEIDON; CIRCULATION; RECOVERY; ORBIT</t>
  </si>
  <si>
    <t>A new Mean Sea Surface (MSS) model called Shandong University of Science and Technology Antarctic Mean Sea Surface model (SDUST_ANT MSS) in the Antarctic Ocean is presented and validated in this paper. The SDUST_ANT MSS updates the DTU18 MSS with 6 years of Exact Repeat Mission (ERM) and Geodetic Mission (GM) data from HY-2A. Collinear adjustment was applied to all the ERM data to obtain the along-track mean sea surface height. Oceanic variability has been removed from the GM data. Crossover adjustment was applied to both the ERM and GM data. We constructed the HY-2A_MSS using HY-2A altimetry data based on optimal interpolation method. Several types of errors (such as white noise, residual effect of oceanic variability, and long wavelength bias) have been taken into account for the determination of MSS using optimal interpolation method. The SDUST_ANT MSS was constructed by mapping HY-2A_MSS onto the DTU18 MSS. The SDUST_ANT MSS was compared with DTU18 MSS and CNES_CLS15 MSS. At wavelengths below 150 km, differences between models are consistent with seafloor topographic gradient. At wavelengths above 150 km, differences are affected by the mesoscale activities and the altimetry errors in coastal areas. The errors of the three models, as indicated by their power spectral densities (PSDs), are of similar orders of magnitude. The absolute error is slightly smaller in SDUST_ANT than in CNES_CLS15 or DTU18.</t>
  </si>
  <si>
    <t>[Sun, Weikang; Zhou, Xinghua] Shandong Univ Sci &amp; Technol, Coll Geodesy &amp; Geomat, Qingdao, Peoples R China; [Sun, Weikang; Zhou, Xinghua; Yang, Lei; Zhou, Dongxu] Minist Nat Resources, Inst Oceanog 1, Marine Survey Res Ctr, Qingdao, Peoples R China; [Yang, Lei] Qian Xuesen Lab Space Technol, Beijing, Peoples R China; [Li, Feng] Qingdao iSpatial Ocean Technol Co Ltd, Qingdao, Peoples R China</t>
  </si>
  <si>
    <t>Shandong University of Science &amp; Technology; First Institute of Oceanography, Ministry of Natural Resources; Ministry of Natural Resources of the People's Republic of China</t>
  </si>
  <si>
    <t>Yang, L (corresponding author), Minist Nat Resources, Inst Oceanog 1, Marine Survey Res Ctr, Qingdao, Peoples R China.;Yang, L (corresponding author), Qian Xuesen Lab Space Technol, Beijing, Peoples R China.</t>
  </si>
  <si>
    <t>leiyang@fio.org.cn</t>
  </si>
  <si>
    <t>zhou, xt/GWZ-9212-2022; zhou, xing/GQP-4516-2022; Zhou, Xiangfeng/KDO-8724-2024</t>
  </si>
  <si>
    <t>Yang, Lei/0000-0002-6503-0505</t>
  </si>
  <si>
    <t>National Natural Science Foundation of China [41806214]; Open Research Foundation of the Qian Xuesen Laboratory of Space Technology, CAST [GZZKFJJ2020005]; Natural Science Foundation of Shandong Province [ZR2017QD011, ZR2020QD087]; open foundation of Key Laboratory of Marine Environmental Survey Technology and Application Ministry of Natural Resource [MESTA-2020-B005]</t>
  </si>
  <si>
    <t>National Natural Science Foundation of China(National Natural Science Foundation of China (NSFC)); Open Research Foundation of the Qian Xuesen Laboratory of Space Technology, CAST; Natural Science Foundation of Shandong Province(Natural Science Foundation of Shandong Province); open foundation of Key Laboratory of Marine Environmental Survey Technology and Application Ministry of Natural Resource</t>
  </si>
  <si>
    <t>This research was funded by the National Natural Science Foundation of China (grant number 41806214), the Open Research Foundation of the Qian Xuesen Laboratory of Space Technology, CAST (grant number GZZKFJJ2020005), the Natural Science Foundation of Shandong Province (grant number ZR2017QD011, ZR2020QD087), and the open foundation of Key Laboratory of Marine Environmental Survey Technology and Application Ministry of Natural Resource (grant number MESTA-2020-B005).</t>
  </si>
  <si>
    <t>2296-665X</t>
  </si>
  <si>
    <t>FRONT ENV SCI-SWITZ</t>
  </si>
  <si>
    <t>Front. Environ. Sci.</t>
  </si>
  <si>
    <t>JUL 21</t>
  </si>
  <si>
    <t>10.3389/fenvs.2021.697111</t>
  </si>
  <si>
    <t>TU2IT</t>
  </si>
  <si>
    <t>WOS:000680864500001</t>
  </si>
  <si>
    <t>Cañete, I; Friedlander, AM; Sala, E; Figueroa, T</t>
  </si>
  <si>
    <t>Canete, Ivan; Friedlander, Alan M.; Sala, Enric; Figueroa, Tania</t>
  </si>
  <si>
    <t>Podding of Paralomis granulosa (Lithodidae) juveniles inhabiting kelp forests of the Cape Horn Archipelago (Chile)</t>
  </si>
  <si>
    <t>NAUPLIUS</t>
  </si>
  <si>
    <t>Diego Ramirez Island-Drake Passage Marine Park; ecological recruitment; king crab ecology; seaweed-animal relationship; sub-Antarctic benthos</t>
  </si>
  <si>
    <t>SOUTHERN KING CRAB; BEAGLE CHANNEL; PARALITHODES-CAMTSCHATICUS; AGGREGATING BEHAVIOR; MACROCYSTIS-PYRIFERA; MAJA-SQUINADO; TANNER CRABS; AUKE BAY; FISHERIES; DECAPODA</t>
  </si>
  <si>
    <t>Subtidal observations along the Cape Horn Archipelago, Chile (CHA) in February 2017 revealed an unusually large aggregation (or pod) of juvenile false king crabs, Paralomis granulosa (Hombron and Jacquinot, 1846), in association with kelp forests (Macrocystis pyrifera and Lessonia spp.). This is the first study to report a dense aggregation of juveniles of this crab, which was observed at Wollaston Island (WI) (similar to 10 m). Paralomis granulosa was present on half the transects at WI (N=10), with a density of 3.1 +/- 9.9 ind. m(-2). Photographs from the podding event showed densities of P. granulosa ranging from 63 to 367 ind. plant (190 +/- 133 ind. plant(-1). Juveniles (32.8 +/- 7.3 mm carapace length) were recorded on kelp fronds, holdfasts, kelp stipes, and adjacent rocky bottom of this protected coast. This podding behavior resembles that of other juvenile king crabs in terms of homogeneity in size structure and maybe a predator avoidance mechanism. These observations highlight three aspects of this kelp-animal relationship: (i) identification of a previously unknown ecosystem service provided by sub-Antarctic kelp forests to the associated benthic fauna; (ii) the ecological value of kelp as a bioengineering species; and (iii) pods being an important attribute for population assessments. Due to the importance of the CHA in the life cycle for this and other species, we suggest the archipelago be incorporated within the recently established Diego Ramirez Island-Drake Passage Marine Park.</t>
  </si>
  <si>
    <t>[Canete, Ivan; Figueroa, Tania] Univ Magallanes, Fac Sci, Dept Sci &amp; Nat Resources, Punta Arenas, Chile; [Friedlander, Alan M.; Sala, Enric] Natl Geog Soc, Pristine Seas, Washington, DC USA; [Friedlander, Alan M.] Univ Hawaii, Hawaii Inst Marine Biol, Kaneohe, HI USA</t>
  </si>
  <si>
    <t>Universidad de Magallanes; National Geographic Society; University of Hawaii System</t>
  </si>
  <si>
    <t>Cañete, I (corresponding author), Univ Magallanes, Fac Sci, Dept Sci &amp; Nat Resources, Punta Arenas, Chile.</t>
  </si>
  <si>
    <t>ivan.canete@umag.cl; alan.friedlander@hawaii.edu; esala@ngs.org; t.figueroa.d@gmail.com</t>
  </si>
  <si>
    <t>Canete, Juan/0000-0002-1293-886X; Figueroa, Tania/0000-0003-4928-4924</t>
  </si>
  <si>
    <t>National Geographic Society; Chilean Fisheries and Aquaculture Service [224/2016]; Direccion de Investigacion, Universidad de Magallanes, Chile [026504, 060804]</t>
  </si>
  <si>
    <t>National Geographic Society(National Geographic Society); Chilean Fisheries and Aquaculture Service; Direccion de Investigacion, Universidad de Magallanes, Chile</t>
  </si>
  <si>
    <t>We thank the private and public institutions supporting this research, particularly the Pristine Seas Program, National Geographic Society. Field work authorization was sponsored by the Chilean Fisheries and Aquaculture Service under memorandum Pesca Investigacion N degrees 224/2016 -SUBPESCA. This work was supported by the Direccion de Investigacion, Universidad de Magallanes, Chile (grant 026504) and Cimar 25 Fjord (Program 060804).</t>
  </si>
  <si>
    <t>SOC BRASILEIRA CARCINOLOGIA</t>
  </si>
  <si>
    <t>RIO GRANDE RS</t>
  </si>
  <si>
    <t>LAB CRUSTACEA DOC FURG, AV ITALIA KM 8, CAIXA POSTAL 474, RIO GRANDE RS, CARREIROS 96201-900, BRAZIL</t>
  </si>
  <si>
    <t>0104-6497</t>
  </si>
  <si>
    <t>2358-2936</t>
  </si>
  <si>
    <t>Nauplius</t>
  </si>
  <si>
    <t>e2021031</t>
  </si>
  <si>
    <t>10.1590/2358-2936e2021031</t>
  </si>
  <si>
    <t>Marine &amp; Freshwater Biology; Zoology</t>
  </si>
  <si>
    <t>TT7DQ</t>
  </si>
  <si>
    <t>WOS:000680505500001</t>
  </si>
  <si>
    <t>Avila, C; Angulo-Preckler, C</t>
  </si>
  <si>
    <t>Avila, Conxita; Angulo-Preckler, Carlos</t>
  </si>
  <si>
    <t>A Minireview on Biodiscovery in Antarctic Marine Benthic Invertebrates</t>
  </si>
  <si>
    <t>bioactive natural products; Porifera; Cnidaria; Mollusca; Bryozoa; Nemertea; Echinodermata; Tunicata</t>
  </si>
  <si>
    <t>CUCUMBER STAUROCUCUMIS LIOUVILLEI; SPONGE KIRKPATRICKIA-VARIALOSA; NATURAL-PRODUCTS; TRITERPENE GLYCOSIDES; DEEP-SEA; BIOLOGICAL-ACTIVITY; BIOACTIVE PEPTIDES; SULFATED POLYHYDROXYSTEROIDS; STEROID OLIGOGLYCOSIDES; DISCORHABDIN ALKALOIDS</t>
  </si>
  <si>
    <t>Antarctic marine benthic invertebrates are an underexplored source of natural products for biodiscovery. Bioactive marine natural products from Antarctica are reviewed here for their potential use as drugs, considering the main examples in Porifera (15 species), Cnidaria (eight species), Mollusca (one species), Bryozoa (one species), Nemertea (one species), Echinodermata (six species), and Tunicata (five species). A wide variety of bioactivities are reported here, from antitumoral to antimicrobial activities, as well as against neurodegenerative diseases and others. If we aim to use their chemodiversity for human benefits we must maintain the biodiversity, solving the supply problem, speeding up the process, and decreasing research costs to fully exploit the benefits of biodiscovery in Antarctic Marine Natural Products in a near future in a sustainable way.</t>
  </si>
  <si>
    <t>[Avila, Conxita; Angulo-Preckler, Carlos] Univ Barcelona, Fac Biol, Biodivers Res Inst IrBIO, Dept Evolutionary Biol Ecol &amp; Environm Sci, Barcelona, Spain; [Angulo-Preckler, Carlos] UiT Arctic Univ Norway, Norwegian Coll Fishery Sci, Tromso, Norway</t>
  </si>
  <si>
    <t>University of Barcelona; UiT The Arctic University of Tromso</t>
  </si>
  <si>
    <t>Avila, C (corresponding author), Univ Barcelona, Fac Biol, Biodivers Res Inst IrBIO, Dept Evolutionary Biol Ecol &amp; Environm Sci, Barcelona, Spain.</t>
  </si>
  <si>
    <t>conxita.avila@ub.edu</t>
  </si>
  <si>
    <t>Angulo_Preckler, Carlos/A-6456-2011</t>
  </si>
  <si>
    <t>Angulo_Preckler, Carlos/0000-0001-9028-274X</t>
  </si>
  <si>
    <t>Spanish government [CTM2016-78901, PID2019-107979/ANT]; Catalan government [2017SGR1120]; Ramon Areces Foundation</t>
  </si>
  <si>
    <t>Spanish government(Spanish Government); Catalan government; Ramon Areces Foundation</t>
  </si>
  <si>
    <t>This work was developed within the frames of the BLUEBIO and CHALLENGE research projects (CTM2016-78901 and PID2019-107979/ANT, Spanish government) and with support from a 2017SGR1120 grant of the Catalan government. CA-P was supported by the Ramon Areces Foundation.</t>
  </si>
  <si>
    <t>10.3389/fmars.2021.686477</t>
  </si>
  <si>
    <t>TT0GV</t>
  </si>
  <si>
    <t>WOS:000680031100001</t>
  </si>
  <si>
    <t>Wyatt, NJ; Milne, A; Achterberg, EP; Browning, TJ; Bouman, HA; Woodward, EMS; Lohan, MC</t>
  </si>
  <si>
    <t>Wyatt, Neil J.; Milne, Angela; Achterberg, Eric P.; Browning, Thomas J.; Bouman, Heather A.; Woodward, E. Malcolm S.; Lohan, Maeve C.</t>
  </si>
  <si>
    <t>Seasonal cycling of zinc and cobalt in the south-eastern Atlantic along the GEOTRACES GA10 section</t>
  </si>
  <si>
    <t>DISSOLVED COBALT; CO-LIMITATION; FLOW-INJECTION; TRACE-METAL; SOUTHEASTERN ATLANTIC; BIOGEOCHEMICAL CYCLE; DEPOSITION FLUXES; NUTRIENT; PHYTOPLANKTON; OCEAN</t>
  </si>
  <si>
    <t>We report the distributions and stoichiometry of dissolved zinc (dZn) and cobalt (dCo) in sub-tropical and sub-Antarctic waters of the south-eastern Atlantic Ocean during austral spring 2010 and summer 2011/2012. In subtropical surface waters, mixed-layer dZn and dCo concentrations during early spring were 1.60 +/- 2.58 nM and 30 +/- 11 pM, respectively, compared with summer values of 0.14 +/- 0.08 nM and 24 +/- 6 pM. The elevated spring dZn concentrations resulted from an apparent offshore transport of elevated dZn at depths between 20-55 m, derived from the Agulhas Bank. In contrast, open-ocean sub-Antarctic surface waters displayed largely consistent inter-seasonal mixed-layer dZn and dCo concentrations of 0.10 +/- 0.07 nM and 11 +/- 5 pM, respectively. Trace metal stoichiometry, calculated from concentration inventories, suggests a greater overall removal for dZn relative to dCo in the upper water column of the south-eastern Atlantic, with inter-seasonally decreasing dZn / dCo inventory ratios of 19-5 and 13-7 mol mol(-1) for sub-tropical surface water and sub-Antarctic surface water, respectively. In this paper, we investigate how the seasonal influences of external input and phytoplankton succession may relate to the distribution of dZn and dCo and variation in dZn / dCo stoichiometry across these two distinct ecological regimes in the south-eastern Atlantic.</t>
  </si>
  <si>
    <t>[Wyatt, Neil J.; Lohan, Maeve C.] Univ Southampton, Natl Oceanog Ctr, Ocean &amp; Earth Sci, Southampton, Hants, England; [Milne, Angela] Univ Plymouth, Sch Geog Earth &amp; Environm Sci, Plymouth, Devon, England; [Achterberg, Eric P.; Browning, Thomas J.] GEOMAR Helmholtz Ctr Ocean Res, Marine Biogeochem Div, Kiel, Germany; [Bouman, Heather A.] Univ Oxford, Dept Earth Sci, Oxford, England; [Woodward, E. Malcolm S.] Plymouth Marine Lab, Plymouth, Devon, England</t>
  </si>
  <si>
    <t>NERC National Oceanography Centre; University of Southampton; University of Plymouth; Helmholtz Association; GEOMAR Helmholtz Center for Ocean Research Kiel; University of Oxford; Plymouth Marine Laboratory</t>
  </si>
  <si>
    <t>Wyatt, NJ (corresponding author), Univ Southampton, Natl Oceanog Ctr, Ocean &amp; Earth Sci, Southampton, Hants, England.</t>
  </si>
  <si>
    <t>n.j.wyatt@soton.ac.uk</t>
  </si>
  <si>
    <t>Woodward, Ernest M S/D-5755-2016; Browning, Thomas J/B-8451-2019; Achterberg, Eric P/C-5820-2009; Milne, Angela/O-2786-2016</t>
  </si>
  <si>
    <t>Browning, Thomas J/0000-0002-2864-6087; Milne, Angela/0000-0002-3304-8962; Bouman, Heather/0000-0002-7407-9431; Lohan, Maeve/0000-0002-5340-3108; Wyatt, Neil/0000-0002-1080-7778</t>
  </si>
  <si>
    <t>UKGEOTRACES National Environmental Research Council consortium grant [NE/H006095/1, NE/H004475/1]</t>
  </si>
  <si>
    <t>UKGEOTRACES National Environmental Research Council consortium grant</t>
  </si>
  <si>
    <t>This research has been supported by the UKGEOTRACES National Environmental Research Council consortium grant (grant nos. NE/H006095/1 and NE/H004475/1).</t>
  </si>
  <si>
    <t>10.5194/bg-18-4265-2021</t>
  </si>
  <si>
    <t>TP3CN</t>
  </si>
  <si>
    <t>Green Accepted, gold, Green Submitted</t>
  </si>
  <si>
    <t>WOS:000677471600001</t>
  </si>
  <si>
    <t>Van den Berk, J; Drijfhout, SS; Hazeleger, W</t>
  </si>
  <si>
    <t>van den Berk, J.; Drijfhout, S. S.; Hazeleger, W.</t>
  </si>
  <si>
    <t>Circulation adjustment in the Arctic and Atlantic in response to Greenland and Antarctic mass loss</t>
  </si>
  <si>
    <t>CLIMATE DYNAMICS</t>
  </si>
  <si>
    <t>Meltwater; Atlantic Ocean; Subpolar gyre; Coupled climate models</t>
  </si>
  <si>
    <t>MERIDIONAL OVERTURNING CIRCULATION; DEEP-WATER FORMATION; 2 STABLE EQUILIBRIA; SEA-ICE MODEL; NORTH-ATLANTIC; FRESH-WATER; THERMOHALINE CIRCULATION; SOUTHERN-OCEAN; NORDIC SEAS; VARIABILITY</t>
  </si>
  <si>
    <t>Following a high-end projection for mass loss from the Greenland and Antarctic ice-sheets, a freshwater forcing was applied to the ocean surface in the coupled climate model EC-Earthv2.2 to study the response to meltwater release assuming an RCP8.5 emission scenario. The meltwater forcing results in an overall freshening of the Atlantic that is dominated by advective changes, strongly enhancing the freshening due to dilution by Greenland meltwater release. The strongest circulation change occurs in the western North Atlantic subpolar gyre and in the gyre in the Nordic Seas, leaving the North Atlantic subpolar gyre the region where most advective salt export occurs. Associated with counteracting changes in both gyre systems, the response of the Atlantic Meridional Overturning Circulation is rather weak over the 190 years of the experiment; it reduces with only 1 Sv ( = 10(6) m (3) s (-1)), compared to changes in the subpolar gyre of 5 Sv. This relative insensitivity of the AMOC to the forcing is attributed to enhanced convection in the Nordic Seas and stronger overflows that compensate reduced convection in the Labrador and Irminger Seas, and lead to higher sea surface temperatures (SSTs) in the former and lower SSTs in the latter region. The weakened subpolar gyre in the west also shifts the North Atlantic Current and the subpolar-subtropical gyre boundary; with the subtropical gyre expanding, and the western subpolar gyre contracting. The SST changes are associated with obduction of Atlantic waters in the Nordic Seas that would otherwise obduct in the western subpolar gyre. The anomalous SSTs also induce a coupled ocean-atmosphere feedback that further strengthens the Nordic Seas circulation and weakens the western subpolar gyre. This occurs because the anomalous SST-gradient enhances the westerlies, especially between 65 degrees N and 70 degrees N; the associated increase in windstress curl consequently enhances the gyre in the Nordic Seas. This feedback is driven by the Greenland mass loss; Antarctic meltwater discharge causes a weaker, opposite response and more particularly affects the South Atlantic salinity budget through northward advection of low-salinity waters from the Southern Ocean. This effect, however, becomes visible only hundred years after the onset of Antarctic mass loss. We conclude that the response to freshwater forcing from both ice caps can lead to a complex response in the Atlantic circulation systems with opposing effects in different subbasins. The relative strength of the response is time-dependent and largely governed by internal feedbacks; the forcing acts mainly as a trigger and is decoupled from the response.</t>
  </si>
  <si>
    <t>[van den Berk, J.; Drijfhout, S. S.] Royal Netherlands Meteorol Inst, De Bilt, Netherlands; [Drijfhout, S. S.; Hazeleger, W.] Univ Utrecht, Utrecht, Netherlands</t>
  </si>
  <si>
    <t>Royal Netherlands Meteorological Institute; Utrecht University</t>
  </si>
  <si>
    <t>Van den Berk, J (corresponding author), Royal Netherlands Meteorol Inst, De Bilt, Netherlands.</t>
  </si>
  <si>
    <t>jellevandenberk@gmail.com; sybren.drijfhout@knmi.nl; w.hazeleger@uu.nl</t>
  </si>
  <si>
    <t>Hazeleger, Wilco/0000-0002-4566-958X</t>
  </si>
  <si>
    <t>European Commission's 7th Framework Programme [282672]</t>
  </si>
  <si>
    <t>European Commission's 7th Framework Programme(European Union (EU)European Commission Joint Research Centre)</t>
  </si>
  <si>
    <t>This work was funded by the European Commission's 7th Framework Programme, under Grant Agreement number 282672, EMBRACE project. The authors thank the three anonymous referees for their valuable comments and suggestions that have improved the manuscript greatly.</t>
  </si>
  <si>
    <t>0930-7575</t>
  </si>
  <si>
    <t>1432-0894</t>
  </si>
  <si>
    <t>CLIM DYNAM</t>
  </si>
  <si>
    <t>Clim. Dyn.</t>
  </si>
  <si>
    <t>7-8</t>
  </si>
  <si>
    <t>10.1007/s00382-021-05755-3</t>
  </si>
  <si>
    <t>UR3AS</t>
  </si>
  <si>
    <t>WOS:000675330300001</t>
  </si>
  <si>
    <t>Heather, FJ; Stuart-Smith, RD; Blanchard, JL; Fraser, KM; Edgar, GJ</t>
  </si>
  <si>
    <t>Heather, Freddie J.; Stuart-Smith, Rick D.; Blanchard, Julia L.; Fraser, Kate M.; Edgar, Graham J.</t>
  </si>
  <si>
    <t>Reef communities show predictable undulations in linear abundance size spectra from copepods to sharks</t>
  </si>
  <si>
    <t>ECOLOGY LETTERS</t>
  </si>
  <si>
    <t>body size; epifauna; power law; secondary structure; sine curve; sinusoidal; size spectrum; size-based; UVC sampling bias</t>
  </si>
  <si>
    <t>FISH ASSEMBLAGES; BODY-SIZE; PREY REFUGES; INDICATORS; FISHERIES; DISTRIBUTIONS; ORGANIZATION; TEMPERATE; PARTICLES; PREDATION</t>
  </si>
  <si>
    <t>Among the more widely accepted general hypotheses in ecology is that community relationships between abundance and body size follow a log-linear size spectrum, from the smallest consumers to the largest predators (i.e. 'bacteria to whales'). Nevertheless, most studies only investigate small subsets of this spectrum, and note that extreme size classes in survey data deviate from linear expectations. In this study, we fit size spectra to field data from 45 rocky and coral reef sites along a 28 degrees latitudinal gradient, comprising individuals from 0.125 mm to 2 m in body size. We found that 96% of the variation in abundance along this 'extended' size gradient was described by a single linear function across all sites. However, consistent 'wobbles' were also observed, with subtle peaks and troughs in abundance along the spectrum, which varied with sea temperature, as predicted by theory relating to trophic cascades.</t>
  </si>
  <si>
    <t>[Heather, Freddie J.; Stuart-Smith, Rick D.; Blanchard, Julia L.; Fraser, Kate M.; Edgar, Graham J.] Univ Tasmania, Inst Marine &amp; Antarctic Studies, Hobart, Tas, Australia</t>
  </si>
  <si>
    <t>Heather, FJ (corresponding author), IMAS Taroona, 15-21 Nubeena Cres, Hobart, Tas 7053, Australia.</t>
  </si>
  <si>
    <t>freddieheather@gmail.com</t>
  </si>
  <si>
    <t>Edgar, Graham/AAY-3797-2020; Heather, Freddie/KBA-4476-2024; Stuart-Smith, Rick/I-5214-2019</t>
  </si>
  <si>
    <t>Edgar, Graham/0000-0003-0833-9001; Stuart-Smith, Rick/0000-0002-8874-0083; Heather, Freddie J./0000-0002-1650-2617</t>
  </si>
  <si>
    <t>Australian Research Council [LP150100761]; Australian Research Council [LP150100761] Funding Source: Australian Research Council</t>
  </si>
  <si>
    <t>Australian Research Council(Australian Research Council); Australian Research Council(Australian Research Council)</t>
  </si>
  <si>
    <t>Australian Research Council, Grant/Award Number: LP150100761</t>
  </si>
  <si>
    <t>1461-023X</t>
  </si>
  <si>
    <t>1461-0248</t>
  </si>
  <si>
    <t>ECOL LETT</t>
  </si>
  <si>
    <t>Ecol. Lett.</t>
  </si>
  <si>
    <t>10.1111/ele.13844</t>
  </si>
  <si>
    <t>UN3FG</t>
  </si>
  <si>
    <t>WOS:000675243000001</t>
  </si>
  <si>
    <t>Grace, MK; Akçakaya, HR; Bennett, EL; Brooks, TM; Heath, A; Hedges, S; Hilton-Taylor, C; Hoffmann, M; Hochkirch, A; Jenkins, R; Keith, DA; Long, B; Mallon, DP; Meijaard, E; Milner-Gulland, EJ; Rodriguez, JP; Stephenson, PJ; Stuart, SN; Young, RP; Acebes, P; Alfaro-Shigueto, J; Alvarez-Clare, S; Andriantsimanarilafy, RR; Arbetman, M; Azat, C; Bacchetta, G; Badola, R; Barcelos, LMD; Barreiros, JP; Basak, S; Berger, DJ; Bhattacharyya, S; Bino, G; Borges, PA; Boughton, RK; Brockmann, HJ; Buckley, HL; Burfield, IJ; Burton, J; Camacho-Badani, T; Cano-Alonso, LS; Carmichael, RH; Carrero, C; Carroll, JP; Catsadorakis, G; Chapple, DG; Chapron, G; Chowdhury, GW; Claassens, L; Cogoni, D; Constantine, R; Craig, CA; Cunningham, AA; Dahal, N; Daltry, JC; Das, GC; Dasgupta, N; Davey, A; Davies, K; Develey, P; Elangovan, V; Fairclough, D; Di Febbraro, M; Fenu, G; Fernandes, FM; Fernandez, EP; Finucci, B; Földesi, R; Foley, CM; Ford, M; Forstner, MRJ; García, N; Garcia-Sandoval, R; Gardner, PC; Garibay-Orijel, R; Gatan-Balbas, M; Gauto, I; Ghazi, MGU; Godfrey, SS; Gollock, M; González, BA; Grant, TD; Gray, T; Gregory, AJ; van Grunsven, RHA; Gryzenhout, M; Guernsey, NC; Gupta, G; Hagen, C; Hagen, CA; Hall, MB; Hallerman, E; Hare, K; Hart, T; Hartdegen, R; Harvey-Brown, Y; Hatfield, R; Hawke, T; Hermes, C; Hitchmough, R; Hoffmann, PM; Howarth, C; Hudson, MA; Hussain, SA; Huveneers, C; Jacques, H; Jorgensen, D; Katdare, S; Katsis, LKD; Kaul, R; Kaunda-Arara, B; Keith-Diagne, L; Kraus, DT; de Lima, TM; Lindeman, K; Linsky, J; Louis, E ; Loy, A; Lughadha, EN; Mangel, JC; Marinari, PE; Martin, GM; Martinelli, G; McGowan, PJK; McInnes, A; Mendes, ETB; Millard, MJ; Mirande, C; Money, D; Monks, JM; Morales, CL; Mumu, NN; Negrao, R; Nguyen, AH; Niloy, MNH; Norbury, GL; Nordmeyer, C; Norris, D; O'Brien, M; Oda, GA; Orsenigo, S; Outerbridge, ME; Pasachnik, S; Pérez-Jiménez, JC; Pike, C; Pilkington, F; Plumb, G; Portela, RDQ; Prohaska, A; Quintana, MG; Rakotondrasoa, EF; Ranglack, DH; Rankou, H; Rawat, AP; Reardon, JT; Rheingantz, ML; Richter, SC; Rivers, MC; Rogers, LR; da Rosa, P; Rose, P; Royer, E; Ryan, C; de Mitcheson, YJS; Salmon, L; Salvador, CH; Samways, MJ; Sanjuan, T; Dos Santos, AS; Sasaki, H; Schutz, E; Scott, HA; Scott, RM; Serena, F; Sharma, SP; Shuey, JA; Silva, CJP; Simaika, JP; Smith, DR; Spaet, JLY; Sultana, S; Talukdar, BK; Tatayah, V; Thomas, P; Tringali, A; Hoang, TD; Tuboi, C; Usmani, AA; Vasco-Palacios, AM; Vié, JC; Virens, J; Walker, A; Wallace, B; Waller, LJ; Wang, H; Wearn, OR; van Weerd, M; Weigmann, S; Willcox, D; Woinarski, J; Yong, JWH; Young, S</t>
  </si>
  <si>
    <t>Grace, Molly K.; Akcakaya, H. Resit; Bennett, Elizabeth L.; Brooks, Thomas M.; Heath, Anna; Hedges, Simon; Hilton-Taylor, Craig; Hoffmann, Michael; Hochkirch, Axel; Jenkins, Richard; Keith, David A.; Long, Barney; Mallon, David P.; Meijaard, Erik; Milner-Gulland, E. J.; Paul Rodriguez, Jon; Stephenson, P. J.; Stuart, Simon N.; Young, Richard P.; Acebes, Pablo; Alfaro-Shigueto, Joanna; Alvarez-Clare, Silvia; Andriantsimanarilafy, Raphali Rodlis; Arbetman, Marina; Azat, Claudio; Bacchetta, Gianluigi; Badola, Ruchi; Barcelos, Luis M. D.; Barreiros, Joao Pedro; Basak, Sayanti; Berger, Danielle J.; Bhattacharyya, Sabuj; Bino, Gilad; Borges, Paulo A., V; Boughton, Raoul K.; Brockmann, H. Jane; Buckley, Hannah L.; Burfield, Ian J.; Burton, James; Camacho-Badani, Teresa; Santiago Cano-Alonso, Luis; Carmichael, Ruth H.; Carrero, Christina; P Carroll, John; Catsadorakis, Giorgos; Chapple, David G.; Chapron, Guillaume; Chowdhury, Gawsia Wahidunnessa; Claassens, Louw; Cogoni, Donatella; Constantine, Rochelle; Craig, Christie Anne; Cunningham, Andrew A.; Dahal, Nishma; Daltry, Jennifer C.; Das, Goura Chandra; Dasgupta, Niladri; Davey, Alexandra; Davies, Katharine; Develey, Pedro; Elangovan, Vanitha; Fairclough, David; Di Febbraro, Mirko; Fenu, Giuseppe; Fernandes, Fernando Moreira; Fernandez, Eduardo Pinheiro; Finucci, Brittany; Foldesi, Rita; Foley, Catherine M.; Ford, Matthew; Forstner, Michael R. J.; Garcia, Nestor; Garcia-Sandoval, Ricardo; Gardner, Penny C.; Garibay-Orijel, Roberto; Gatan-Balbas, Marites; Gauto, Irene; Ghazi, Mirza Ghazanfar Ullah; Godfrey, Stephanie S.; Gollock, Matthew; Gonzalez, Benito A.; Grant, Tandora D.; Gray, Thomas; Gregory, Andrew J.; van Grunsven, Roy H. A.; Gryzenhout, Marieka; Guernsey, Noelle C.; Gupta, Garima; Hagen, Christina; Hagen, Christian A.; Hall, Madison B.; Hallerman, Eric; Hare, Kelly; Hart, Tom; Hartdegen, Ruston; Harvey-Brown, Yvette; Hatfield, Richard; Hawke, Tahneal; Hermes, Claudia; Hitchmough, Rod; Hoffmann, Pablo Melo; Howarth, Charlie; Hudson, Michael A.; Hussain, Syed Ainul; Huveneers, Charlie; Jacques, Helene; Jorgensen, Dennis; Katdare, Suyash; Katsis, Lydia K. D.; Kaul, Rahul; Kaunda-Arara, Boaz; Keith-Diagne, Lucy; Kraus, Daniel T.; de Lima, Thales Moreira; Lindeman, Ken; Linsky, Jean; Louis, Edward, Jr.; Loy, Anna; Lughadha, Eimear Nic; Mangel, Jeffrey C.; Marinari, Paul E.; Martin, Gabriel M.; Martinelli, Gustavo; McGowan, Philip J. K.; McInnes, Alistair; Mendes, Eduardo Teles Barbosa; Millard, Michael J.; Mirande, Claire; Money, Daniel; Monks, Joanne M.; Laura Morales, Carolina; Mumu, Nazia Naoreen; Negrao, Raquel; Anh Ha Nguyen; Niloy, Md Nazmul Hasan; Norbury, Grant Leslie; Nordmeyer, Cale; Norris, Darren; O'Brien, Mark; Oda, Gabriela Akemi; Orsenigo, Simone; Outerbridge, Mark Evan; Pasachnik, Stesha; Perez-Jimenez, Juan Carlos; Pike, Charlotte; Pilkington, Fred; Plumb, Glenn; Portela, Rita de Cassia Quitete; Prohaska, Ana; Quintana, Manuel G.; Rakotondrasoa, Eddie Fanantenana; Ranglack, Dustin H.; Rankou, Hassan; Rawat, Ajay Prakash; Reardon, James Thomas; Rheingantz, Marcelo Lopes; Richter, Stephen C.; Rivers, Malin C.; Rogers, Luke Rollie; da Rosa, Patricia; Rose, Paul; Royer, Emily; Ryan, Catherine; de Mitcheson, Yvonne J. Sadovy; Salmon, Lily; Salvador, Carlos Henrique; Samways, Michael J.; Sanjuan, Tatiana; Dos Santos, Amanda Souza; Sasaki, Hiroshi; Schutz, Emmanuel; Scott, Heather Ann; Scott, Robert Michael; Serena, Fabrizio; Sharma, Surya P.; Shuey, John A.; Silva, Carlos Julio Polo; Simaika, John P.; Smith, David R.; Spaet, Julia L. Y.; Sultana, Shanjida; Talukdar, Bibhab Kumar; Tatayah, Vikash; Thomas, Philip; Tringali, Angela; Hoang Trinh-Dinh; Tuboi, Chongpi; Usmani, Aftab Alam; Vasco-Palacios, Aida M.; Vie, Jean-Christophe; Virens, Jo; Walker, Alan; Wallace, Bryan; Waller, Lauren J.; Wang, Hongfeng; Wearn, Oliver R.; van Weerd, Merlijn; Weigmann, Simon; Willcox, Daniel; Woinarski, John; Yong, Jean W. H.; Young, Stuart</t>
  </si>
  <si>
    <t>Testing a global standard for quantifying species recovery and assessing conservation impact</t>
  </si>
  <si>
    <t>conservation action; Green Status of species; IUCN; recovery categories; red list; acciones de conservacion; categorias de recuperacion; estatus verde de especies; IUCN; lista roja</t>
  </si>
  <si>
    <t>BASE-LINE SYNDROME; EXTINCTION RISK; REGRESSION</t>
  </si>
  <si>
    <t>Recognizing the imperative to evaluate species recovery and conservation impact, in 2012 the International Union for Conservation of Nature (IUCN) called for development of a Green List of Species (now the IUCN Green Status of Species). A draft Green Status framework for assessing species' progress toward recovery, published in 2018, proposed 2 separate but interlinked components: a standardized method (i.e., measurement against benchmarks of species' viability, functionality, and preimpact distribution) to determine current species recovery status (herein species recovery score) and application of that method to estimate past and potential future impacts of conservation based on 4 metrics (conservation legacy, conservation dependence, conservation gain, and recovery potential). We tested the framework with 181 species representing diverse taxa, life histories, biomes, and IUCN Red List categories (extinction risk). Based on the observed distribution of species' recovery scores, we propose the following species recovery categories: fully recovered, slightly depleted, moderately depleted, largely depleted, critically depleted, extinct in the wild, and indeterminate. Fifty-nine percent of tested species were considered largely or critically depleted. Although there was a negative relationship between extinction risk and species recovery score, variation was considerable. Some species in lower risk categories were assessed as farther from recovery than those at higher risk. This emphasizes that species recovery is conceptually different from extinction risk and reinforces the utility of the IUCN Green Status of Species to more fully understand species conservation status. Although extinction risk did not predict conservation legacy, conservation dependence, or conservation gain, it was positively correlated with recovery potential. Only 1.7% of tested species were categorized as zero across all 4 of these conservation impact metrics, indicating that conservation has, or will, play a role in improving or maintaining species status for the vast majority of these species. Based on our results, we devised an updated assessment framework that introduces the option of using a dynamic baseline to assess future impacts of conservation over the short term to avoid misleading results which were generated in a small number of cases, and redefines short term as 10 years to better align with conservation planning. These changes are reflected in the IUCN Green Status of Species Standard.</t>
  </si>
  <si>
    <t>[Grace, Molly K.] Univ Oxford, Dept Zool, Oxford OX1 3SZ, England; [Grace, Molly K.; Akcakaya, H. Resit; Hoffmann, Michael; Keith, David A.; Paul Rodriguez, Jon; Stuart, Simon N.] IUCN Species Survival Commiss, Caracas, Venezuela; [Akcakaya, H. Resit] SUNY Stony Brook, Dept Ecol &amp; Evolut, Stony Brook, NY 11794 USA; [Bennett, Elizabeth L.; Hedges, Simon] Wildlife Conservat Soc, Bronx, NY USA; [Brooks, Thomas M.] Int Union Conservat Nat IUCN, Gland, Switzerland; [Brooks, Thomas M.] Univ Philippines, World Agroforestry Ctr ICRAF, Los Banos, Philippines; [Brooks, Thomas M.] Univ Tasmania, Inst Marine &amp; Antarctic Studies, Hobart, Tas, Australia; [Heath, Anna; Stuart, Simon N.] Synchronicity Earth, London, England; [Hedges, Simon] IUCN SSC Asian Elephant Specialist Grp, Noida, India; [Hedges, Simon; Burton, James; Young, Stuart] IUCN SSC Asian Wild Cattle Specialist Grp, Chester, Cheshire, England; [Hilton-Taylor, Craig] IUCN Red List Unit, Cambridge, England; [Hoffmann, Michael] Zool Soc London, Conservat Programmes, London, England; [Hochkirch, Axel] Trier Univ, Dept Biogeog, Trier, Germany; [Jenkins, Richard] IUCN Global Species Programme, Cambridge, England; [Keith, David A.] Univ New South Wales, Ctr Ecosyst Sci, Sch Biol Earth &amp; Environm Sci, Sydney, NSW, Australia; [Keith, David A.] NSW Off Environm &amp; Heritage, Hurstville, NSW, Australia; [Long, Barney] Re Wild, Washington, DC USA; [Mallon, David P.] Manchester Metropolitan Univ, Div Biol &amp; Conservat Ecol, Manchester, Lancs, England; [Mallon, David P.] IUCN SSC Antelope Specialist Grp, Manchester, Lancs, England; [Meijaard, Erik] Univ Queensland, IUCN SSC Wild Pig Specialist Grp, Brisbane, Qld, Australia; [Meijaard, Erik] Univ Queensland, Ctr Excellence Environm Decis, Brisbane, Qld, Australia; [Milner-Gulland, E. J.] Univ Oxford, Merton Coll, Oxford, England; [Paul Rodriguez, Jon] Inst Venezolano Invest Cient, Caracas, Venezuela; [Paul Rodriguez, Jon] Provita, Caracas, Venezuela; [Stephenson, P. J.] IUCN SSC Species Monitoring Specialist Grp, Gingins, Switzerland; [Stephenson, P. J.] UNIL Univ Lausanne, Dept Ecol &amp; Evolut, Lab Conservat Biol, Lausanne, Switzerland; [Young, Richard P.; Howarth, Charlie; Hudson, Michael A.] Durrell Wildlife Conservat Trust, Trinity, England; [Acebes, Pablo] Univ Autonoma Madrid, Ctr Invest Biodiversidad &amp; Cambio Global, Dept Ecol, Madrid, Spain; [Alfaro-Shigueto, Joanna; Mangel, Jeffrey C.] ProDelphinus, Lima, Peru; [Alvarez-Clare, Silvia; Carrero, Christina] Morton Arboretum, Lisle, IL USA; [Andriantsimanarilafy, Raphali Rodlis] Madagasikara Voakajy, Antananarivo, Madagascar; [Arbetman, Marina; Laura Morales, Carolina] Univ Nacl Comahue, CONICET, INIBIOMA, Grp Ecol Polinizac, San Carlos De Bariloche, Rio Negro, Argentina; [Azat, Claudio] Univ Andres Bello, Fac Life Sci, Sustainabil Res Ctr, Santiago, Chile; [Azat, Claudio] Univ Andres Bello, Fac Life Sci, PhD Programme Conservat Med, Santiago, Chile; [Bacchetta, Gianluigi] Univ Cagliari, Ctr Conservat Biodivers, Cagliari, Italy; [Badola, Ruchi; Basak, Sayanti; Das, Goura Chandra; Dasgupta, Niladri; Ghazi, Mirza Ghazanfar Ullah; Hussain, Syed Ainul; Katdare, Suyash; Rawat, Ajay Prakash; Sharma, Surya P.; Tuboi, Chongpi; Usmani, Aftab Alam] Wildlife Inst India, Dehra Dun, Uttarakhand, India; [Barcelos, Luis M. D.] Univ Azores, Fac Agr &amp; Environm Sci, Ctr Ecol Evolut &amp; Environm Changes, Azorean Biodivers Grp, Angra Do Heroismo, Portugal; [Barreiros, Joao Pedro] Univ Acores, Fac Ciencias Agr &amp; Ambiente, Rua Capitao Joao dAvila, Angra Do Heroismo, Portugal; [Berger, Danielle J.; P Carroll, John] Univ Nebraska, Sch Nat Resources, Lincoln, NE USA; [Bhattacharyya, Sabuj] Indian Inst Sci, Ctr Ecol Sci, Bangalore, Karnataka, India; [Bino, Gilad; Hawke, Tahneal] Univ New South Wales, Ctr Ecosyst Sci, Sch Biol Earth &amp; Environm Sci, Randwick, NSW, Australia; [Borges, Paulo A., V] Univ Acores, Dept Ciencias &amp; Engn Ambiente, Azores, Portugal; [Boughton, Raoul K.] Univ Florida, Range Cattle Res &amp; Educ Ctr, Gainesville, FL USA; [Brockmann, H. Jane] Univ Florida, Dept Biol, Gainesville, FL USA; [Buckley, Hannah L.] Auckland Univ Technol, Auckland, New Zealand; [Burfield, Ian J.; Hermes, Claudia] BirdLife Int, Cambridge, England; [Camacho-Badani, Teresa] Museo Hist Nat Alcide dOrbigny, Cochabamba, Bolivia; [Santiago Cano-Alonso, Luis] Univ Complutense Madrid, Dept Zool &amp; Phys Anthropol, Madrid, Spain; [Carmichael, Ruth H.] Dauphin Isl Sea Lab, Dauphin Isl, AL USA; [Catsadorakis, Giorgos] Soc Protect Prespa, Agios Germanos, Greece; [Chapple, David G.] Monash Univ, Sch Biol Sci, Clayton, Vic, Australia; [Chapron, Guillaume] Swedish Univ Agr Sci, Dept Ecol, Riddarhyttan, Sweden; [Chowdhury, Gawsia Wahidunnessa; Niloy, Md Nazmul Hasan; Sultana, Shanjida] Univ Dhaka, Dept Zool, Dhaka, Bangladesh; [Claassens, Louw] Rhodes Univ, Grahamstown, South Africa; [Cogoni, Donatella; Fenu, Giuseppe] Univ Cagliari, Ctr Conservaz Biodiversita, Dipartimento Sci Vita &amp; Ambiente, Cagliari, Italy; [Constantine, Rochelle] Univ Auckland, Sch Biol Sci, Auckland, New Zealand; [Constantine, Rochelle] Univ Auckland, Inst Marine Sci, Auckland, New Zealand; [Craig, Christie Anne] Ctr Biodivers Conservat, Off 8 &amp; 9, Endangered Wildlife Trust, Cape Town, South Africa; [Cunningham, Andrew A.] Zool Soc London, Inst Zool, London, England; [Dahal, Nishma] CSIR, Inst Himalayan Bioresource Technol, Palampur, Himachal Prades, India; [Daltry, Jennifer C.; Davey, Alexandra; Pilkington, Fred] Fauna &amp; Flora Int, Cambridge, England; [Davies, Katharine; Harvey-Brown, Yvette; Linsky, Jean; Rivers, Malin C.] Bot Gardens Conservat Int, Richmond, Surrey, England; [Develey, Pedro] BirdLife SAVE Brasil, Fernao Dias, Brazil; [Elangovan, Vanitha; Virens, Jo] Univ Otago, Dunedin, New Zealand; [Fairclough, David] Dept Fisheries, Dept Primary Ind &amp; Reg Dev, Hillarys, WA, Australia; [Di Febbraro, Mirko] Univ Molise, Pesche, Italy; [Fernandes, Fernando Moreira] Fundacao Zoobot Belo Horizonte, Soc Amigos, Belo Horizonte, MG, Brazil; [Fernandez, Eduardo Pinheiro] Brazilian Natl Ctr Flora Conservat, Rio De Janeiro, Brazil; [Finucci, Brittany] Natl Inst Water &amp; Atmospher Res, Wellington, New Zealand; [Foldesi, Rita] Univ Bonn, Inst Crop Sci &amp; Resource Conservat, Bonn, Germany; [Foley, Catherine M.] Univ Hawaii Manoa, Hawaii Inst Marine Biol, Kaneohe, HI USA; [Ford, Matthew] Leibniz Inst Evolut &amp; Biodivers Sci, Museum Nat Kunde, Berlin, Germany; [Forstner, Michael R. J.] Texas State Univ, San Marcos, TX USA; [Garcia, Nestor] Pontificia Univ Javeriana, Bogota, Colombia; [Garcia-Sandoval, Ricardo] Univ Nacl Autonoma Mexico, Fac Ciencias, Circuito Exterior S-N,Ciudad Univ, Coyoacan, Mexico; [Gardner, Penny C.] Sabah Wildlife Dept, Danau Girang Field Ctr, Kota Kinabalu, Sabah, Malaysia; [Garibay-Orijel, Roberto] Univ Nacl Autonoma Mexico, Inst Biol, Tercer Circuito S-N,Ciudad Univ, Ciudad De Mexico, Mexico; [Gatan-Balbas, Marites] Mabuwaya Fdn Inc, ISU Garita, Cabagan, Philippines; [Gauto, Irene] Assoc Etnobot Paraguaya, Lambare, Paraguay; [Godfrey, Stephanie S.] Univ Otago, Dept Zool, Dunedin, New Zealand; [Gollock, Matthew; Pike, Charlotte] Zool Soc London, London, England; [Gonzalez, Benito A.] Univ Chile, Fac Ciencias Forestales &amp; Conservac Nat, Lab Ecol Vida Silvestre, Santiago, Chile; [Grant, Tandora D.] San Diego Zoo Inst Conservat Res, San Diego, CA USA; [Gray, Thomas] Wildlife Alliance, Phnom Penh, Cambodia; [Gregory, Andrew J.] Bowling Green State Univ, Sch Earth Environm &amp; Soc, Bowling Green, OH 43403 USA; [van Grunsven, Roy H. A.] Dutch Butterfly Conservat, Wageningen, Netherlands; [Gryzenhout, Marieka] Univ Free State, Dept Genet, Bloemfontein, South Africa; [Guernsey, Noelle C.; Jorgensen, Dennis] World Wildlife Fund Inc, Northern Great Plains Program, Bozeman, MT USA; [Gupta, Garima; McGowan, Philip J. K.] Newcastle Univ, Sch Nat &amp; Environm Sci, Newcastle, NSW, Australia; [Hagen, Christina] BirdLife South Africa, Cape Town, South Africa; [Hagen, Christian A.] Oregon State Univ, Dept Fisheries &amp; Wildlife, Corvallis, OR 97331 USA; [Hall, Madison B.] Univ Cent Florida, Dept Biol, Orlando, FL 32816 USA; [Hallerman, Eric] Virginia Polytech Inst &amp; State Univ, Dept Fish &amp; Wildlife Conservat, Blacksburg, VA 24061 USA; [Hare, Kelly] Urban Wildlife Trust, Wellington, New Zealand; [Hart, Tom] Univ Oxford, Dept Zool, Oxford, England; [Hartdegen, Ruston] Dallas Zoo, Dallas, TX USA; [Hatfield, Richard] Xerces Soc Invertebrate Conservat, Portland, OR USA; [Hitchmough, Rod] Dept Conservat Te Papa Atawhai, Wellington, New Zealand; [Hoffmann, Pablo Melo] Soc Chaua, Rua Julio Gorski, Campo Largo, Parana, Brazil; [Huveneers, Charlie] Flinders Univ S Australia, Southern Shark Ecol Grp, Adelaide, SA, Australia; [Jacques, Helene] IUCN Otter Specialist Grp, Brie Angonnesu, France; [Katsis, Lydia K. D.] Univ Oxford, Recanati Kaplan Ctr, Dept Zool, Wildlife Conservat Res Unit, Abingdon, Oxon, England; [Kaul, Rahul] Wildlife Trust India, Noida, India; [Kaunda-Arara, Boaz] Univ Eldoret, Dept Fisheries &amp; Aquat Sci, Eldoret, Kenya; [Keith-Diagne, Lucy] African Aquat Conservat Fund, Thies, Senegal; [Kraus, Daniel T.] Univ Waterloo, Sch Environm Resources &amp; Sustainabil, Waterloo, ON, Canada; [de Lima, Thales Moreira; Mendes, Eduardo Teles Barbosa] Univ Fed Rio de Janeiro, Rio De Janeiro, Brazil; [Lindeman, Ken] Florida Inst Technol, Program Sustainabil Studies, Melbourne, FL 32901 USA; [Louis, Edward, Jr.] Omahas Henry Doorly Zoo &amp; Aquarium, Omaha, NE USA; [Loy, Anna] Univ Molise, Dept Biosci &amp; Terr, Pesche, Italy; [Lughadha, Eimear Nic; Negrao, Raquel] Royal Bot Gardens, Richmond, Surrey, England; [Marinari, Paul E.] Smithsonian Conservat Biol Inst, Front Royal, VA USA; [Martin, Gabriel M.] Consejo Nacl Invest Cient &amp; Tecn, Ctr Invest Esquel Montana &amp; Estepa Patagon, Buenos Aires, DF, Argentina; [Martinelli, Gustavo; da Rosa, Patricia] Natl Ctr Flora Conservat CNCFlora, Rio De Janeiro, Brazil; [McInnes, Alistair] BirdLife South Africa, Seabird Conservat Programme, Foreshore, South Africa; [Millard, Michael J.] US Fish &amp; Wildlife Serv, Lamar, PA USA; [Mirande, Claire] Int Crane Fdn, Baraboo, WI USA; [Money, Daniel] Univ Cambridge, Dept Zool, Cambridge, England; [Monks, Joanne M.] Dept Conservat, Dunedin, New Zealand; [Mumu, Nazia Naoreen] Ctr Nat Resource Studies, Dhaka, Bangladesh; [Anh Ha Nguyen; Hoang Trinh-Dinh; Wearn, Oliver R.] Fauna &amp; Flora Int Vietnam Programme, Hanoi, Vietnam; [Norbury, Grant Leslie] Manaaki Whenua Landcare Res, Alexandra, New Zealand; [Nordmeyer, Cale; Royer, Emily] Minnesota Zoo, Apple Valley, MN USA; [Norris, Darren] Univ Fed Amapa, Sch Environm Sci, Macapa, Brazil; [O'Brien, Mark] BirdLife Int Pacific Reg Off, Suva, Fiji; [Oda, Gabriela Akemi] Fed Rural Univ Rio de Janeiro UFRRJ, Forestry Inst, Dept Environm Sci, Seropedica, RJ, Brazil; [Orsenigo, Simone] Univ Pavia, Dipartimento Sci Terra &amp; Ambiente, Pavia, Italy; [Orsenigo, Simone] Univ Cagliari, Diparrimento Sci Vita &amp; Ambiente, Ctr Conservaz Biodiversita, Cagliari, Italy; [Outerbridge, Mark Evan] Bermuda Govt, Dept Environm &amp; Nat Resources, Paget, Bermuda; [Pasachnik, Stesha] Int Iguana Fdn, Ft Worth, TX USA; [Perez-Jimenez, Juan Carlos] Colegio Frontera Sur, Lerma, Campeche, Mexico; [Plumb, Glenn] Natl Pk Serv, Livingston, MT USA; [Portela, Rita de Cassia Quitete] Univ Fed Rio de Janeiro, Biol Inst, Ecol Dept, Rio De Janeiro, Brazil; [Prohaska, Ana] Univ Cambridge, Dept Zool, GeoGenet Grp, Cambridge, England; [Quintana, Manuel G.] Argentine Museum Nat Sci, Div Invertebrates, Buenos Aires, DF, Argentina; [Ranglack, Dustin H.; Rogers, Luke Rollie] Univ Nebraska Kearney, Kearney, NE USA; [Rankou, Hassan] Royal Bot Gardens, IUCN SSC Orchid Specialist Grp, Richmond, Surrey, England; [Reardon, James Thomas] Fiordland Dist Off, Dept Conservat, Te Anau, New Zealand; [Rheingantz, Marcelo Lopes] Univ Fed Rio de Janeiro, Ctr Ciencias Saude, Lab Ecol &amp; Conservacao Populacoes, Inst Biol, Rio De Janeiro, RJ, Brazil; [Rheingantz, Marcelo Lopes] Eastern Kentucky Univ, Div Nat Areas, Richmond, KY 40475 USA; [Richter, Stephen C.] Eastern Kentucky Univ, Dept Biol Sci, Richmond, KY 40475 USA; [Rose, Paul] Univ Exeter, Exeter, Devon, England; [Ryan, Catherine] Auckland Univ Technol, Sch Sci, Auckland, New Zealand; [de Mitcheson, Yvonne J. Sadovy] Univ Hong Kong, Swire Inst Marine Sci, Hong Kong, Peoples R China; [Salmon, Lily] Nottingham Trent Univ, Brackenhurst Campus, Southwell, Notts, England; [Salvador, Carlos Henrique] Cooperat Caipora, Florianopolis, SC, Brazil; [Samways, Michael J.] Stellenbosch Univ, Dept Conservat Ecol &amp; Entomol, Stellenbosch, South Africa; [Sanjuan, Tatiana] Grp Micologos Colombia, Calle, Colombia; [Dos Santos, Amanda Souza] Univ Fed Rio de Janeiro, Hlth Sci Ctr, Biol Inst, Plant Ecol Lab, Rio De Janeiro, Brazil; [Sasaki, Hiroshi] Chikushi Jogakuen Univ, Dazaifu, Japan; [Schutz, Emmanuel] DABOVILLE Fdn &amp; Demo Farm Inc, Makati, Philippines; [Scott, Heather Ann; Scott, Robert Michael] Namibia Crane Working Grp, Swakopmund, Namibia; [Serena, Fabrizio] Natl Res Council CNR IRBIM, Inst Biol Resources &amp; Marine Biotechnol, Mazara Del Vallo, Italy; [Shuey, John A.] Nature Conservancy, Indianapolis, IN USA; [Silva, Carlos Julio Polo] Univ Bogota Jorge Tadeo Lozano, Fac Ciencias Nat &amp; Ingn, Bogota, Colombia; [Simaika, John P.] IHE Delft Inst Water Educ, Dept Water Resources &amp; Ecosyst, Delft, Netherlands; [Smith, David R.] US Geol Survey, Kearneysville, WV USA; [Spaet, Julia L. Y.] Univ Cambridge, Dept Zool, Evolutionary Ecol Grp, Cambridge, England; [Talukdar, Bibhab Kumar] IUCN Asian Rhino Specialist Grp, Gauhati, India; [Tatayah, Vikash] Mauritian Wildlife Fdn, Vacoas, Mauritius; [Thomas, Philip] Royal Bot Garden, Edinburgh, Midlothian, Scotland; [Tringali, Angela] Archbold Biol Stn, Venus, FL USA; [Vasco-Palacios, Aida M.] Univ Antioquia, UdeA, Escuela Microbiol, Grp Microbiol Ambiental BioMicro, Medellin, Colombia; [Vasco-Palacios, Aida M.] Fdn Biodiversa Colombia, FBC, Bogota, Colombia; [Vie, Jean-Christophe] Fdn Franklinia, Geneva, Switzerland; [Walker, Alan] Ctr Environm Fisheries &amp; Aquaculture Sci, Lowestoft, Suffolk, England; [Wallace, Bryan] Ecolibrium Inc, Boulder, CO USA; [Waller, Lauren J.] Southern African Fdn Conservat Coastal Birds, Cape Town, South Africa; [Waller, Lauren J.] Univ Western Cape, Dept Biodivers &amp; Conservat Biol, Bellville, South Africa; [Wang, Hongfeng] Northeast Forestry Univ, Harbin, Peoples R China; [van Weerd, Merlijn] Leiden Univ, Inst Environm Sci CML, Leiden, Netherlands; [Weigmann, Simon] Elasmobranch Res Lab, Elasmo Lab, Hamburg, Germany; [Weigmann, Simon] Univ Hamburg, Ctr Nat Hist, Hamburg, Germany; [Willcox, Daniel] Save Vietnams Wildlife, Cuc Phuong Natl Pk, Hanoi, Ninh Binh Provi, Vietnam; [Woinarski, John] Charles Darwin Univ, Casuarina, NT, Australia; [Yong, Jean W. H.] Swedish Univ Agr Sci, Dept Biosyst &amp; Technol, Alnarp, Sweden</t>
  </si>
  <si>
    <t>University of Oxford; State University of New York (SUNY) System; State University of New York (SUNY) Stony Brook; Wildlife Conservation Society; CGIAR; World Agroforestry (ICRAF); University of the Philippines System; University of the Philippines Los Banos; University of the Philippines Open University; University of Tasmania; Zoological Society of London; Universitat Trier; University of New South Wales Sydney; Office of Environment &amp; Heritage - New South Wales; Manchester Metropolitan University; University of Queensland; University of Queensland; University of Oxford; Venezuelan Institute Science Research; Autonomous University of Madrid; Consejo Nacional de Investigaciones Cientificas y Tecnicas (CONICET); Universidad Nacional del Comahue; Universidad Andres Bello; Universidad Andres Bello; University of Cagliari; Wildlife Institute of India; Universidade dos Acores; Universidade dos Acores; University of Nebraska System; University of Nebraska Lincoln; Indian Institute of Science (IISC) - Bangalore; University of New South Wales Sydney; Universidade dos Acores; State University System of Florida; University of Florida; State University System of Florida; University of Florida; Auckland University of Technology; BirdLife International; Complutense University of Madrid; Dauphin Island Sea Lab; Monash University; Swedish University of Agricultural Sciences; University of Dhaka; Rhodes University; University of Cagliari; University of Auckland; University of Auckland; Zoological Society of London; Council of Scientific &amp; Industrial Research (CSIR) - India; CSIR - Institute of Himalayan Bioresource Technology (IHBT); Royal Botanic Gardens, Kew; University of Otago; University of Molise; National Institute of Water &amp; Atmospheric Research (NIWA) - New Zealand; University of Bonn; University of Hawaii System; University of Hawaii Manoa; Leibniz Institut fur Evolutions und Biodiversitatsforschung; Texas State University System; Texas State University San Marcos; Pontificia Universidad Javeriana; Universidad Nacional Autonoma de Mexico; Universidad Nacional Autonoma de Mexico; University of Otago; Zoological Society of London; Universidad de Chile; Zoological Society of San Diego; University System of Ohio; Bowling Green State University; University of the Free State; University of Newcastle; Oregon State University; State University System of Florida; University of Central Florida; Virginia Polytechnic Institute &amp; State University; University of Oxford; Flinders University South Australia; University of Oxford; University of Waterloo; Universidade Federal do Rio de Janeiro; Florida Institute of Technology; University of Molise; Royal Botanic Gardens, Kew; Smithsonian Institution; Smithsonian National Zoological Park &amp; Conservation Biology Institute; Consejo Nacional de Investigaciones Cientificas y Tecnicas (CONICET); United States Department of the Interior; US Fish &amp; Wildlife Service; University of Cambridge; Landcare Research - New Zealand; Fundacao Universidade Federal do Amapa; Universidade Federal Rural do Rio de Janeiro (UFRRJ); University of Pavia; University of Cagliari; El Colegio de la Frontera Sur (ECOSUR); United States Department of the Interior; Universidade Federal do Rio de Janeiro; University of Cambridge; Museo Argentino de Ciencias Naturales Bernardino Rivadavia (MACN); University of Nebraska System; University Nebraska Kearney; Royal Botanic Gardens, Kew; Universidade Federal do Rio de Janeiro; Eastern Kentucky University; Eastern Kentucky University; University of Exeter; Auckland University of Technology; University of Hong Kong; Nottingham Trent University; Stellenbosch University; Universidade Federal do Rio de Janeiro; Consiglio Nazionale delle Ricerche (CNR); Istituto per le Risorse Biologiche Biotecnologie Marine (IRBIM-CNR); Nature Conservancy; Universidad de Bogota Jorge Tadeo Lozano; IHE Delft Institute for Water Education; United States Department of the Interior; United States Geological Survey; University of Cambridge; Universidad de Antioquia; Centre for Environment Fisheries &amp; Aquaculture Science; University of the Western Cape; Northeast Forestry University - China; Leiden University - Excl LUMC; Leiden University; University of Hamburg; Charles Darwin University; Swedish University of Agricultural Sciences</t>
  </si>
  <si>
    <t>Grace, MK (corresponding author), Univ Oxford, Dept Zool, Oxford OX1 3SZ, England.</t>
  </si>
  <si>
    <t>molly.grece@zoo.ox.ac.uk</t>
  </si>
  <si>
    <t>Stephenson, PJ/AAC-3081-2021; Rose, Paul/AAY-2506-2020; Borges, Paulo AV/AEW-0237-2022; Rosa, Patricia da/HJP-9810-2023; Ryan, Cate/GZG-8547-2022; García, Néstor/IQR-9561-2023; Yong, Jean Wan Hong/B-9976-2019; Bacchetta, Gianluigi/AAD-5329-2020; Meijaard, Erik/A-2687-2016; Orsenigo, Simone/E-5961-2017; Hochkirch, Axel/A-4092-2008; Lughadha, Eimear M Nic/N-4560-2014; González, Benito A/H-5189-2013; Gryzenhout, Marieka/C-5165-2008; Di Febbraro, Mirko/I-3167-2019; Salvador, Carlos H/G-1251-2014; Pérez-Jiménez, Juan Carlos/AAD-7658-2022; Mendes, Eduardo/HTR-3017-2023; Acebes, Pablo/L-6444-2014; Barreiros, João Pedro/D-3078-2014; Tringali, Angela/D-9200-2013; Woinarski, John C.Z./N-2262-2013; Cunningham, Andrew A/E-7536-2010; Vasco, Aida/HJI-8776-2023; Fenu, Giuseppe/AAR-8439-2021; Negrao, Raquel/V-3591-2019; Kraus, Dan/HJY-7061-2023; van Weerd, Merlijn/K-6790-2013; bhattacharyya, Sabuj/AAC-9799-2020; Barcelos, Luís MD/AAC-1131-2019; Di Febbraro, Mirko/GQA-4462-2022; Chapple, David/B-9073-2008; Norris, Darren/J-5182-2012; Hoffmann, Michael/E-6419-2010; garibay orijel, roberto/F-9360-2013; Godfrey, Stephanie/F-5227-2012; Rheingantz, Marcelo/F-3934-2014</t>
  </si>
  <si>
    <t>Rose, Paul/0000-0002-5375-8267; Borges, Paulo AV/0000-0002-8448-7623; García, Néstor/0000-0001-9384-0495; Yong, Jean Wan Hong/0000-0003-3325-8254; Meijaard, Erik/0000-0001-8685-3685; Orsenigo, Simone/0000-0003-0348-9115; Hochkirch, Axel/0000-0002-4475-0394; Pérez-Jiménez, Juan Carlos/0000-0002-7258-1700; Barreiros, João Pedro/0000-0003-4531-6685; Negrao, Raquel/0000-0002-4758-8038; van Weerd, Merlijn/0000-0002-7173-3725; bhattacharyya, Sabuj/0000-0002-4335-0751; Barcelos, Luís MD/0000-0001-5947-679X; Finucci, Brittany/0000-0003-1315-2946; Gregory, Andrew/0000-0003-1905-3236; Daltry, Jennifer C./0000-0003-0364-9465; Grace, Molly/0000-0002-1978-615X; Brockmann, H Jane/0000-0003-3733-2431; Di Febbraro, Mirko/0000-0001-8898-7046; Chapple, David/0000-0002-7720-6280; Mangel, Jeffrey/0000-0002-9371-8606; Lindeman, Ken/0000-0003-4098-4158; Young, Richard/0000-0002-6515-6343; de Lima, Thales/0000-0001-6186-453X; McGowan, Philip/0000-0001-8674-7444; Melo Hoffmann, Pablo/0000-0003-4341-5890; Norris, Darren/0000-0003-0015-8214; Basak, Sayanti/0000-0003-4418-4481; Ranglack, Dustin/0000-0003-4534-9487; Keith, David/0000-0002-7627-4150; STEPHENSON, PJ/0000-0002-0087-466X; Katsis, Lydia/0000-0001-9962-8380; Huveneers, Charlie/0000-0001-8937-1358; Simaika, John/0000-0002-8073-2804; Portela, Rita de Cassia Quitete/0000-0002-8702-7665; Hare, Kelly/0000-0002-9473-5256; Woinarski, John/0000-0002-1712-9500; Hudson, Mike/0000-0002-7640-1885; Gryzenhout, Marieka/0000-0002-9224-4277; Hoffmann, Michael/0000-0003-4785-2254; Vasco-Palacios, Aida/0000-0003-0539-9711; Fairclough, David/0000-0002-9620-5064; garibay orijel, roberto/0000-0002-6977-7550; Fenu, Giuseppe/0000-0003-4762-5043; Wearn, Oliver/0000-0001-8258-3534; Acebes Vives, Pablo/0000-0003-1880-7841; Camacho-Badani, Teresa/0000-0002-8113-0055; BACCHETTA, GIANLUIGI/0000-0002-1714-3978; Godfrey, Stephanie/0000-0003-1014-4684; Cano Alonso, Luis Santiago/0000-0002-3436-2363; Virens, Evelyn/0000-0002-3947-4938; Hagen, Christina/0000-0001-6116-3303; Rheingantz, Marcelo/0000-0003-2521-3654; Hilton-Taylor, Craig/0000-0003-1163-1425</t>
  </si>
  <si>
    <t>Prince Albert of Monaco Foundation; Fondation Franklinia; NERC Knowledge Exchange Fellowship; IUCN SSC; World Wildlife Fund; Stony Brook University OVPR Seed Grant Program; European Union [766417]; Marie Curie Actions (MSCA) [766417] Funding Source: Marie Curie Actions (MSCA); NERC [NE/R002614/1, NE/S006125/1] Funding Source: UKRI</t>
  </si>
  <si>
    <t>Prince Albert of Monaco Foundation; Fondation Franklinia; NERC Knowledge Exchange Fellowship(UK Research &amp; Innovation (UKRI)Natural Environment Research Council (NERC)); IUCN SSC; World Wildlife Fund; Stony Brook University OVPR Seed Grant Program; European Union(European Union (EU)); Marie Curie Actions (MSCA)(Marie Curie Actions); NERC(UK Research &amp; Innovation (UKRI)Natural Environment Research Council (NERC))</t>
  </si>
  <si>
    <t>This work would not have been possible without the countless hours volunteered by species experts around the globe, including many assessors who did not choose to be listed as authors. We thank the IUCN Species Survival Commission and Red List Unit for their help coordinating this input and to the National Geographic Society for supporting a suite of test assessments. Workshops were funded by the Prince Albert of Monaco Foundation (administered via the Cambridge Conservation Initiative Collaborative Fund) and by Fondation Franklinia. We thank Global Wildlife Conservation for their help coordinating the workshops. Special thanks are due to A. Rodrigues for her active involvement in every stage of developing the IUCN Green Status of Species. We thank T. Kuiper for help with data analyses and M. Clark for commenting on an early draft. M.G. was supported by a NERC Knowledge Exchange Fellowship and the IUCN SSC and the World Wildlife Fund. H.R.A. was supported by the Stony Brook University OVPR Seed Grant Program. This project received funding from the European Union's Horizon 2020 Research and Innovation Programme under a Marie Skodowska-Curie grant agreement 766417 to M.F.</t>
  </si>
  <si>
    <t>10.1111/cobi.13756</t>
  </si>
  <si>
    <t>XE4ND</t>
  </si>
  <si>
    <t>WOS:000675179000001</t>
  </si>
  <si>
    <t>Zheng, PS; Pedro, JB; Jochum, M; Rasmussen, SO; Lai, ZP</t>
  </si>
  <si>
    <t>Zheng, Peisong; Pedro, Joel B.; Jochum, Markus; Rasmussen, Sune O.; Lai, Zhongping</t>
  </si>
  <si>
    <t>Different Trends in Antarctic Temperature and Atmospheric CO2 During the Last Glacial</t>
  </si>
  <si>
    <t>ABRUPT CLIMATE-CHANGE; EPICA DOME C; ICE CORES; SOUTHERN-OCEAN; SEA-ICE; VOLCANIC SYNCHRONIZATION; CARBON-CYCLE; GREENLAND; VARIABILITY; RECORD</t>
  </si>
  <si>
    <t>We analyze the past 67,000 years of climate using Antarctic ice-core records to constrain the mechanisms involved in (a) the bipolar seesaw relationship between Greenland and Antarctic surface temperature variations, and (b) mechanisms of millennial-scale atmospheric CO2 concentration variations. Specifically, we determine for each Greenland Stadial the rate of Antarctic temperature and atmospheric CO2 rise. We find that Antarctic warming rates significantly decrease as the climate cools during the glacial period, whereas the rate of atmospheric CO2 rise does not significantly change. Also, we find that the rates of Antarctic warming and atmospheric CO2 rise are both insensitive to whether a given stadial contains a Heinrich event. These results challenge the view that a single Southern-Ocean-based mechanism dominates the observed glacial variability in Antarctic temperature and atmospheric CO2. Instead, our results are consistent with an important contribution of low- and mid-latitude processes to millennial-scale atmospheric CO2 changes.</t>
  </si>
  <si>
    <t>[Zheng, Peisong; Lai, Zhongping] Shantou Univ, Inst Marine Sci, Guangdong Prov Key Lab Marine Biotechnol, Shantou, Peoples R China; [Zheng, Peisong] China Univ Geosci, Sch Earth Sci, Wuhan, Peoples R China; [Pedro, Joel B.] Australian Antarctic Div, Kingston, Tas, Australia; [Pedro, Joel B.] Univ Tasmania, Australian Antarctic Program Partnership, Hobart, Tas, Australia; [Jochum, Markus; Rasmussen, Sune O.] Univ Copenhagen, Phys Ice Climate &amp; Earth, Niels Bohr Inst, Copenhagen, Denmark; [Lai, Zhongping] China Univ Geosci, Three Gorges Res Ctr Geohazards, MOE, Wuhan, Peoples R China</t>
  </si>
  <si>
    <t>Shantou University; China University of Geosciences; Australian Antarctic Division; University of Tasmania; University of Copenhagen; Niels Bohr Institute; China University of Geosciences</t>
  </si>
  <si>
    <t>Lai, ZP (corresponding author), Shantou Univ, Inst Marine Sci, Guangdong Prov Key Lab Marine Biotechnol, Shantou, Peoples R China.;Lai, ZP (corresponding author), China Univ Geosci, Three Gorges Res Ctr Geohazards, MOE, Wuhan, Peoples R China.</t>
  </si>
  <si>
    <t>zhongping.lai@yahoo.com</t>
  </si>
  <si>
    <t>jochum, markus/F-8237-2013; Rasmussen, Sune Olander/AAA-3190-2021; Rasmussen, Sune/B-5560-2008</t>
  </si>
  <si>
    <t>Rasmussen, Sune Olander/0000-0002-4177-3611;</t>
  </si>
  <si>
    <t>Natural Science Foundation of China [41290252]; STU Scientific Research Start-Up Foundation for Talents [NTF19003]; Carlsberg Foundation; VILLUM Foundation; Australian Government</t>
  </si>
  <si>
    <t>Natural Science Foundation of China(National Natural Science Foundation of China (NSFC)); STU Scientific Research Start-Up Foundation for Talents; Carlsberg Foundation(Carlsberg Foundation); VILLUM Foundation(Villum Fonden); Australian Government(Australian Government)</t>
  </si>
  <si>
    <t>This work was funded by the Natural Science Foundation of China (Grant No. 41290252), and STU Scientific Research Start-Up Foundation for Talents (Grant No. NTF19003). J.B. Pedro and S.O. Rasmussen acknowledges support from a Carlsberg Foundation grant to the project ChronoClimate, funded by the Carlsberg Foundation. S.O. Rasmussen received support from the VILLUM Foundation via the IceFlow project. J.B. Pedro received support from an Australian Government grant. The authors thank Christo Buizert and Xu Zhang for discussions.</t>
  </si>
  <si>
    <t>JUL 20</t>
  </si>
  <si>
    <t>e2021GL093868</t>
  </si>
  <si>
    <t>10.1029/2021GL093868</t>
  </si>
  <si>
    <t>WN0WM</t>
  </si>
  <si>
    <t>WOS:000711497300001</t>
  </si>
  <si>
    <t>Reichmuth, C; Casey, C; Friedlaender, A</t>
  </si>
  <si>
    <t>Reichmuth, Colleen; Casey, Caroline; Friedlaender, Ari</t>
  </si>
  <si>
    <t>In-situ observations of the sensory hairs of Antarctic minke whales (Balaenoptera bonaerensis)</t>
  </si>
  <si>
    <t>ANATOMICAL RECORD-ADVANCES IN INTEGRATIVE ANATOMY AND EVOLUTIONARY BIOLOGY</t>
  </si>
  <si>
    <t>follicle; mysticete; somatosensory; tactile; vibrissae; vibrissal crypt; whisker</t>
  </si>
  <si>
    <t>CETACEA</t>
  </si>
  <si>
    <t>The sense of touch in the largest marine mammals is poorly understood. While mysticetes possess specialized sensory hairs that are present through adulthood, descriptions of these structures are based almost entirely on examination of tissues in post-mortem individuals. Sensory hairs have rarely been observed and described in living whales. We photographed Antarctic minke whales Balaenoptera bonaerensis in the Western Antarctic Peninsula and used high-resolution images to describe the number, distribution, orientation, and relative size of sensory hairs in freely swimming individuals. Sensory hairs were well developed. They were distributed on the tip of the lower jaw, the margins of the upper and lower jaw, and near the blowhole. Far fewer hairs were observed than reported for other mysticete species, including the related species Balaenoptera acutorostrata. Placement and apparent stiffness of sensory hairs within living tissue combined with observations and images of moving whales suggest these structures aid in detecting air and ice interfaces, and possibly, the boundaries of submerged prey fields.</t>
  </si>
  <si>
    <t>[Reichmuth, Colleen; Casey, Caroline; Friedlaender, Ari] Univ Calif Santa Cruz, Inst Marine Sci, Santa Cruz, CA 95060 USA</t>
  </si>
  <si>
    <t>University of California System; University of California Santa Cruz</t>
  </si>
  <si>
    <t>Reichmuth, C (corresponding author), Univ Calif Santa Cruz, Inst Marine Sci, Santa Cruz, CA 95060 USA.</t>
  </si>
  <si>
    <t>coll@ucsc.edu</t>
  </si>
  <si>
    <t>Reichmuth, Colleen/0000-0003-0981-6842</t>
  </si>
  <si>
    <t>National Science Foundation Office of Polar Programs [1643877]; Directorate For Geosciences; Office of Polar Programs (OPP) [1643877] Funding Source: National Science Foundation</t>
  </si>
  <si>
    <t>National Science Foundation Office of Polar Programs(National Science Foundation (NSF)NSF - Directorate for Geosciences (GEO)); Directorate For Geosciences; Office of Polar Programs (OPP)(National Science Foundation (NSF)NSF - Directorate for Geosciences (GEO))</t>
  </si>
  <si>
    <t>National Science Foundation Office of Polar Programs, Grant/Award Number: 1643877</t>
  </si>
  <si>
    <t>1932-8486</t>
  </si>
  <si>
    <t>1932-8494</t>
  </si>
  <si>
    <t>ANAT REC</t>
  </si>
  <si>
    <t>Anat. Rec.</t>
  </si>
  <si>
    <t>10.1002/ar.24720</t>
  </si>
  <si>
    <t>Anatomy &amp; Morphology</t>
  </si>
  <si>
    <t>ZB3KJ</t>
  </si>
  <si>
    <t>WOS:000674832500001</t>
  </si>
  <si>
    <t>Dowling, L; Eaves, S; Norton, K; Mackintosh, A; Anderson, B; Hidy, A; Lorrey, A; Vargo, L; Ryan, M; Tims, S</t>
  </si>
  <si>
    <t>Dowling, Lisa; Eaves, Shaun; Norton, Kevin; Mackintosh, Andrew; Anderson, Brian; Hidy, Alan; Lorrey, Andrew; Vargo, Lauren; Ryan, Matthew; Tims, Stephen</t>
  </si>
  <si>
    <t>Local summer insolation and greenhouse gas forcing drove warming and glacier retreat in New Zealand during the Holocene</t>
  </si>
  <si>
    <t>QUATERNARY SCIENCE REVIEWS</t>
  </si>
  <si>
    <t>Handling Editor: C. O'Cofaigh; Holocene; Glaciation; Southern Ocean; New Zealand; Cosmogenic surface exposure dating; Geomorphology; Glacial; Paleoclimate modeling; Southern Hemisphere; Little Ice Age; Moraine chronology</t>
  </si>
  <si>
    <t>SOUTHERN ALPS; CLIMATE; FLUCTUATIONS; TEMPERATURE; MORAINES; BE-10; RATES; AGE; SENSITIVITY; CALIBRATION</t>
  </si>
  <si>
    <t>Geological climate archives from the Holocene Epoch provide baseline information concerning natural climate variability. Temperate mountain glacier extent is sensitive to summer air temperature, thus geological records of past glacier length changes are a useful proxy for this climatic variable. Here we present a new cosmogenic Be-10 chronology of glacier length changes at Dart Glacier in the Southern Alps, New Zealand. Prominent moraines deposited 321 +/- 44 yr ago (n = 11) and 7.8 +/- 0.3 ka (n = 5) show glaciers during the Little Ice Age were less extensive than during the early Holocene. This pattern of net Holocene glacier retreat is consistent with emerging data from other catchments in New Zealand and across the southern mid-latitudes. Using the physical framework of a transient global climate model simulation, we suggest that cool summers in the early Holocene were promoted by the local summer insolation minimum, together with low atmospheric greenhouse gas concentrations, causing an early Holocene austral glacial maximum. An insolation-driven reduction in seasonality at southern midlatitudes may reconcile differences between early Holocene temperature reconstructions where climate proxies have different seasonal sensitivities. We suggest that rising greenhouse gas concentrations after 7 ka caused regional-scale glacier retreat and appear to be the dominant driver of multimillennial summer temperature trends in the southern mid-latitudes during the present interglacial. (C) 2021 Elsevier Ltd. All rights reserved.</t>
  </si>
  <si>
    <t>[Dowling, Lisa; Eaves, Shaun; Anderson, Brian; Vargo, Lauren] Victoria Univ Wellington, Antarctic Res Ctr, POB 600, Wellington 6140, New Zealand; [Dowling, Lisa; Eaves, Shaun; Norton, Kevin; Ryan, Matthew] Victoria Univ Wellington, Sch Geog Environm &amp; Earth Sci, POB 600, Wellington 6140, New Zealand; [Mackintosh, Andrew] Monash Univ, Sch Earth Atmosphere &amp; Environm, Melbourne, Vic 3800, Australia; [Hidy, Alan] Lawrence Livermore Natl Lab, Livermore, CA 94550 USA; [Lorrey, Andrew] Natl Inst Water &amp; Atmospher Res, Auckland, New Zealand; [Tims, Stephen] Australian Natl Univ, Res Sch Phys &amp; Engn, Dept Nucl Phys, Canberra, ACT 2601, Australia</t>
  </si>
  <si>
    <t>Victoria University Wellington; Victoria University Wellington; Melbourne Genomics Health Alliance; Monash University; United States Department of Energy (DOE); Lawrence Livermore National Laboratory; National Institute of Water &amp; Atmospheric Research (NIWA) - New Zealand; Australian National University</t>
  </si>
  <si>
    <t>Dowling, L (corresponding author), GNS Sci, POB 30368, Lower Hutt, New Zealand.</t>
  </si>
  <si>
    <t>l.dowling@gns.cri.nz</t>
  </si>
  <si>
    <t>Norton, Kevin/CAF-1290-2022; Hidy, Alan J/G-1862-2012; Tims, Stephen/P-6505-2015</t>
  </si>
  <si>
    <t>Norton, Kevin/0000-0002-7995-6464; Tims, Stephen/0000-0001-6014-0126; Mackintosh, Andrew/0000-0002-6430-4711; Vargo, Lauren/0000-0001-7037-0451; Hidy, Alan/0000-0003-2916-1425</t>
  </si>
  <si>
    <t>National Geographic Society Waitt Foundation [W427-16]; Royal Society of New Zealand Marsden Fund [VUW1605]; Victoria University of Wellington School of Geography Environment and Earth Sciences Master's Publication Scholarship; Antarctic Research Centre's Endowed Development Fund; NIWA SSIF project Climate Present and Past [CAOA2101]; US Department of Energy by Lawrence Livermore National Laboratory, United States [DE-AC52-07NA27344]</t>
  </si>
  <si>
    <t>National Geographic Society Waitt Foundation(National Geographic Society); Royal Society of New Zealand Marsden Fund(Royal Society of New ZealandMarsden Fund (NZ)); Victoria University of Wellington School of Geography Environment and Earth Sciences Master's Publication Scholarship; Antarctic Research Centre's Endowed Development Fund; NIWA SSIF project Climate Present and Past; US Department of Energy by Lawrence Livermore National Laboratory, United States(United States Department of Energy (DOE))</t>
  </si>
  <si>
    <t>This study was supported by the National Geographic Society Waitt Foundation (W427-16) and the Royal Society of New Zealand Marsden Fund (fast-start contract VUW1605). L. Dowling acknowledges further support from the Victoria University of Wellington School of Geography Environment and Earth Sciences Master's Publication Scholarship and the Antarctic Research Centre's Endowed Development Fund. A. Lorrey was supported by the NIWA SSIF project Climate Present and Past contract CAOA2101. This work was performed in part under the auspices of the US Department of Energy by Lawrence Livermore National Laboratory, United States under Contract DE-AC52-07NA27344. This is LLNLJRNL-815423.</t>
  </si>
  <si>
    <t>0277-3791</t>
  </si>
  <si>
    <t>1873-457X</t>
  </si>
  <si>
    <t>QUATERNARY SCI REV</t>
  </si>
  <si>
    <t>Quat. Sci. Rev.</t>
  </si>
  <si>
    <t>AUG 15</t>
  </si>
  <si>
    <t>10.1016/j.quascirev.2021.107068</t>
  </si>
  <si>
    <t>UO7UZ</t>
  </si>
  <si>
    <t>WOS:000694899400008</t>
  </si>
  <si>
    <t>López-Quirós, A; Lobo, FJ; Duffy, M; Leventer, A; Evangelinos, D; Escutia, C; Bohoyo, F</t>
  </si>
  <si>
    <t>Lopez-Quiros, Adrian; Lobo, Francisco J.; Duffy, Meghan; Leventer, Amy; Evangelinos, Dimitris; Escutia, Carlota; Bohoyo, Fernando</t>
  </si>
  <si>
    <t>Late Quaternary high-resolution seismic stratigraphy and core-based paleoenvironmental reconstructions in Ona Basin, southwestern Scotia Sea (Antarctica)</t>
  </si>
  <si>
    <t>MARINE GEOLOGY</t>
  </si>
  <si>
    <t>Late Quaternary; LGM; Deglaciation; Seismic stratigraphy; Diatom assemblage; Scotia Sea; Antarctica</t>
  </si>
  <si>
    <t>LAST GLACIAL MAXIMUM; SOUTHERN-OCEAN SEDIMENTS; DEEP-WATER CIRCULATION; SHORT-TERM VARIATIONS; MAJOR DIATOM TAXA; BOTTOM WATER; DRAKE PASSAGE; WEDDELL SEA; ICE-SHEET; PLATE BOUNDARY</t>
  </si>
  <si>
    <t>The variability of sedimentation patterns and processes driven by late Quaternary glacial-interglacial paleoclimatic and paleoceanographic changes are investigated in Ona Basin, southwestern Scotia Sea. The interest of this area lies in the fact that the nearby Antarctic Peninsula has recorded extreme climatic variability, and the Drake Passage-Scotia Sea oceanic domain is influenced by two major Southern Ocean water masses, the eastward-flowing Antarctic Circumpolar Current (ACC) and the westward-flowing Weddell Sea Deep Water (WSDW). These goals are achieved through the examination of a grid of very high-resolution sub-bottom profiles and two gravity cores collected in Ona Basin. Multi-proxy data derived from the gravity cores include C-14-derived ages, descriptions of sedimentary units and diatom assemblages, and continuous logging of physical properties and micro-XRF core scanning. The sub-surface seismic stratigraphy is composed of four seismic units (U4 to U1) with a dominant sub-parallel configuration, with local occurrence of wavy facies and intercalations of transparent seismic facies. Additionally, four sedimentary units were recognized through sediment core analysis from bottom to top: Unit IV is composed of slightly bioturbated diatom-rich mud and silty mud with sparse ice-rafted debris (IRDs); Unit III is composed of gravelly silty to sandy mud with large amounts of IRDs; Unit II mostly contains bioturbated diatomaceous mud; and Unit I is composed of diatom-rich silty to sandy mud. The highest diatom abundances are found in Unit II, whereas highly variable abundances are found in Unit IV. The most common diatoms are Fragilariopsis kerguelensis and Chaetoceros subg. Hyalochaete. Overall, these characteristics document a change in the depositional style from terrigenous during the Last Glacial Maximum (LGM) to hemipelagic sedimentation during the deglaciation. The high-resolution seismic stratigraphy analysis reveals significant fluctuations in the regional bottom-current patterns during the late Quaternary (i.e., after 0.4 Ma) glacial-interglacial cycles. An overall strengthening of the westward-flowing WSDW is postulated in relation to latitudinal displacements of the interphase between the deeper ACC and the WSDW, together with enhanced interactions between along- and downslope processes. In addition, sedimentological, geochemical, and micropaleontological analyses revealed two distinctive phases during the late Pleistocene, in terms of paleoenvironments and paleoceanographic conditions. During the LGM, extensive sea-ice coverage limited biogenic productivity in the ocean. Increased terrigenous input was largely supplied by the westward-flowing WSDW, under a reduced ACC influence due to the northward location of fronts. During deglaciation, the sediment record indicates reduced sea-ice cover and increased open-ocean conditions and surface water productivity, as well as a long-term intensification of the WSDW flow. We postulate bottom-current strengthening was driven by an increased Weddell Sea water export and the southward migration of fronts as a consequence of major retreat of sea ice, enhancing the ACC influence in the southern Ona Basin, and thus, affecting the sloping interphase between the deeper ACC and the WSDW.</t>
  </si>
  <si>
    <t>[Lopez-Quiros, Adrian] Aarhus Univ, Dept Geosci, Hoegh Guldbergs Gade 2, DK-8000 Aarhus C, Denmark; [Lopez-Quiros, Adrian; Lobo, Francisco J.; Evangelinos, Dimitris; Escutia, Carlota] CSIC UGR, Inst Andaluz Ciencias Tierra, Avda Palmeras 4, Granada 18100, Spain; [Duffy, Meghan; Leventer, Amy] Colgate Univ, Dept Geol, Hamilton, NY USA; [Bohoyo, Fernando] Inst Geol &amp; Minero Espana, Rios Rosas 23, Madrid 28003, Spain</t>
  </si>
  <si>
    <t>Aarhus University; University of Granada; Consejo Superior de Investigaciones Cientificas (CSIC); CSIC - Instituto Andaluz de Ciencias de la Tierra (IACT); Colgate University</t>
  </si>
  <si>
    <t>López Quirós, Adrián/K-6513-2017; Evangelinos, Dimitris/ABH-5910-2020; Evagelinos, Dimitris/ISU-3607-2023; Lobo, Francisco José/J-9836-2012; Escutia, Carlota/B-8614-2015; Bohoyo, Fernando/C-1062-2011; Bohoyo, Fernando/AAZ-5990-2021</t>
  </si>
  <si>
    <t>López Quirós, Adrián/0000-0002-7522-2834; Evangelinos, Dimitris/0000-0002-4978-3056; Lobo, Francisco José/0000-0002-3294-7202; Bohoyo, Fernando/0000-0002-1044-8816; Bohoyo, Fernando/0000-0002-1044-8816; Leventer, Amy/0000-0001-9401-0987</t>
  </si>
  <si>
    <t>Spanish Ministry of Science and Innovation [CTM2017-89711-C2-1/2-P]; European Regional Development Fund (FEDER)</t>
  </si>
  <si>
    <t>Spanish Ministry of Science and Innovation(Spanish Government); European Regional Development Fund (FEDER)(European Union (EU))</t>
  </si>
  <si>
    <t>Funding for this research was provided by the Spanish Ministry of Science and Innovation (Grant CTM2017-89711-C2-1/2-P) co-financed by the European Regional Development Fund (FEDER). We thank the Commander, officers, crew, and scientific staff of the BIO HESPERIDES for their support in obtaining the data, sometimes under severe sea conditions. We also acknowledge the help of Dr. Rocio M ' arquez Crespo (Scientific Instrumentation Center, University of Granada) for her assistance using the FESEM. We would also thank Prof. David M. Harwood (University of Nebraska, USA) for helping with diatom identification, and Dr. Ignacio L ' opez-Cilla and Luis Gal ' an (Geological Survey of Spain -IGME, Spain) for the analytical support. Prof. Rubens Figueira and Dr. Paulo Ferreira (Oceanographic Institute, University of S ~ao Paulo, Brazil) provided useful remarks for age assignments of sediment cores. Seismic interpretations were made using Kingdom Suite T software, thanks to the participation of the Instituto Andaluz de Ciencias de la Tierra in the IHS University Grant program. We are grateful to the Editor-in-Chief Michele Rebesco, Guest Editor Uisdean Nicholson and to three anonymous reviewers for their valuable suggestions that greatly improved the manuscript.</t>
  </si>
  <si>
    <t>0025-3227</t>
  </si>
  <si>
    <t>1872-6151</t>
  </si>
  <si>
    <t>MAR GEOL</t>
  </si>
  <si>
    <t>Mar. Geol.</t>
  </si>
  <si>
    <t>10.1016/j.margeo.2021.106565</t>
  </si>
  <si>
    <t>Geosciences, Multidisciplinary; Oceanography</t>
  </si>
  <si>
    <t>Geology; Oceanography</t>
  </si>
  <si>
    <t>TT9IR</t>
  </si>
  <si>
    <t>WOS:000680656200015</t>
  </si>
  <si>
    <t>Maliniemi, V; Tyssoy, HN; Smith-Johnsen, C; Arsenovic, P; Marsh, DR</t>
  </si>
  <si>
    <t>Maliniemi, Ville; Tyssoy, Hilde Nesse; Smith-Johnsen, Christine; Arsenovic, Pavle; Marsh, Daniel R.</t>
  </si>
  <si>
    <t>Effects of enhanced downwelling of NOx on Antarctic upper-stratospheric ozone in the 21st century</t>
  </si>
  <si>
    <t>ATMOSPHERIC CHEMISTRY AND PHYSICS</t>
  </si>
  <si>
    <t>ENERGETIC PARTICLE-PRECIPITATION; CHEMISTRY; TERM</t>
  </si>
  <si>
    <t>Ozone is expected to fully recover from the chlorofluorocarbon (CFC) era by the end of the 21st century. Furthermore, because of anthropogenic climate change, a cooler stratosphere decelerates ozone loss reactions and is projected to lead to a super recovery of ozone. We investigate the ozone distribution over the 21st century with four different future scenarios using simulations of the Whole Atmosphere Community Climate Model (WACCM). At the end of the 21st century, the equatorial upper stratosphere has roughly 0.5 to 1.0 ppm more ozone in the scenario with the highest greenhouse gas emissions compared to the conservative scenario. Polar ozone levels exceed those in the pre-CFC era in scenarios that have the highest greenhouse gas emissions. This is true in the Arctic stratosphere and the Antarctic lower stratosphere. The Antarctic upper stratosphere is an exception, where different scenarios all have similar levels of ozone during winter, which do not exceed pre-CFC levels. Our results show that this is due to excess nitrogen oxides (NOx) descending faster from above in the stronger scenarios of greenhouse gas emissions. NOx in the polar thermosphere and upper mesosphere is mainly produced by energetic electron precipitation (EEP) and partly by solar UV via transport from low latitudes. Our results indicate that the thermospheric/upper mesospheric NOx will be important factor for the future Antarctic ozone evolution and could potentially prevent a super recovery of ozone in the upper stratosphere.</t>
  </si>
  <si>
    <t>[Maliniemi, Ville; Tyssoy, Hilde Nesse; Smith-Johnsen, Christine] Univ Bergen, Birkeland Ctr Space Sci, Dept Phys &amp; Technol, Bergen, Norway; [Arsenovic, Pavle] EMPA Swiss Fed Labs Mat Sci &amp; Technol, Zurich, Switzerland; [Marsh, Daniel R.] Natl Ctr Atmospher Res, POB 3000, Boulder, CO 80307 USA; [Marsh, Daniel R.] Univ Leeds, Fac Engn &amp; Phys Sci, Leeds, W Yorkshire, England</t>
  </si>
  <si>
    <t>University of Bergen; Swiss Federal Institutes of Technology Domain; Swiss Federal Laboratories for Materials Science &amp; Technology (EMPA); National Center Atmospheric Research (NCAR) - USA; University of Leeds</t>
  </si>
  <si>
    <t>Maliniemi, V (corresponding author), Univ Bergen, Birkeland Ctr Space Sci, Dept Phys &amp; Technol, Bergen, Norway.</t>
  </si>
  <si>
    <t>ville.maliniemi@uib.no</t>
  </si>
  <si>
    <t>Marsh, Daniel/A-8406-2008; Arsenovic, Pavle/M-8919-2018</t>
  </si>
  <si>
    <t>Marsh, Daniel/0000-0001-6699-494X; Maliniemi, Ville/0000-0002-7556-7488; Arsenovic, Pavle/0000-0001-8844-7007</t>
  </si>
  <si>
    <t>Norwegian Research Council [300724, 223252/F50]; National Science Foundation [1650918]; Div Atmospheric &amp; Geospace Sciences; Directorate For Geosciences [1650918] Funding Source: National Science Foundation</t>
  </si>
  <si>
    <t>Norwegian Research Council(Research Council of Norway); National Science Foundation(National Science Foundation (NSF)); Div Atmospheric &amp; Geospace Sciences; Directorate For Geosciences(National Science Foundation (NSF)NSF - Directorate for Geosciences (GEO))</t>
  </si>
  <si>
    <t>This research has been supported by the Norwegian Research Council (grant nos. 300724 and 223252/F50). Daniel R. Marsh was supported by the National Science Foundation (grant no. 1650918).</t>
  </si>
  <si>
    <t>1680-7316</t>
  </si>
  <si>
    <t>1680-7324</t>
  </si>
  <si>
    <t>ATMOS CHEM PHYS</t>
  </si>
  <si>
    <t>Atmos. Chem. Phys.</t>
  </si>
  <si>
    <t>JUL 19</t>
  </si>
  <si>
    <t>10.5194/acp-21-11041-2021</t>
  </si>
  <si>
    <t>TM2NI</t>
  </si>
  <si>
    <t>WOS:000675388100007</t>
  </si>
  <si>
    <t>Ovando, D; Hilborn, R; Monnahan, C; Rudd, M; Sharma, R; Thorson, JT; Rousseau, Y; Ye, YM</t>
  </si>
  <si>
    <t>Ovando, Daniel; Hilborn, Ray; Monnahan, Cole; Rudd, Merrill; Sharma, Rishi; Thorson, James T.; Rousseau, Yannick; Ye, Yimin</t>
  </si>
  <si>
    <t>Improving estimates of the state of global fisheries depends on better data</t>
  </si>
  <si>
    <t>FISH AND FISHERIES</t>
  </si>
  <si>
    <t>catch-only models; data-limited assessment; fisheries management; global fisheries; stock assessment; United Nations sustainable development goals</t>
  </si>
  <si>
    <t>STOCK ASSESSMENT METHODS; REFERENCE POINTS; DATA-RICH; CATCH; MODEL; PERFORMANCE; INFERENCE; IMPACTS; TRENDS</t>
  </si>
  <si>
    <t>Implementation of the United Nations Sustainable Development Goals requires assessments of the global state of fish populations. While we have reliable estimates of stock status for fish populations accounting for approximately half of recent global catch, our knowledge of the state of the majority of the world's unassessed fish stocks remains highly uncertain. Numerous publications have produced estimates of the global status of these unassessed fisheries, but limited quantity and quality of data along with methodological differences have produced counterintuitive and conflicting results. Here, we show that despite numerous efforts, our understanding of the status of global fish stocks remains incomplete, even when new sources of broadly available data are added. Estimates of fish populations based primarily on catch histories on average performed 25% better than a random guess. But, on average, these methods assigned fisheries to the wrong FAO status category 57% of the time. Within these broad summaries, the performance of models trained on our tested data sources varied widely across regions. Substantial improvements to estimates of the state of the world's exploited fish populations depend more on expanded collection of new information and efficient use of existing data than development of new modelling methods.</t>
  </si>
  <si>
    <t>[Ovando, Daniel; Hilborn, Ray] Univ Washington, Sch Aquat &amp; Fishery Sci, 1122 NE Boat St Box 355020, Seattle, WA 98195 USA; [Monnahan, Cole; Thorson, James T.] NOAA Fisheries, Alaska Fisheries Sci Ctr, Seattle, WA USA; [Rudd, Merrill] Scaleabil LLC, Seattle, WA USA; [Sharma, Rishi; Ye, Yimin] Food &amp; Agr Org United Nat, Fisheries &amp; Aquaculture, Rome, Italy; [Rousseau, Yannick] Univ Tasmania, Inst Marine &amp; Antarctic Studies, Hobart, Tas, Australia</t>
  </si>
  <si>
    <t>University of Washington; University of Washington Seattle; National Oceanic Atmospheric Admin (NOAA) - USA; Food &amp; Agriculture Organization of the United Nations (FAO); University of Tasmania</t>
  </si>
  <si>
    <t>Ovando, D (corresponding author), Univ Washington, Sch Aquat &amp; Fishery Sci, 1122 NE Boat St Box 355020, Seattle, WA 98195 USA.;Ovando, D (corresponding author), 1122 NE Boat St,Box 355020, Seattle, WA 98193 USA.</t>
  </si>
  <si>
    <t>danovan@uw.edu</t>
  </si>
  <si>
    <t>Thorson, James T/O-7937-2014</t>
  </si>
  <si>
    <t>Thorson, James T/0000-0001-7415-1010; Ovando, Dan/0000-0003-2120-7345; Rousseau, Yannick/0000-0003-0765-7518; Sharma, Rishi/0000-0002-3818-9393</t>
  </si>
  <si>
    <t>Food and Agriculture Organization of the United Nations (FAO)</t>
  </si>
  <si>
    <t>Funding for this work was provided by the Food and Agriculture Organization of the United Nations (FAO). We thank participants of the FAO Methods for Global Assessment workshop held in Rome, Italy, February 2019 for helpful feedback on this project. We also thank A. Hordyk and one anonymous reviewer for their helpful comments. The scientific results and conclusions, as well as any views or opinions expressed herein, are those of the author(s) and do not necessarily reflect those of the FAO, NOAA or the Department of Commerce.</t>
  </si>
  <si>
    <t>1467-2960</t>
  </si>
  <si>
    <t>1467-2979</t>
  </si>
  <si>
    <t>FISH FISH</t>
  </si>
  <si>
    <t>Fish. Fish.</t>
  </si>
  <si>
    <t>10.1111/faf.12593</t>
  </si>
  <si>
    <t>WK5WZ</t>
  </si>
  <si>
    <t>WOS:000674286600001</t>
  </si>
  <si>
    <t>Gromig, R; Lebas, E; Savelieva, L; Pushina, Z; Fedorov, G; Brill, D; Lenz, MM; Krastel, S; Wagner, B; Kostromina, N; Mustafin, M; Melles, M</t>
  </si>
  <si>
    <t>Gromig, Raphael; Lebas, Elodie; Savelieva, Larisa; Pushina, Zina; Fedorov, Grigory; Brill, Dominik; Lenz, Marlene Margit; Krastel, Sebastian; Wagner, Bernd; Kostromina, Nataliya; Mustafin, Mark; Melles, Martin</t>
  </si>
  <si>
    <t>Sedimentation history of Lake Taymyr, Central Russian Arctic, since the Last Glacial Maximum</t>
  </si>
  <si>
    <t>ice-dammed lake; lake-level fluctuations; Last Glacial Maximum; North Taymyr Ice Marginal Zone; Taymyr Peninsula</t>
  </si>
  <si>
    <t>EURASIAN ICE SHEETS; LEVEL FLUCTUATIONS; SEVERNAYA ZEMLYA; LATE PLEISTOCENE; HOLOCENE VEGETATION; MARGINAL ZONE; PENINSULA; CLIMATE; ELGYGYTGYN; SIBERIA</t>
  </si>
  <si>
    <t>Hydro-acoustic and seismic data and 2- to 16-m-long sediment cores from the central area of Lake Taymyr (Taymyr Peninsula, central Russian Arctic) were investigated to reconstruct its sedimentation history. Granulometric, chronological, geochemical and biological data from the sediment cores reveal two lowstands and two highstands of the lake level, which is today located ca. 5 m above sea level during summer. Our study confirms the presence of an ice sheet blocking the drainage of Lake Taymyr during the latest Weichselian. Although chronological control of the sediment cores does not allow us to unambiguously constrain the time frame for each of the lake stages, the proposed timing of events is in good agreement with regional terrestrial archives as well as marine signals on the Kara Sea Shelf. Overall, the data show that the evolution of Lake Taymyr involved a complex interplay of regional climatic, glacial and sea-level changes.</t>
  </si>
  <si>
    <t>[Gromig, Raphael; Lenz, Marlene Margit; Wagner, Bernd; Melles, Martin] Univ Cologne, Inst Geol &amp; Mineral, Cologne, Germany; [Lebas, Elodie; Krastel, Sebastian] Univ Kiel, Inst Geosci, Kiel, Germany; [Savelieva, Larisa; Fedorov, Grigory; Kostromina, Nataliya; Mustafin, Mark] St Petersburg State Univ, St Petersburg, Russia; [Pushina, Zina] IS Gramberg All Russia Sci Res Inst Geol &amp; Minera, St Petersburg, Russia; [Fedorov, Grigory] Arctic &amp; Antarctic Res Inst, St Petersburg, Russia; [Brill, Dominik] Univ Cologne, Inst Geog, Cologne, Germany; [Gromig, Raphael] Simon Fraser Univ, Dept Earth Sci, Burnaby, BC, Canada; [Lebas, Elodie] Univ Paris, Inst Phys Globe Paris, CNRS, F-75005 Paris, France</t>
  </si>
  <si>
    <t>University of Cologne; University of Kiel; Saint Petersburg State University; Arctic &amp; Antarctic Research Institute; University of Cologne; Simon Fraser University; Centre National de la Recherche Scientifique (CNRS); Universite Paris Cite</t>
  </si>
  <si>
    <t>Gromig, R (corresponding author), Univ Cologne, Inst Geol &amp; Mineral, Cologne, Germany.</t>
  </si>
  <si>
    <t>gromigr@uni-koeln.de</t>
  </si>
  <si>
    <t>Wagner, Bernd/J-4682-2012; Savelieva, Larisa/H-9135-2013; Fedorov, Grigory/N-5788-2019; Melles, Martin/J-4070-2012; Brill, Dominik/O-2442-2015; Krastel, Sebastian/C-2001-2017</t>
  </si>
  <si>
    <t>Wagner, Bernd/0000-0002-1369-7893; Fedorov, Grigory/0000-0003-2269-4501; Melles, Martin/0000-0003-0977-9463; Kostromina, Natalia/0000-0003-2681-0565; Gromig, Raphael/0000-0001-9217-4259; Brill, Dominik/0000-0001-8637-4641; Lebas, Elodie/0000-0003-1617-143X; Lenz (nee Baumer), Marlene Margit/0000-0002-5352-3900; Krastel, Sebastian/0000-0002-5899-9748</t>
  </si>
  <si>
    <t>German Federal Ministry for Education and Research (BMBF) [03F0830, 03G0859]; Russian Foundation for Basic Research (RFBR) [18-05-60291]; Projekt DEAL; German Research Ministry; Russian Research Ministry</t>
  </si>
  <si>
    <t>German Federal Ministry for Education and Research (BMBF)(Federal Ministry of Education &amp; Research (BMBF)); Russian Foundation for Basic Research (RFBR)(Russian Foundation for Basic Research (RFBR)); Projekt DEAL; German Research Ministry; Russian Research Ministry</t>
  </si>
  <si>
    <t>The PLOT project is conducted within the framework of a bilateral Russian-German agreement in the field of polar and marine research and is funded by the German and Russian Research Ministries. Financial support for this study was provided by the German Federal Ministry for Education and Research (BMBF; grants 03F0830 and 03G0859). The work of G. Fedorov and N. Kostromina was additionally supported by the Russian Foundation for Basic Research (RFBR; grant 18-05-60291). Nicole Mantke and Dorothea Klinghardt are acknowledged for their assistance during the laboratory work. We are grateful to the editor Neil Roberts and the guest editor John Inge Svendsen as well as two anonymous reviewers, who significantly helped to improve the manuscript. Open Access funding enabled and organized by Projekt DEAL.</t>
  </si>
  <si>
    <t>10.1002/jqs.3342</t>
  </si>
  <si>
    <t>WOS:000674501300001</t>
  </si>
  <si>
    <t>Upadhyay, K; Tripathi, N; Vachharajani, B; Rajak, DR; Bahuguna, IM</t>
  </si>
  <si>
    <t>Upadhyay, Kruti; Tripathi, Naveen; Vachharajani, Bhasha; Rajak, D. Ram; Bahuguna, I. M.</t>
  </si>
  <si>
    <t>Deriving Sea Ice Images from Super Resolution SCATSAT-1 Data over the Antarctic: Operational Method and Accuracy Assessment</t>
  </si>
  <si>
    <t>JOURNAL OF THE INDIAN SOCIETY OF REMOTE SENSING</t>
  </si>
  <si>
    <t>Sea ice; Sea ice concentration; SCATSAT-1; Scatterometer; AMSR-2</t>
  </si>
  <si>
    <t>EXTENT; EDGE</t>
  </si>
  <si>
    <t>Sea ice has an intense impact on the polar environment, ocean circulation, weather and regional climate. Unexpected melting of sea ice, which is considered as one of the climate change effects, has become a potential threat to the Earth's climate. The regular monitoring of sea ice and its extent has become very important towards understanding of sea ice temporal dynamics. In this study, we present an operational technique of generation of sea ice images and sea ice area (derived from the images) using level-4 data from Indian Scatterometer SCATSAT-1. Using hierarchical classification rules, the threshold-based technique has been developed and applied to generate super-resolution (2.25 km) daily sea ice images over the Antarctic for the years 2017 and 2018. The technique uses four SCATSAT-1 data products, i.e. Gamma0 [Horizontal (H) and Vertical (V)] and Brightness Temperature (H and V) to classify sea ice, open water and other classes. Classification accuracy has been assessed by comparing SCATSAT-1 sea ice images with those obtained from AMSR2 sea ice concentration data. The comparison shows that there is around 96.1% matching of sea ice classification between SCATSAT-1 and AMSR-2 SIC derived sea ice images. Hence, it indicates that the super-resolution data of SCATSAT-1 is well capable of distinguishing sea ice from water.</t>
  </si>
  <si>
    <t>[Upadhyay, Kruti; Vachharajani, Bhasha] Pandit Deendayal Petr Univ, Dept Math, Gandhinagar, Gujarat, India; [Tripathi, Naveen; Rajak, D. Ram; Bahuguna, I. M.] Indian Space Res Org ISRO, Ctr Space Applicat, Ahmadabad, Gujarat, India</t>
  </si>
  <si>
    <t>Pandit Deendayal Energy University; Department of Space (DoS), Government of India; Indian Space Research Organisation (ISRO); Space Applications Centre (SAC)</t>
  </si>
  <si>
    <t>Upadhyay, K (corresponding author), Pandit Deendayal Petr Univ, Dept Math, Gandhinagar, Gujarat, India.</t>
  </si>
  <si>
    <t>krutiben.uphd16@sot.pdpu.ac.in; naveent@sac.isro.gov.in; bhasha.vachharajani@sot.pdpu.ac.in; rajakdr@sac.isro.gov.in; imbahuguna@sac.isro.gov.in</t>
  </si>
  <si>
    <t>; UPADHYAY, KRUTI/O-7088-2016</t>
  </si>
  <si>
    <t>Tripathi, Naveen/0000-0003-2265-8797; UPADHYAY, KRUTI/0000-0003-1049-4422</t>
  </si>
  <si>
    <t>0255-660X</t>
  </si>
  <si>
    <t>0974-3006</t>
  </si>
  <si>
    <t>J INDIAN SOC REMOTE</t>
  </si>
  <si>
    <t>J. Indian Soc. Remote Sens.</t>
  </si>
  <si>
    <t>10.1007/s12524-021-01412-8</t>
  </si>
  <si>
    <t>Environmental Sciences; Remote Sensing</t>
  </si>
  <si>
    <t>WE4GL</t>
  </si>
  <si>
    <t>WOS:000674206100001</t>
  </si>
  <si>
    <t>Alter, K; Morash, AJ; Andrewartha, SJ; Andrew, S; Clark, TD; Elliott, NG; Frappell, PB</t>
  </si>
  <si>
    <t>Alter, K.; Morash, A. J.; Andrewartha, S. J.; Andrew, S.; Clark, T. D.; Elliott, N. G.; Frappell, P. B.</t>
  </si>
  <si>
    <t>Aerobic and anaerobic movement energetics of hybrid and pure parental abalone</t>
  </si>
  <si>
    <t>JOURNAL OF COMPARATIVE PHYSIOLOGY B-BIOCHEMICAL SYSTEMS AND ENVIRONMENTAL PHYSIOLOGY</t>
  </si>
  <si>
    <t>Locomotion; Anaerobic enzyme activity; Hybrid vigour; Gastropod</t>
  </si>
  <si>
    <t>NEW-ZEALAND ABALONE; HALIOTIS-LAEVIGATA; GREENLIP ABALONE; OXYGEN-CONSUMPTION; GROWTH-RATE; AUSTRALIAN ABALONE; FEEDING-BEHAVIOR; NORTHERN ABALONE; BIOMASS RETURN; GENUS-HALIOTIS</t>
  </si>
  <si>
    <t>The underlying mechanisms controlling growth heterosis in marine invertebrates remain poorly understood. We used pure blacklip (Haliotis rubra) and greenlip (Haliotis laevigata) abalone, as well as their hybrid, to test whether differences in movement and/or aerobic versus anaerobic energy use are linked to a purported increased growth rate in hybrids. Abalone were acclimated to control (16 degrees C) and typical summer temperatures (23 degrees C), each with oxygen treatments of 100% air saturation -(O(2)sat) or 70% -O(2)sat. The experiment then consisted of two phases. During the first phase (chronic exposure), movement and oxygen consumption rates (.O2) of abalone were measured during a 2 day observation period at stable acclimation conditions. Additionaly, lactate dehydrogenase (LDH) and tauropine dehydrogenase (TDH) activities were measured. During phase two (acute exposure), -O2sat was raised to 100% for abalone acclimated to 70% -O(2)sat followed by an acute decrease in oxygen to anoxia for all acclimation groups during which movement and.O-2 were determined again. During the chronic exposure, hybrids and H. laevigata moved shorter distances than H. rubra. Resting.O2, LDH and TDH activities, however, were similar between abalone types but were increased at 23 degrees C compared to 16 degrees C. During the acute exposure, the initial increase to 100% -O(2)sat for individuals acclimated to 70% -O(2)sat resulted in increased movement compared to individuals acclimated to 100% -O(2)sat for hybrids and H. rubra when compared within type of abalone. Similarly,.O-2 during spontaneous activity of all three types of abalone previously subjected to 70% -O(2)sat increased above those at 100% -O(2)sat. When oxygen levels had dropped below the critical oxygen level -(Pcrit), movement in hybrids and H. laevigata increased up to 6.5-fold compared to movement above -Pcrit. Differences in movement and energy use between hybrids and pure species were not marked enough to support the hypothesis that the purportedly higher growth in hybrids is due to an energetic advantage over pure species.</t>
  </si>
  <si>
    <t>[Alter, K.; Morash, A. J.; Andrewartha, S. J.; Clark, T. D.; Elliott, N. G.; Frappell, P. B.] Univ Tasmania, Inst Marine &amp; Antarctic Studies, Hobart, Tas, Australia; [Alter, K.; Morash, A. J.; Andrewartha, S. J.; Clark, T. D.; Elliott, N. G.] CSIRO, Agr Flagship, Hobart, Tas, Australia; [Alter, K.] Royal Netherlands Inst Sea Res, Dept Coastal Syst, Den Burg, North Holland, Netherlands; [Morash, A. J.; Andrew, S.] Mt Allison Univ, Fac Sci, Sackville, NB, Canada; [Andrewartha, S. J.] Univ Tasmania, Inst Agr, Hobart, Tas, Australia; [Clark, T. D.] Deakin Univ, Sch Life &amp; Environm Sci, Geelong, Vic, Australia</t>
  </si>
  <si>
    <t>University of Tasmania; Commonwealth Scientific &amp; Industrial Research Organisation (CSIRO); Utrecht University; Royal Netherlands Institute for Sea Research (NIOZ); Mount Allison University; University of Tasmania; Deakin University</t>
  </si>
  <si>
    <t>Alter, K (corresponding author), Univ Tasmania, Inst Marine &amp; Antarctic Studies, Hobart, Tas, Australia.;Alter, K (corresponding author), CSIRO, Agr Flagship, Hobart, Tas, Australia.;Alter, K (corresponding author), Royal Netherlands Inst Sea Res, Dept Coastal Syst, Den Burg, North Holland, Netherlands.</t>
  </si>
  <si>
    <t>katharina.alter@nioz.nl</t>
  </si>
  <si>
    <t>Andrewartha, Sarah/K-4189-2012; Frappell, Peter/D-1159-2013; Clark, Timothy/K-7129-2012; Alter, Katharina/J-5900-2013</t>
  </si>
  <si>
    <t>Andrewartha, Sarah/0000-0003-1973-9502; Morash, Andrea/0000-0001-6161-9999; Frappell, Peter/0000-0001-6528-5447; Clark, Timothy/0000-0001-8738-3347; Elliott, Nicholas/0000-0003-4635-2143; Alter, Katharina/0000-0002-1801-748X</t>
  </si>
  <si>
    <t>University of Tasmania; Sense-T Program; Commonwealth Scientific and Industrial Research Organisation</t>
  </si>
  <si>
    <t>University of Tasmania; Sense-T Program; Commonwealth Scientific and Industrial Research Organisation(Commonwealth Scientific &amp; Industrial Research Organisation (CSIRO))</t>
  </si>
  <si>
    <t>This research was funded by the University of Tasmania, the Sense-T Program and the Commonwealth Scientific and Industrial Research Organisation.</t>
  </si>
  <si>
    <t>0174-1578</t>
  </si>
  <si>
    <t>1432-136X</t>
  </si>
  <si>
    <t>J COMP PHYSIOL B</t>
  </si>
  <si>
    <t>J. Comp. Physiol. B-Biochem. Syst. Environ. Physiol.</t>
  </si>
  <si>
    <t>10.1007/s00360-021-01388-4</t>
  </si>
  <si>
    <t>Physiology; Zoology</t>
  </si>
  <si>
    <t>WS2TF</t>
  </si>
  <si>
    <t>WOS:000673742200001</t>
  </si>
  <si>
    <t>Kantor, YI; Fedosov, AE; Kosyan, AR; Puillandre, N; Sorokin, PA; Kano, Y; Clark, R; Bouchet, P</t>
  </si>
  <si>
    <t>Kantor, Yuri, I; Fedosov, Alexander E.; Kosyan, Alisa R.; Puillandre, Nicolas; Sorokin, Pavel A.; Kano, Yasunori; Clark, Roger; Bouchet, Philippe</t>
  </si>
  <si>
    <t>Molecular phylogeny and revised classification of the Buccinoidea (Neogastropoda)</t>
  </si>
  <si>
    <t>anatomy; Bayesian inference; zoogeography; shell morphology; COI mtDNA; molecular phylogeny</t>
  </si>
  <si>
    <t>GENUS CHAUVETIA GASTROPODA; WESTERN ATLANTIC; BUCCINIDAE; MOLLUSCA; ANATOMY; CAENOGASTROPODA; NASSARIIDAE; PACIFIC; GENERA; SYSTEMATICS</t>
  </si>
  <si>
    <t>The superfamily Buccinoidea is distributed across the oceans of the world from the Arctic Ocean to the Antarctic and from intertidal to abyssal depths. It encompasses 3351 recent species in 337 genera. The latest taxonomic account recognized eight full families. For the first time, the monophyly of the superfamily and the relationships among the families are tested with molecular data supplemented by anatomical and radula data. Five genetic markers were used: fragments of mitochondrial COI, 16S rRNA, 12S rRNA and nuclear Histone 3 (H3) and 28S rRNA genes (for 225 species of 117 genera). Our analysis recovered Buccinoidea monophyletic in Bayesian analyses. The relationships between the formerly recognized families and subfamilies are drastically revised and a new classification of the superfamily is here proposed, now including 20 taxa of family rank and 23 subfamilies. Five new families (Chauvetiidae, Dolicholatiridae, Eosiphonidae, Prodotiidae and Retimohniidae) and one subfamily of Nassariidae (Tomliniinae) are described. Austrosiphonidae and Tudiclidae are resurrected from synonymy and employed in a new taxonomical extension. All but 40 recent genera are reclassified. Our results demonstrate that anatomy is rather uniform within the superfamily. With exceptions, the rather uniform radular morphology alone does not allow the allocation of genera to a particular family without additional molecular data.</t>
  </si>
  <si>
    <t>[Kantor, Yuri, I; Fedosov, Alexander E.; Kosyan, Alisa R.; Sorokin, Pavel A.] Russian Acad Sci, AN Severtsov Inst Ecol &amp; Evolut, 33 Leninski Prospect, Moscow 119071, Russia; [Kantor, Yuri, I; Puillandre, Nicolas; Bouchet, Philippe] Univ Antilles, Inst Systemat Evolut Biodiversite ISYEB, Museum Natl Hist Nat, CNRS,EPHE,Sorbonne Univ, 57 Rue Cuvier,CP 51, F-75005 Paris, France; [Kano, Yasunori] Univ Tokyo, Atmosphere &amp; Ocean Res Inst, 5-1-5 Kashiwanoha, Kashiwa, Chiba 2778564, Japan; [Clark, Roger] Santa Barbara Museum Nat Hist, 2559 Puesta Sol, Santa Barbara, CA 93105 USA</t>
  </si>
  <si>
    <t>Russian Academy of Sciences; Saratov Scientific Center of the Russian Academy of Sciences; Severtsov Institute of Ecology &amp; Evolution; Sorbonne Universite; Centre National de la Recherche Scientifique (CNRS); Museum National d'Histoire Naturelle (MNHN); Universite PSL; Ecole Pratique des Hautes Etudes (EPHE); University of Tokyo</t>
  </si>
  <si>
    <t>Kantor, YI (corresponding author), Univ Antilles, Inst Systemat Evolut Biodiversite ISYEB, Museum Natl Hist Nat, CNRS,EPHE,Sorbonne Univ, 57 Rue Cuvier,CP 51, F-75005 Paris, France.</t>
  </si>
  <si>
    <t>kantor.yuri1956@gmail.com</t>
  </si>
  <si>
    <t>Bouchet, Philippe/ABA-9950-2020; Puillandre, Nicolas/C-9208-2012; Kantor, Yuri/D-5259-2014; Kantor, Yuri/HKW-8238-2023; Fedosov, Alexander/J-5400-2015</t>
  </si>
  <si>
    <t>Bouchet, Philippe/0000-0001-5864-8676; Kantor, Yuri/0000-0002-3209-4940; Kantor, Yuri/0000-0002-3209-4940; Fedosov, Alexander/0000-0002-8035-1403; Sorokin, Pavel/0000-0001-8462-8804</t>
  </si>
  <si>
    <t>Total Foundation; Prince Albert II of Monaco Foundation; Stavros Niarchos Foundation; Richard Lounsbery Foundation; Philippines Bureau of Fisheries and Aquatic Resources (BFAR); Russian Science Foundation [16-14-10118-Pi]; European Research Council (ERC) under the European Union [865101]; JSPS KAKENHI [18H02494, 19H00999]; Grants-in-Aid for Scientific Research [19KK0385, 18H02494, 19H00999] Funding Source: KAKEN; European Research Council (ERC) [865101] Funding Source: European Research Council (ERC)</t>
  </si>
  <si>
    <t>Total Foundation(Total SA); Prince Albert II of Monaco Foundation; Stavros Niarchos Foundation; Richard Lounsbery Foundation; Philippines Bureau of Fisheries and Aquatic Resources (BFAR); Russian Science Foundation(Russian Science Foundation (RSF)); European Research Council (ERC) under the European Union(European Research Council (ERC));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 European Research Council (ERC)(European Research Council (ERC)Spanish Government)</t>
  </si>
  <si>
    <t>A large part of the molecular material in this paper originates from various shore-based expeditions and deep-sea cruises, conducted, respectively, by MNHN and Pro-Natura International (PNI) aspartof the Our Planet Reviewed programme, and by MNHN and Institut de Recherche pour le Developpement (IRD) as part of the Tropical Deep-Sea Benthos programme (in alphabetic order): ATIMO VATAE, AURORA 2007, BIOPAPUA, BOA1, CONCALIS, CORSICABENTHOS1, DongSha 2014, EBISCO, GUYANE 2014, ILES DU SALUT, INHACA 2011, KANACONO, KARUBENTHOS 2012, KARUBENTHOS 2, KAVALAN 2018, KOUMAC 2.1, MADIBENTHOS, MAINBAZA, MIRIKY, NanHai 2014, NORFOLK 2, PANGLAO 2004, PANGLAO 2005, PAPUA NIUGINI, SALOMON 2, SALOMONBOA 3, SANTO 2006, TAIWAN 2004, TARASOC,TERRASSES, Tuhaa Pae 2013, ZhongSha 2015. Funders, sponsors and partners include the Total Foundation, Prince Albert II of Monaco Foundation, Stavros Niarchos Foundation, Richard Lounsbery Foundation, and the Philippines Bureau of Fisheries and Aquatic Resources (BFAR). We thank, among others, Virginie Heros, Philippe Maestrati, Barbara Buge and Ellen Strong for their role in specimen processing during the expeditions and in MNHN.; We are thankful to our colleagues who collected or made available to us key material from different parts of the world, particularly Stefano Schiaparelli (Italian National Antarctic Museum, Genova, Italy), Enrico Schwabe (Bavarian State Collection of Zoology, Munich, Germany), Serge Gofas (Universidad de Malaga, Spain), Christiane Delongueville and Roland Scaillet (Brussels, Belgium), Jonbjorn Palsson and Steinunn Hilma Olafsdottir (Marine and Freshwater Research Institute, Hafnarfjordur, Iceland), Marco Oliverio (Sapienza University, Rome, Italy), Douglas Eernisse (California State University, Fullerton, USA), Francesco Criscione (Australian Museum, Sydney, Australia), Ivan Nekhaev (Saint Petersburg University, Russia). Felix Vaux shared with us molecular data on New Zealand and Australian species, Bruce Marshall assisted with the specimens and photographs from NMNZ. S. Zvonareva and E. Mekhova (IEEE) assisted in collection of material in Vietnam and helped with photography.; The contributions of Yu. Kantor, A. Kosyan, P. Sorokin and A. Fedosov were financially supported by Russian Science Foundation (grant No. 16-1410118-., PI Yu. Kantor). This project has received funding from the European Research Council (ERC) under the European Union's Horizon 2020 research and innovation programme (grant agreement No. 865101). Financial support was also provided by JSPS KAKENHI grants to Y. Kano (Nos 18H02494 and 19H00999). The authors declare no conflict of interests.</t>
  </si>
  <si>
    <t>MAR 8</t>
  </si>
  <si>
    <t>10.1093/zoolinnean/zlab031</t>
  </si>
  <si>
    <t>ZP3FA</t>
  </si>
  <si>
    <t>WOS:000764717200001</t>
  </si>
  <si>
    <t>Szuminska, D; Potapowicz, J; Szopinska, M; Czapiewski, S; Falk, U; Frankowski, M; Polkowska, Z</t>
  </si>
  <si>
    <t>Szuminska, Danuta; Potapowicz, Joanna; Szopinska, Malgorzata; Czapiewski, Sebastian; Falk, Ulrike; Frankowski, Marcin; Polkowska, Zaneta</t>
  </si>
  <si>
    <t>Sources and composition of chemical pollution in Maritime Antarctica (King George Island), part 2: Organic and inorganic chemicals in snow cover at the Warszawa Icefield</t>
  </si>
  <si>
    <t>Snow pollution; Trace metals; PAHs; Warszawa Icefield; King George Island; Antarctica</t>
  </si>
  <si>
    <t>POLYCYCLIC AROMATIC-HYDROCARBONS; TRACE-ELEMENT CONTAMINATION; SOUTH SHETLAND ISLANDS; FILDES PENINSULA; ENVIRONMENTAL COMPARTMENTS; BACK-TRAJECTORIES; DECEPTION ISLAND; WEST ANTARCTICA; LAKE-SEDIMENTS; CLIMATE-CHANGE</t>
  </si>
  <si>
    <t>The study area is located on King George Island, where 90% of the area is permanently glaciated. This study provides a comprehensive analysis of the inorganic and organic chemistry of snow cover in the icefield and a comparison against previous results obtained in fresh water. Snow samples were collected in the summer of 2017 in the Warszawa Icefield area. Sampling points are located along two transects: between the Arctowski Polish Polar Station and the Carlini Base (N = 4), and from the forefield to the upper part of Ecology Glacier (N = 5). In the snow samples, (1) basic ions, (2) major trace metals and metalloids (and B), and (3) polycyclic aromatic hydrocarbons (PAHs) were detected and quantified. Additionally, the parameters of pH, specific electrolytic conductivity (SEC25) and total organic carbon (TOC) were determined. The results show a low concentration of inorganic elements (&lt;30 mg/L), TOC (&lt;1 mg/L) and PAHs (0.11-1.4 ng/L) in collected snow samples. A slight increase in PAHs and heavy-metals concentration has been observed at the marginal parts of the icefield, which suggests the impact of scientific stations. Based on this result there is a need to conduct research on pollutant levels in ice cores on King George Island to assess the risk associated with rapid glacier thawing and pollution remobilisation. (C) 2021 The Authors. Published by Elsevier B.V.</t>
  </si>
  <si>
    <t>[Szuminska, Danuta; Czapiewski, Sebastian] Kazimierz Wielki Univ, Inst Geog, 8 Koscielecki Sq, PL-85033 Bydgoszcz, Poland; [Potapowicz, Joanna; Polkowska, Zaneta] Gdansk Univ Technol, Fac Chem, Analyt Chem Dept, 11-12 Narutowicza St, PL-80233 Gdansk, Poland; [Szopinska, Malgorzata] Gdansk Univ Technol, Fac Civil &amp; Environm Engn, Dept Water &amp; Wastewater Technol, 11-12 Narutowicza St, PL-80233 Gdansk, Poland; [Falk, Ulrike] Bremen Univ, Inst Geog, Climate Lab, D-28359 Bremen, Germany; [Frankowski, Marcin] Adam Mickiewicz Univ, Fac Chem, Dept Environm &amp; Analyt Chem, 8 Uniwersretu Poznanskiego St, PL-61614 Poznan, Poland</t>
  </si>
  <si>
    <t>Kazimierz Wielki University; Fahrenheit Universities; Gdansk University of Technology; Fahrenheit Universities; Gdansk University of Technology; University of Bremen; Adam Mickiewicz University</t>
  </si>
  <si>
    <t>Szuminska, D (corresponding author), Kazimierz Wielki Univ, Inst Geog, 8 Koscielecki Sq, PL-85033 Bydgoszcz, Poland.</t>
  </si>
  <si>
    <t>dszum@ukw.edu.pl</t>
  </si>
  <si>
    <t>Polkowska, Zaneta/AAA-3578-2020; Marcin, Frankowski/A-4608-2010; Czapiewski, Sebastian/GZH-1035-2022; Szumińska, Danuta/AAM-5133-2020</t>
  </si>
  <si>
    <t>Marcin, Frankowski/0000-0001-6315-3758; Czapiewski, Sebastian/0000-0001-8010-1378; Szumińska, Danuta/0000-0001-7142-9080; Szopinska, Malgorzata/0000-0003-2186-7781; Polkowska, Zaneta/0000-0002-2730-0068</t>
  </si>
  <si>
    <t>Project Supporting Maintenance of Research Potential at Kazimierz Wielki University; National Science Centre, Poland [NCN 2020/37/N/ST10/02199]</t>
  </si>
  <si>
    <t>Project Supporting Maintenance of Research Potential at Kazimierz Wielki University; National Science Centre, Poland(National Science Centre, Poland)</t>
  </si>
  <si>
    <t>The data used in the article were collected at the Henryk Arctowski Polish Antarctic Station in 2017. This study was financed by Project Supporting Maintenance of Research Potential at Kazimierz Wielki University and also partially funded by the National Science Centre, Poland grant NCN 2020/37/N/ST10/02199 awarded to J. Potapowicz. We are grateful to Tomasz Budzik, Martin Gingis, Przemysaw Kapuciski and Magorzata Witczak for their help during sampling.</t>
  </si>
  <si>
    <t>NOV 20</t>
  </si>
  <si>
    <t>10.1016/j.scitotenv.2021.149054</t>
  </si>
  <si>
    <t>UR9IR</t>
  </si>
  <si>
    <t>WOS:000697054000012</t>
  </si>
  <si>
    <t>Crotti, I; Landais, A; Stenni, B; Bazin, L; Parrenin, F; Frezzotti, M; Ritterbusch, F; Lu, ZT; Jiang, W; Yang, GM; Fourré, E; Orsi, A; Jacob, R; Minster, B; Prié, F; Dreossi, G; Barbante, C</t>
  </si>
  <si>
    <t>Crotti, Ilaria; Landais, Amaelle; Stenni, Barbara; Bazin, Lucie; Parrenin, Frederic; Frezzotti, Massimo; Ritterbusch, Florian; Lu, Zheng-Tian; Jiang, Wei; Yang, Guo-Min; Fourre, Elise; Orsi, Anais; Jacob, Roxanne; Minster, Benedicte; Prie, Frederic; Dreossi, Giuliano; Barbante, Carlo</t>
  </si>
  <si>
    <t>An extension of the TALDICE ice core age scale reaching back to MIS 10.1</t>
  </si>
  <si>
    <t>Ice core chronology; East Antarctica; Kr-81 dating</t>
  </si>
  <si>
    <t>EPICA DOME-C; ABRUPT CLIMATE-CHANGE; ANTARCTIC ICE; TALOS DOME; POLAR ICE; CHRONOLOGY AICC2012; EAST ANTARCTICA; FIRN; DELTA-O-18(ATM); DELTA-N-15</t>
  </si>
  <si>
    <t>TALDICE (TALos Dome Ice CorE) is a 1620 m deep ice core drilled at Talos Dome, an ice dome located at the edge of the East Antarctic Plateau in the Ross Sea Sector. The Antarctic Ice Core Common Chronology (AICC2012) extended the age scale of the core until similar to 150 ka (1438 m depth) (Bazin et al., 2013), while no age scale was available below 1438 m depth. In this work we present the new TALDICE-deep1 chronology using the new measurements of delta O-18(atm), delta D and Kr-81 as well as the inverse model IceChrono1. The TALDICE-deep1 chronology stops at 1548 m, as the portion below this depth is probably affected by mixing processes. The new age scale extends the climate record for the Ross Sea Sector of the East Antarctic Ice Sheet back to MIS 10.1-343 ka (1548 m depth) and identifies both MIS 7 and 9 warm stages, which show specificities in the delta D signal. However, it is not possible to recover the isotopic record beyond stage 10.1 as the signal shows a quasi-flat shape. Thereby, the new chronology TADICE-deep1 doubles the extension of the previous age scale as it covers the three past glacial/interglacial cycles. (C) 2021 The Authors. Published by Elsevier Ltd.</t>
  </si>
  <si>
    <t>[Crotti, Ilaria; Stenni, Barbara; Barbante, Carlo] Ca Foscari Univ, Dept Environm Sci Informat &amp; Stat, I-30172 Venice, Italy; [Crotti, Ilaria; Landais, Amaelle; Bazin, Lucie; Fourre, Elise; Orsi, Anais; Jacob, Roxanne; Minster, Benedicte; Prie, Frederic] Univ Paris Saclay, Lab Sci Climat &amp; Environm LSCE IPSL, CEA CNRS UVSQ, F-91191 Gif Sur Yvette, France; [Parrenin, Frederic] Univ Grenoble Alpes, IGE, CNRS, IRD, F-38058 Grenoble, France; [Frezzotti, Massimo] Roma Tre Univ, Dept Sci, I-00154 Rome, Italy; [Ritterbusch, Florian; Lu, Zheng-Tian; Jiang, Wei; Yang, Guo-Min] Univ Sci &amp; Technol China, Hefei 230026, Peoples R China; [Stenni, Barbara; Dreossi, Giuliano; Barbante, Carlo] CNR, Inst Polar Sci ISP, I-30172 Venice, Italy</t>
  </si>
  <si>
    <t>Universita Ca Foscari Venezia; Universite Paris Cite; CEA; Centre National de la Recherche Scientifique (CNRS); Universite Paris Saclay; Communaute Universite Grenoble Alpes; Universite Grenoble Alpes (UGA); Centre National de la Recherche Scientifique (CNRS); Institut de Recherche pour le Developpement (IRD); Italfarmaco; Roma Tre University; Chinese Academy of Sciences; University of Science &amp; Technology of China, CAS; Consiglio Nazionale delle Ricerche (CNR); Istituto di Scienze Polari (ISP-CNR)</t>
  </si>
  <si>
    <t>Crotti, I (corresponding author), Ca Foscari Univ, Dept Environm Sci Informat &amp; Stat, I-30172 Venice, Italy.</t>
  </si>
  <si>
    <t>ila.crotti@unive.it</t>
  </si>
  <si>
    <t>Barbante, Carlo/B-3195-2011; FREZZOTTI, Massimo/AAK-7275-2020; Jiang, Wei/V-2995-2019; Lu, Zheng-Tian/G-1131-2017</t>
  </si>
  <si>
    <t>FREZZOTTI, Massimo/0000-0002-2461-2883; Jiang, Wei/0000-0002-6355-7637; Barbante, Carlo/0000-0003-4177-2288; Crotti, Ilaria/0000-0002-7270-6446; Stenni, Barbara/0000-0003-4950-3664</t>
  </si>
  <si>
    <t>MIUR [PNRA18_00098]; European Research Council under the European Union H2020 Programme (H2020/2019-2024) /ERC grant [817493 ERC ICORDA]; National Key Research and Development Program of China [2016YFA0302200]; National Natural Science Foundation of China [41727901]; European Union's Horizon 2020 research and innovation programme [815384]; Universita Italo-Francese/Universite Franco-Italienne; Vinci Scholarship; H2020 Societal Challenges Programme [815384] Funding Source: H2020 Societal Challenges Programme</t>
  </si>
  <si>
    <t>MIUR(Ministry of Education, Universities and Research (MIUR)); European Research Council under the European Union H2020 Programme (H2020/2019-2024) /ERC grant; National Key Research and Development Program of China; National Natural Science Foundation of China(National Natural Science Foundation of China (NSFC)); European Union's Horizon 2020 research and innovation programme; Universita Italo-Francese/Universite Franco-Italienne; Vinci Scholarship; H2020 Societal Challenges Programme(Horizon 2020European Union (EU)H2020 Societal Challenges Programme)</t>
  </si>
  <si>
    <t>This work is part of the TALDEEP project funded by MIUR (PNRA18_00098) . The Talos Dome Ice core Project (TALDICE) , a joint European program, is funded by national contributions from Italy, France, Germany, Switzerland and the United Kingdom. Primary logistical support was provided by PNRA at Talos Dome. This is TALDICE publication no 60. The research leading to these results has also received funding from the European Research Council under the European Union H2020 Programme (H2020/20192024) /ERC grant agreement no. 817493 ERC ICORDA.; This work is funded by the National Key Research and Devel-opment Program of China (2016YFA0302200) , National Natural Science Foundation of China (41727901) .; This publication was generated in the frame of Beyond EPICA. The project has received funding from the European Union's Horizon 2020 research and innovation programme under grant agreement No. 815384 (Oldest Ice Core) . It is supported by national partners and funding agencies in Belgium, Denmark, France, Germany, Italy, Norway, Sweden, Switzerland, The Netherlands and the United Kingdom. Logistic support is mainly provided by ENEA and IPEV through the Concordia Station system. The opinions expressed and arguments employed herein do not necessarily reflect the official views of the European Union funding agency or other na-tional funding bodies. This is Beyond EPICA publication number 20.; The author acknowledges funding from Universita Italo-Fran-cese/Universite Franco-Italienne and the Vinci Scholarship for co-tutorship Ph.D. program.; We also thank Antoine Grisart who contributed to this work analyzing the delta18Oatm composition in 7 samples of the EDC core, which helped in refining TALDICEdeep1 chronology.</t>
  </si>
  <si>
    <t>10.1016/j.quascirev.2021.107078</t>
  </si>
  <si>
    <t>TZ2HG</t>
  </si>
  <si>
    <t>WOS:000684295900008</t>
  </si>
  <si>
    <t>Alt, KG; Cunze, S; Kochmann, J; Klimpel, S</t>
  </si>
  <si>
    <t>Alt, Katharina G.; Cunze, Sarah; Kochmann, Judith; Klimpel, Sven</t>
  </si>
  <si>
    <t>Parasites of Three Closely Related Antarctic Fish Species (Teleostei: Nototheniinae) from Elephant Island</t>
  </si>
  <si>
    <t>ACTA PARASITOLOGICA</t>
  </si>
  <si>
    <t>Demersal fish; Marine food webs; Antarctic parasites; Southern Ocean</t>
  </si>
  <si>
    <t>KRILL EUPHAUSIA-SUPERBA; PSEUDOTERRANOVA-DECIPIENS KRABBE; SOUTH-SHETLAND ISLANDS; MCMURDO SOUND; WEDDELL SEA; FOOD-WEB; SUPRABENTHIC FAUNA; HOST-SPECIFICITY; DEMERSAL FISH; ECOLOGY</t>
  </si>
  <si>
    <t>Background Studies of parasite communities and patterns in the Antarctic are an important knowledge base with the potential to track shifts in ecological relations and study the effects of climate change on host-parasite systems. Endemic Nototheniinae is the dominant fish group found in Antarctic marine habitats. Through their intermediate position within the food web, Nototheniinae link lower to higher trophic levels and thereby also form an important component of parasite life cycles. The study was set out to gain insight into the parasite fauna of Nototheniops larseni, N. nudifrons and Lepidonotothen squamifrons (Nototheniinae) from Elephant Island (Antarctica). Methods Sampling was conducted at three locations around Elephant Island during the ANT-XXVIII/4 expedition of the research vessel Polarstern. The parasite fauna of three Nototheniine species was analysed, and findings were compared to previous parasitological and ecological research collated from a literature review. Results All host species shared the parasites Neolebouria antarctica (Digenea), Corynosoma bullosum (Acanthocephala) and Pseudoterranova decipiens E (Nematoda). Other parasite taxa were exclusive to one host species in this study. Nototheniops nudifrons was infected by Ascarophis nototheniae (Nematoda), occasional infections of N. larseni with Echinorhynchus petrotschenkoi (Acanthocephala) and L. squamifrons with Elytrophalloides oatesi (Digenea) and larval tetraphyllidean Cestoda were detected. Conclusion All examined fish species' parasites were predominantly euryxenous regarding their fish hosts. The infection of Lepidonotothen squamifrons with Lepidapedon garrardi (Digenea) and Nototheniops larseni with Echinorhynchus petrotschenkoi represent new host records. Despite the challenges and limited opportunities for fishing in remote areas, future studies should continue sampling on a more regular basis and include a larger number of fish species and sampling sites within different habitats.</t>
  </si>
  <si>
    <t>[Alt, Katharina G.; Cunze, Sarah; Klimpel, Sven] Goethe Univ, Inst Ecol Evolut &amp; Divers, D-60438 Frankfurt, Germany; [Kochmann, Judith; Klimpel, Sven] Senckenberg Gesell Nat Forsch, Senckenberg Biodivers &amp; Climate Res Ctr, D-60325 Frankfurt, Germany</t>
  </si>
  <si>
    <t>Goethe University Frankfurt; Senckenberg Gesellschaft fur Naturforschung (SGN); Senckenberg Biodiversitat &amp; Klima- Forschungszentrum (BiK-F)</t>
  </si>
  <si>
    <t>Alt, KG (corresponding author), Goethe Univ, Inst Ecol Evolut &amp; Divers, D-60438 Frankfurt, Germany.</t>
  </si>
  <si>
    <t>alt@bio.uni-frankfurt.de</t>
  </si>
  <si>
    <t>Kochmann, Judith/AAG-3574-2021</t>
  </si>
  <si>
    <t>Kochmann, Judith/0000-0001-6312-7859; Alt, Katharina G./0000-0003-2950-6470</t>
  </si>
  <si>
    <t>Projekt DEAL</t>
  </si>
  <si>
    <t>Open Access funding enabled and organized by Projekt DEAL. Not applicable.</t>
  </si>
  <si>
    <t>SPRINGER INT PUBL AG</t>
  </si>
  <si>
    <t>CHAM</t>
  </si>
  <si>
    <t>GEWERBESTRASSE 11, CHAM, CH-6330, SWITZERLAND</t>
  </si>
  <si>
    <t>1230-2821</t>
  </si>
  <si>
    <t>1896-1851</t>
  </si>
  <si>
    <t>ACTA PARASITOL</t>
  </si>
  <si>
    <t>Acta Parasitolog.</t>
  </si>
  <si>
    <t>10.1007/s11686-021-00455-8</t>
  </si>
  <si>
    <t>Parasitology; Veterinary Sciences; Zoology</t>
  </si>
  <si>
    <t>ZX0CD</t>
  </si>
  <si>
    <t>WOS:000673804000002</t>
  </si>
  <si>
    <t>Sparaventi, E; Rodríguez-Romero, A; Barbosa, A; Ramajo, L; Tovar-Sánchez, A</t>
  </si>
  <si>
    <t>Sparaventi, Erica; Rodriguez-Romero, Araceli; Barbosa, Andres; Ramajo, Laura; Tovar-Sanchez, Antonio</t>
  </si>
  <si>
    <t>Trace elements in Antarctic penguins and the potential role of guano as source of recycled metals in the Southern Ocean</t>
  </si>
  <si>
    <t>CHEMOSPHERE</t>
  </si>
  <si>
    <t>Southern ocean; Antarctica; Penguin; Guano; Metal concentration; Droppings</t>
  </si>
  <si>
    <t>ADELIE PENGUINS; REPRESENTATIVE FAUNA; DIFFERENT LOCATIONS; PYGOSCELIS-ADELIAE; KERGUELEN ISLANDS; DECEPTION-ISLAND; GENTOO PENGUINS; CLIMATE-CHANGE; IRON; MERCURY</t>
  </si>
  <si>
    <t>Penguins dominate the Antarctic avifauna. As key animals in the Antarctic ecosystem, they are monitored to evaluate the ecological status of this pristine and remote region and specifically, they have been used as effective bioindicators suitable for long-term monitoring of metals in the Antarctic environment. However, studies about the role of this emblematic organism could play in the recycling of trace metals (TMs) in the Antarctic ecosystem are very limited. In this study we evaluate, using the peer review research articles already published and our own findings, the distribution of metals (i.e., Ca, Fe, Al, Na, Zn, Mg, Cu, K, Cd, Mn, Sr, Cr, Ni, Pb, Hg, V, Ba, Co, La, Ag, Rb, Hf, Sc, Au and Cs) and metalloids (As and Sb), measured in different biotic matrices, with emphasis on guano, of the Chinstrap (Pygoscelis antarcticus), Adelie (Pygoscelis adeliae) and Gentoo (Pygoscelis papua) penguins. Regarding bioactive metals, the high concentrations (mu g g(-1) dry weight) of Cu (2.0 +/- 1.4) x 10(2), Fe (4.1 +/- 2.9) x 10(2), Mn (30 +/- 34) and Zn (210 +/- 90) reported in the guano from all the penguin species studied including our data, are of the same order of magnitude as those reported for whale feces (mu g g(-1) dry weight): Cu (2.9 +/- 2.4) x 10(2), Fe (1.5 +/- 1.4) x 10(2), Mn (28 +/- 17) and Zn (6.2 +/- 4.3) x 10(2), and one order of magnitude higher than the metal contents in krill (mu g g(-1) dry weight) of Cu (10.2 +/- 5.5), Fe (24 +/- 29) and Zn (13.5 +/- 1.7). This suggest that penguin's excretion products could be an important source of these essential elements in the surface water, with an estimated annual release on a breeding season for Cu, Fe, Mn, Zn respectively of 28, 56, 4 and 29 tons, for the Chinstrap, Adelie and Gentoo penguins. The results provide evidence on the potential influence of penguins recycling TMs in the surface layer of the water column.</t>
  </si>
  <si>
    <t>[Sparaventi, Erica; Tovar-Sanchez, Antonio] ICMAN CSIC, Inst Marine Sci Andalusia, Dept Ecol &amp; Coastal Management, Campus Rio San Pedro, Cadiz 11510, Spain; [Rodriguez-Romero, Araceli] Univ Cadiz, Fac Marine &amp; Environm Sci, Dept Analyt Chem, Campus Rio San Pedro, Cadiz 11510, Spain; [Barbosa, Andres] CSIC, Museo Nacl Ciencias Nat, C Jose Gutierrez Abascal 2, Madrid 28006, Spain; [Ramajo, Laura] Ctr Estudios Avanzados Zonas Aridas CEAZA, Ave Ossandon 877, Coquimbo, Chile; [Ramajo, Laura] Univ Catolica Norte UCN, Fac Ciencias Mar, Dept Biol Marina, Coquimbo, Chile; [Ramajo, Laura] Univ Chile, Ctr Ciencia Clima &amp; Resiliencia CR 2, Santiago, Chile</t>
  </si>
  <si>
    <t>Consejo Superior de Investigaciones Cientificas (CSIC); CSIC - Instituto de Ciencias Marinas de Andalucia (ICMAN); Universidad de Cadiz; Consejo Superior de Investigaciones Cientificas (CSIC); CSIC - Museo Nacional de Ciencias Naturales (MNCN); Universidad de Chile</t>
  </si>
  <si>
    <t>Sparaventi, E (corresponding author), ICMAN CSIC, Inst Marine Sci Andalusia, Dept Ecol &amp; Coastal Management, Campus Rio San Pedro, Cadiz 11510, Spain.</t>
  </si>
  <si>
    <t>erica.sparaventi@csic.es</t>
  </si>
  <si>
    <t>Tovar-Sánchez, Antonio/B-8003-2010; Rodríguez, Araceli/GXM-7707-2022; Ramajo, Laura/AAW-5058-2021</t>
  </si>
  <si>
    <t>Rodríguez, Araceli/0000-0002-6718-1040; Ramajo, Laura/0000-0001-6707-685X; Tovar-Sanchez, Antonio/0000-0003-4375-1982; Sparaventi, Erica/0000-0002-7578-8918</t>
  </si>
  <si>
    <t>Spanish Government project PIMETAN [RTI2018-098048-B-I00]; PINGUFOR [CTM201564720-R]; Spanish FPI grant [PRE2019-089679]; Spanish grant, Juan de la Cierva Incorporacion [IJC2018-037545-I]</t>
  </si>
  <si>
    <t>Spanish Government project PIMETAN; PINGUFOR; Spanish FPI grant(Spanish Government); Spanish grant, Juan de la Cierva Incorporacion</t>
  </si>
  <si>
    <t>This research has been funded by the Spanish Government projects PIMETAN (ref. RTI2018-098048-B-I00) and PINGUFOR (ref. CTM201564720-R). E. Sparaventi is supported by the Spanish FPI grant (Ref: PRE2019-089679) and A. Rodriguez-Romero is supported by the Spanish grant, Juan de la Cierva Incorporacion (Ref: IJC2018-037545-I). We thank I. Carribero and M.C. Agullo for their support with the instrumental and methodological analyses. This research is part of POLARCSIC research initiative. Permissions to work and collect guano samples in the study area were granted by the Spanish Polar Committee. We thank the hospitality of the Spanish Antarctic Stations Gabriel de Castilla and Juan Carlos I and the transportation by the RV Hesperides. We also thank the logistic support by the Marine Technological Unit of CSIC.</t>
  </si>
  <si>
    <t>0045-6535</t>
  </si>
  <si>
    <t>1879-1298</t>
  </si>
  <si>
    <t>Chemosphere</t>
  </si>
  <si>
    <t>10.1016/j.chemosphere.2021.131423</t>
  </si>
  <si>
    <t>WC7WL</t>
  </si>
  <si>
    <t>WOS:000704464400004</t>
  </si>
  <si>
    <t>Xiang, XW; Zhou, XL; Wang, WJ; Zhou, YF; Zhou, XX; Deng, SG; Zheng, B; Wen, ZS</t>
  </si>
  <si>
    <t>Xiang, Xingwei; Zhou, Xiaoling; Wang, Wenjie; Zhou, Yufang; Zhou, Xuxia; Deng, Shanggui; Zheng, Bin; Wen, Zhengshun</t>
  </si>
  <si>
    <t>Effect of Antarctic krill phospholipid (KOPL) on high fat diet-induced obesity in mice</t>
  </si>
  <si>
    <t>FOOD RESEARCH INTERNATIONAL</t>
  </si>
  <si>
    <t>Antarctic krill phospholipid; Diet-induced obesity; Lipid metabolic; Intestinal damage; Inflammatory state; Microbiota</t>
  </si>
  <si>
    <t>NF-KAPPA-B; GUT MICROBIOTA; ADIPOSE-TISSUE; DYSBIOSIS; METABOLISM; HEALTH; ADIPOGENESIS; HOMEOSTASIS; OVERWEIGHT; COLITIS</t>
  </si>
  <si>
    <t>Phospholipids are the main lipid components in Antarctic krill oil, and the combination of n-3 polyunsaturated fatty acids (n-3 PUFAs) shows multiple nutritional advantages. At present, the research about Antarctic krill phospholipid (KOPL) mainly focuses on the purification, and there are few reports on the anti-obesity effect. Thus, this study aimed at evaluating the effect of KOPL on the high-fat diet (HFD)-induced obesity mice. All the mice were divided into five groups, which were fed chow diet, HFD, and different doses of KOPL + HFD, respectively. The results showed that KOPL treatment could reduce the weight gain, fat accumulation, and liver tissue damage in HFD-induced mice. KOPL treatment could reduce the levels of serum lipid (TC, TG, L-LDL) and fasting blood glucose in HFD-induced mice, and the inflammatory cytokines (IL-1 beta and TNF-alpha) in serum. Further analysis showed that KOPL could promote the normal expression of lipid-synthesis-related genes and proteins, including sterol regulatory element-binding protein-1c (SREBP-1c), fatty acid synthetase (FAS), and peroxisome proliferator-activated receptor alpha (PPAR-alpha) in liver tissue. Besides, it inhibited the overexpression of inflammatory cytokine genes (IL-1 beta and TNF-alpha), but increased the expression of tight junction genes (ZO-1 and Occludin) in the colon tissue. Additionally, KOPL improved the decrease of diversity and imbalance of intestinal microbiota, which could contribute to its beneficial effects. In summary, the KOPL treatment improves the effects of HFD-induced obese mice by maintaining normal lipid levels, protecting the liver tissue, reducing inflammation response and intestinal damage, and regulating intestinal microbiota abnormalities. It refer to KOPL could be a promising dietary strategy for treating obesity and improving its related metabolic diseases.</t>
  </si>
  <si>
    <t>[Xiang, Xingwei; Wang, Wenjie; Zhou, Xuxia] Zhejiang Univ Technol, Coll Food Sci &amp; Technol, Hangzhou 310014, Zhejiang, Peoples R China; [Xiang, Xingwei; Wang, Wenjie; Zhou, Xuxia] Key Lab Marine Biol Resources Innovat &amp; Dev Zheji, Hangzhou 310014, Zhejiang, Peoples R China; [Zhou, Xiaoling; Deng, Shanggui; Zheng, Bin; Wen, Zhengshun] Zhejiang Ocean Univ, Food &amp; Pharm Coll, Zhoushan 316000, Zhejiang, Peoples R China; [Zhou, Yufang] Zhejiang Marine Dev Res Inst, Zhoushan 316000, Zhejiang, Peoples R China</t>
  </si>
  <si>
    <t>Zhejiang University of Technology; Zhejiang Ocean University</t>
  </si>
  <si>
    <t>Zheng, B; Wen, ZS (corresponding author), Zhejiang Ocean Univ, Food &amp; Pharm Coll, Zhoushan 316000, Zhejiang, Peoples R China.</t>
  </si>
  <si>
    <t>zhengbin67@163.com</t>
  </si>
  <si>
    <t>Wang, Wenjie/HIR-8486-2022; Zhou, Xuxia/ACS-0757-2022</t>
  </si>
  <si>
    <t>Wang, Wenjie/0000-0003-4725-6962; Zhou, Xuxia/0000-0002-7059-839X</t>
  </si>
  <si>
    <t>Zhejiang Provincial Key Research and Development Project of China [2019C02076, 2019C02075]; Zhoushan Science and Technology Project of China [2018C21019]</t>
  </si>
  <si>
    <t>Zhejiang Provincial Key Research and Development Project of China; Zhoushan Science and Technology Project of China</t>
  </si>
  <si>
    <t>This work was supported by grants from Zhejiang Provincial Key Research and Development Project of China (2019C02076; 2019C02075), Zhoushan Science and Technology Project of China (2018C21019).</t>
  </si>
  <si>
    <t>RADARWEG 29a, 1043 NX AMSTERDAM, NETHERLANDS</t>
  </si>
  <si>
    <t>0963-9969</t>
  </si>
  <si>
    <t>1873-7145</t>
  </si>
  <si>
    <t>FOOD RES INT</t>
  </si>
  <si>
    <t>Food Res. Int.</t>
  </si>
  <si>
    <t>10.1016/j.foodres.2021.110456</t>
  </si>
  <si>
    <t>Food Science &amp; Technology</t>
  </si>
  <si>
    <t>US9AV</t>
  </si>
  <si>
    <t>WOS:000697718700001</t>
  </si>
  <si>
    <t>Hoffmann, EH; Heinold, B; Kubin, A; Tegen, I; Herrmann, H</t>
  </si>
  <si>
    <t>Hoffmann, Erik Hans; Heinold, Bernd; Kubin, Anne; Tegen, Ina; Herrmann, Hartmut</t>
  </si>
  <si>
    <t>The Importance of the Representation of DMS Oxidation in Global Chemistry-Climate Simulations</t>
  </si>
  <si>
    <t>GAS-PHASE REACTIONS; METHANESULFONIC-ACID; DIMETHYL SULFIDE; SULFURIC-ACID; OCEANIC PHYTOPLANKTON; MASS ACCOMMODATION; AEROSOL PRODUCTION; MODEL; SENSITIVITY; PARTICLES</t>
  </si>
  <si>
    <t>The oxidation of dimethyl sulfide (DMS) is key for the natural sulfate aerosol formation and its climate impact. Multiphase chemistry is an important oxidation pathway but neglected in current chemistry-climate models. Here, the DMS chemistry in the aerosol-chemistry-climate model ECHAM-HAMMOZ is extended to include multiphase methane sulfonic acid (MSA) formation in deliquesced aerosol particles, parameterized by reactive uptake. First simulations agree well with observed gas-phase MSA concentrations. The implemented formation pathways are quantified to contribute up to 60% to the sulfate aerosol burden over the Southern Ocean and Arctic/Antarctic regions. While globally the impact on the aerosol radiative forcing almost levels off, a significantly more positive solar radiative forcing of up to +0.1 W m(-2) is computed in the Arctic (&gt;60 degrees N). The findings imply the need of both further laboratory and model studies on the atmospheric multiphase oxidation of DMS. Plain Language Summary The emission of dimethyl sulfide (DMS) represents the largest natural reduced sulfur source into the atmosphere. There, DMS can be oxidized to sulfur dioxide, sulfuric acid, or methane sulfonic acid modifying the radiative properties of aerosol particles and clouds. DMS oxidation is represented in chemistry-climate models by a limited number of very simplified reactions. Small changes in the parameter settings can have large effects, that's why these should be as accurate as possible. In this study, the DMS chemistry in ECHAM-HAMMOZ was upgraded. Sensitivity simulations show variations in the natural aerosol radiative forcing due to the different schemes tested in this study. Further laboratory and process studies with models are therefore essential.</t>
  </si>
  <si>
    <t>[Hoffmann, Erik Hans; Herrmann, Hartmut] Leibniz Inst Tropospher Res TROPOS, Atmospher Chem Dept ACD, Leipzig, Germany; [Heinold, Bernd; Kubin, Anne; Tegen, Ina] Leibniz Inst Troposphenc Res TROPOS, Modeling Atmospher Proc Dept, Leipzig, Germany</t>
  </si>
  <si>
    <t>Leibniz Institut fur Tropospharenforschung (TROPOS)</t>
  </si>
  <si>
    <t>Hoffmann, EH (corresponding author), Leibniz Inst Tropospher Res TROPOS, Atmospher Chem Dept ACD, Leipzig, Germany.</t>
  </si>
  <si>
    <t>ehoffm@tropos.de</t>
  </si>
  <si>
    <t>amplification, ³ - Arctic/AAU-6640-2020; Herrmann, Hartmut/C-2486-2009; Hoffmann, Erik Hans/AAS-5638-2021; Tegen, Ina/W-4299-2018</t>
  </si>
  <si>
    <t>Herrmann, Hartmut/0000-0001-7044-2101; Hoffmann, Erik Hans/0000-0003-4560-0125; Heinold, Bernd/0000-0001-7963-3932; Tegen, Ina/0000-0003-3700-3232</t>
  </si>
  <si>
    <t>DKRZ [bb1128]; Deutsche Forschungsgemeinschaft (DFG, German Research Foundation) [268020496 - TRR 172]</t>
  </si>
  <si>
    <t>DKRZ; Deutsche Forschungsgemeinschaft (DFG, German Research Foundation)(German Research Foundation (DFG))</t>
  </si>
  <si>
    <t>The ECHAM-HAMMOZ model is developed by a consortium composed of ETH Zurich, Max Planck Institute for Meteorology, Forschungszentrum Julich, the University of Oxford, the Finnish Meteorological Institute and the Leibniz Institute for Tropospheric Research and managed by the Center for Climate Systems Modeling (C2SM) at ETH Zurich. The authors are grateful for computing time from the Deutsches Klimarechenzentrum (DKRZ). Computing resources at DKRZ were granted under project number bb1128. The ECHAM-HAMMOZ model output data used in this study are stored at the German Climate Computing Center (DKRZ) and are available upon request from the corresponding author. The authors state that there are no perceived financial conflicts of interests for any author. B. Heinold acknowledges funding by the Deutsche Forschungsgemeinschaft (DFG, German Research Foundation) - Project Number 268020496 - TRR 172, within the Transregional Collaborative Research Center ArctiC Amplification: Climate Relevant Atmospheric and SurfaCe Processes, and Feedback Mechanisms (AC)3.</t>
  </si>
  <si>
    <t>JUL 16</t>
  </si>
  <si>
    <t>e2021GL094068</t>
  </si>
  <si>
    <t>10.1029/2021GL094068</t>
  </si>
  <si>
    <t>UN4ZG</t>
  </si>
  <si>
    <t>WOS:000694024600002</t>
  </si>
  <si>
    <t>Mensah, V; Nakayama, Y; Fujii, M; Nogi, Y; Ohshima, KI</t>
  </si>
  <si>
    <t>Mensah, Vigan; Nakayama, Yoshihiro; Fujii, Masakazu; Nogi, Yoshifumi; Ohshima, Kay I.</t>
  </si>
  <si>
    <t>Dense water downslope flow and AABW production in a numerical model: Sensitivity to horizontal and vertical resolution in the region off Cape Darnley polynya</t>
  </si>
  <si>
    <t>OCEAN MODELLING</t>
  </si>
  <si>
    <t>Ocean-ice modeling; Ocean general circulation models (OGCM)/regional ocean models; Polynyas; Dense water production; Downslope flow; East antarctica</t>
  </si>
  <si>
    <t>ANTARCTIC BOTTOM WATER; SEA-LEVEL RISE; SOUTHERN-OCEAN; WEDDELL SEA; ICE FORMATION; GLOBAL HEAT; DEEP-WATER; CIRCULATION; VARIABILITY; REPRESENTATION</t>
  </si>
  <si>
    <t>The formation of Dense Shelf Water (DSW) and Antarctic Bottom Water (AABW) in the Southern Ocean is an essential part of the thermohaline circulation, and understanding this phenomenon is crucial for studying the global climate. AABW is formed as DSW flows down the continental slope and mixes with the surrounding waters. However, DSW formation and its descent remains a poorly resolved issue in many ocean models. We, therefore, simulated the formation and descent of DSW and investigated the model sensitivities to horizontal and vertical grid spacings. The Massachusetts Institute of Technology general circulation model (MITgcm) was used for the region off Cape Darnley in East Antarctica, one of the main AABW production areas, where historical and mooring data are available for comparison. Simulations with coarse horizontal grid resolutions of order (10 km) yielded high volumes of DSW on the shelf. However, the largest part of this DSW was transformed into intermediate water and advected westward. Horizontal model resolutions equal to or higher than 2 km were required to simulate the descent of DSW and a realistic AABW production. Simulated time series at a mooring located at a depth of 2,600 m showed periodic fluctuations in velocity and temperature of 0.3 m.s(-1) and 0.5 degrees C, respectively, consistent with observations. We also found that high-resolution bathymetry datasets are crucial because the newly formed AABW volume was reduced by 20% when a smoother bathymetry was used on a 2-km resolution grid. Vertical resolution had little influence on model performance because the plume was much thicker (&gt; 170 m) than the grids width. Therefore, reproducing the downslope flow of DSW and AABW formation in the Cape Darnley region can be achieved with a high horizontal resolution (&lt;= 2 km) and a relatively coarse vertical resolution (similar to 100 m on the continental slope).</t>
  </si>
  <si>
    <t>[Mensah, Vigan; Nakayama, Yoshihiro; Ohshima, Kay I.] Hokkaido Univ, Inst Low Temp Sci, Sapporo, Hokkaido, Japan; [Fujii, Masakazu; Nogi, Yoshifumi] Natl Inst Polar Res, Tachikawa, Tokyo, Japan</t>
  </si>
  <si>
    <t>Hokkaido University; Research Organization of Information &amp; Systems (ROIS); National Institute of Polar Research (NIPR) - Japan</t>
  </si>
  <si>
    <t>Mensah, V (corresponding author), Hokkaido Univ, Inst Low Temp Sci, Sapporo, Hokkaido, Japan.</t>
  </si>
  <si>
    <t>vmensah@lowtem.hokudai.ac.jp</t>
  </si>
  <si>
    <t>Ohshima, Kay I/D-6909-2012; zhao, xiang/P-5590-2016; Nakayama, Yoshihiro/R-4325-2019</t>
  </si>
  <si>
    <t>Nakayama, Yoshihiro/0000-0001-6543-529X; Mensah, Vigan/0000-0001-8062-278X; Fujii, Masakazu/0000-0003-0527-1742</t>
  </si>
  <si>
    <t>Ministry of Education, Culture, Sports, Science and Technology of Japan [17H01157, 17H06317, 20H05707, 21K13989]; Grants-in-Aid for Scientific Research [20H05707, 17H01157, 17H06317, 21K13989]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</si>
  <si>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</si>
  <si>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This work was supported by Grants-in-Aid for Scientific Research #17H01157, 17H06317, 20H05707, and 21K13989 from the Ministry of Education, Culture, Sports, Science and Technology of Japan.</t>
  </si>
  <si>
    <t>1463-5003</t>
  </si>
  <si>
    <t>1463-5011</t>
  </si>
  <si>
    <t>OCEAN MODEL</t>
  </si>
  <si>
    <t>Ocean Model.</t>
  </si>
  <si>
    <t>10.1016/j.ocemod.2021.101843</t>
  </si>
  <si>
    <t>Meteorology &amp; Atmospheric Sciences; Oceanography</t>
  </si>
  <si>
    <t>UC8BI</t>
  </si>
  <si>
    <t>WOS:000686747000002</t>
  </si>
  <si>
    <t>Holzer, M; DeVries, T; de Lavergne, C</t>
  </si>
  <si>
    <t>Holzer, Mark; DeVries, Tim; de Lavergne, Casimir</t>
  </si>
  <si>
    <t>Diffusion controls the ventilation of a Pacific Shadow Zone above abyssal overturning</t>
  </si>
  <si>
    <t>NATURE COMMUNICATIONS</t>
  </si>
  <si>
    <t>GLOBAL OCEAN; BOTTOM WATER; PART I; CIRCULATION; TRANSPORT; DISTRIBUTIONS; SURFACE; DEEP; RADIOCARBON; TRACERS</t>
  </si>
  <si>
    <t>Mid-depth North Pacific waters are rich in nutrients and respired carbon accumulated over centuries. The rates and pathways with which these waters exchange with the surface ocean are uncertain, with divergent paradigms of the Pacific overturning: one envisions bottom waters upwelling to 1.5 km depth; the other confines overturning beneath a mid-depth Pacific shadow zone (PSZ) shielded from mean advection. Here global inverse modelling reveals a PSZ where mean ages exceed 1400 years with overturning beneath. The PSZ is supplied primarily by Antarctic and North-Atlantic ventilated waters diffusing from below and from the south. Half of PSZ waters re-surface in the Southern Ocean, a quarter in the subarctic Pacific. The abyssal North Pacific, despite strong overturning, has mean re-surfacing times also exceeding 1400 years because of diffusion into the overlying PSZ. These results imply that diffusive transports - distinct from overturning transports - are a leading control on Pacific nutrient and carbon storage.</t>
  </si>
  <si>
    <t>[Holzer, Mark] Univ New South Wales, Sch Math &amp; Stat, Sydney, NSW, Australia; [DeVries, Tim] Univ Calif Santa Barbara, Dept Geog, Santa Barbara, CA 93106 USA; [DeVries, Tim] Univ Calif Santa Barbara, Earth Res Inst, Santa Barbara, CA 93106 USA; [de Lavergne, Casimir] Sorbonne Univ, CNRS, IRD, LOCEAN Lab,MNHN, Paris, France</t>
  </si>
  <si>
    <t>University of New South Wales Sydney; University of California System; University of California Santa Barbara; University of California System; University of California Santa Barbara; Museum National d'Histoire Naturelle (MNHN); Centre National de la Recherche Scientifique (CNRS); Sorbonne Universite; Institut de Recherche pour le Developpement (IRD)</t>
  </si>
  <si>
    <t>Holzer, M (corresponding author), Univ New South Wales, Sch Math &amp; Stat, Sydney, NSW, Australia.</t>
  </si>
  <si>
    <t>mholzer@unsw.edu.au</t>
  </si>
  <si>
    <t>; Holzer, Mark/E-8735-2011</t>
  </si>
  <si>
    <t>DeVries, Tim/0000-0002-7771-9430; Holzer, Mark/0000-0002-9568-1763; de Lavergne, Casimir/0000-0001-9267-7390</t>
  </si>
  <si>
    <t>ARC grant [DP210101650]; NSF [OCE-1948955]; European Union's Horizon 2020 research and innovation programme [821001]; H2020 Societal Challenges Programme [821001] Funding Source: H2020 Societal Challenges Programme</t>
  </si>
  <si>
    <t>ARC grant(Australian Research Council); NSF(National Science Foundation (NSF)); European Union's Horizon 2020 research and innovation programme; H2020 Societal Challenges Programme(Horizon 2020European Union (EU)H2020 Societal Challenges Programme)</t>
  </si>
  <si>
    <t>We acknowledge funding from ARC grant DP210101650 (M.H.) and NSF grant OCE-1948955 (T.D.). This project has received funding from the European Union's Horizon 2020 research and innovation programme under grant agreement No. 821001 (C.d.L.).</t>
  </si>
  <si>
    <t>NATURE RESEARCH</t>
  </si>
  <si>
    <t>2041-1723</t>
  </si>
  <si>
    <t>NAT COMMUN</t>
  </si>
  <si>
    <t>Nat. Commun.</t>
  </si>
  <si>
    <t>10.1038/s41467-021-24648-x</t>
  </si>
  <si>
    <t>TP3JN</t>
  </si>
  <si>
    <t>WOS:000677489800001</t>
  </si>
  <si>
    <t>Gyeong, H; Hyun, CU; Kim, SC; Tripathi, BM; Yun, J; Kim, J; Kang, H; Kim, JH; Kim, S; Kim, M</t>
  </si>
  <si>
    <t>Gyeong, Hyeryeon; Hyun, Chang-Uk; Kim, Seok Cheol; Tripathi, Binu Mani; Yun, Jeongeun; Kim, Jinhyun; Kang, Hojeong; Kim, Ji Hee; Kim, Sanghee; Kim, Mincheol</t>
  </si>
  <si>
    <t>Contrasting early successional dynamics of bacterial and fungal communities in recently deglaciated soils of the maritime Antarctic</t>
  </si>
  <si>
    <t>MOLECULAR ECOLOGY</t>
  </si>
  <si>
    <t>bacterial community; fungal community; glacier foreland; microbial ecology; microbial succession</t>
  </si>
  <si>
    <t>KING GEORGE ISLAND; GLACIER FOREFIELD; DIVERSITY; FORELAND; ECOSYSTEM; MECHANISMS; FRAMEWORK; GRADIENT; TAXONOMY; BALANCE</t>
  </si>
  <si>
    <t>Although microorganisms are the very first colonizers of recently deglaciated soils even prior to plant colonization, the drivers and patterns of microbial community succession at early-successional stages remain poorly understood. The successional dynamics and assembly processes of bacterial and fungal communities were compared on a glacier foreland in the maritime Antarctic across the similar to 10-year soil-age gradient from bare soil to sparsely vegetated area. Bacterial communities shifted more rapidly than fungal communities in response to glacial retreat; species turnover (primarily the transition from glacier- to soil-favouring taxa) contributed greatly to bacterial beta diversity, but this pattern was less clear in fungi. Bacterial communities underwent more predictable (more deterministic) changes along the soil-age gradient, with compositional changes paralleling the direction of changes in soil physicochemical properties following deglaciation. In contrast, the compositional shift in fungal communities was less associated with changes in deglaciation-induced changes in soil geochemistry and most fungal taxa displayed mosaic abundance distribution across the landscape, suggesting that the successional dynamics of fungal communities are largely governed by stochastic processes. A co-occurrence network analysis revealed that biotic interactions between bacteria and fungi are very weak in early succession. Taken together, these results collectively suggest that bacterial and fungal communities in recently deglaciated soils are largely decoupled from each other during succession and exert very divergent trajectories of succession and assembly under different selective forces.</t>
  </si>
  <si>
    <t>[Gyeong, Hyeryeon; Kim, Seok Cheol; Tripathi, Binu Mani; Kim, Ji Hee; Kim, Sanghee; Kim, Mincheol] Korea Polar Res Inst KOPRI, Incheon 21990, South Korea; [Hyun, Chang-Uk] Dong A Univ, Dept Energy &amp; Mineral Resources Engn, Busan, South Korea; [Yun, Jeongeun; Kim, Jinhyun; Kang, Hojeong] Yonsei Univ, Sch Civil &amp; Environm Engn, Seoul, South Korea</t>
  </si>
  <si>
    <t>Korea Polar Research Institute (KOPRI); Dong A University; Yonsei University</t>
  </si>
  <si>
    <t>Kim, M (corresponding author), Korea Polar Res Inst KOPRI, Incheon 21990, South Korea.</t>
  </si>
  <si>
    <t>mincheol@kopri.re.kr</t>
  </si>
  <si>
    <t>Kim, Jinhyun/H-2308-2015; Kang, Hojeong/C-7208-2011; Tripathi, Binu/J-3075-2015</t>
  </si>
  <si>
    <t>Kim, Jinhyun/0000-0002-6762-0322; Kang, Hojeong/0000-0002-2088-6406; Tripathi, Binu/0000-0002-7848-0206; Gyeong, Hyeryeon/0000-0003-4009-8738</t>
  </si>
  <si>
    <t>Korea Polar Research Institute [PE21130]</t>
  </si>
  <si>
    <t>Korea Polar Research Institute(Korea Polar Research Institute of Marine Research Placement (KOPRI))</t>
  </si>
  <si>
    <t>Korea Polar Research Institute, Grant/Award Number: PE21130</t>
  </si>
  <si>
    <t>0962-1083</t>
  </si>
  <si>
    <t>1365-294X</t>
  </si>
  <si>
    <t>MOL ECOL</t>
  </si>
  <si>
    <t>Mol. Ecol.</t>
  </si>
  <si>
    <t>10.1111/mec.16054</t>
  </si>
  <si>
    <t>Biochemistry &amp; Molecular Biology; Ecology; Evolutionary Biology</t>
  </si>
  <si>
    <t>Biochemistry &amp; Molecular Biology; Environmental Sciences &amp; Ecology; Evolutionary Biology</t>
  </si>
  <si>
    <t>UE7NA</t>
  </si>
  <si>
    <t>WOS:000674002500001</t>
  </si>
  <si>
    <t>Evtushevsky, O; Grytsai, A; Agapitov, O; Kravchenko, V; Milinevsky, G</t>
  </si>
  <si>
    <t>Evtushevsky, Oleksandr; Grytsai, Asen; Agapitov, Oleksiy; Kravchenko, Volodymyr; Milinevsky, Gennadi</t>
  </si>
  <si>
    <t>The 16-year periodicity in the winter surface temperature variations in the Antarctic Peninsula region</t>
  </si>
  <si>
    <t>Antarctic Peninsula; Surface temperature; Austral winter; Periodicity</t>
  </si>
  <si>
    <t>NINO-SOUTHERN OSCILLATION; CLIMATE VARIABILITY; CIRCUMPOLAR WAVE; ANNULAR MODE; PACIFIC; ENSO; ATMOSPHERE; AMERICAN; PATTERNS; ATLANTIC</t>
  </si>
  <si>
    <t>The aim of this work is a comprehensive study of the 16-year periodicity of winter surface temperature in the Antarctic Peninsula (AP) region, described earlier, and its possible source based on weather station records over the 1952-2019 period making use of the Scientific Committee on Antarctic Research (SCAR) Reference Antarctic Data for Environmental Research (READER) database, as well as Fourier and wavelet analysis methods. It is shown that interdecadal oscillation with a period of about 16 years dominates in the northern AP (Esperanza and Orcadas), which is consistent with previous results. The 16-year periodicity is found to closely correlate with the sea level pressure anomaly in the southwestern Atlantic associated with the zonal wave-3 and the Southern Annular Mode patterns. The correlation maximum in the southwestern Atlantic, having the characteristic features of the anticyclonic circulation, affects the surface temperature in the northern AP through the related structure of the zonal and meridional wind anomalies. This effect is weaker to the south, where the Vernadsky station data do not show a regular interdecadal periodicity. Due to the correlated variability in the wave-3 ridges, the pronounced 16-year periods exist also in the surface temperature of southern Australia-New Zealand region, as well as in the zonal mean sea level pressure at 30 degrees-50 degrees S. The sea surface temperatures are much less involved in the 16-year oscillation suggesting that atmospheric rather than oceanic processes appear to be more important for its occurrence.</t>
  </si>
  <si>
    <t>[Evtushevsky, Oleksandr; Grytsai, Asen; Agapitov, Oleksiy; Kravchenko, Volodymyr; Milinevsky, Gennadi] Taras Shevchenko Natl Univ Kyiv, Kiev, Ukraine; [Agapitov, Oleksiy] Univ Calif Berkeley, Space Sci Lab, Berkeley, CA 94720 USA; [Milinevsky, Gennadi] Jilin Univ, Coll Phys, Int Ctr Future Sci, Changchun, Peoples R China; [Milinevsky, Gennadi] Natl Antarctic Sci Ctr, Dept Atmosphere Phys &amp; Geospace, Kiev, Ukraine</t>
  </si>
  <si>
    <t>Ministry of Education &amp; Science of Ukraine; Taras Shevchenko National University of Kyiv; University of California System; University of California Berkeley; Jilin University; Ministry of Education &amp; Science of Ukraine; State Institution National Antarctic Scientific Center</t>
  </si>
  <si>
    <t>Evtushevsky, O (corresponding author), Taras Shevchenko Natl Univ Kyiv, Kiev, Ukraine.</t>
  </si>
  <si>
    <t>o_evtush@ukr.net</t>
  </si>
  <si>
    <t>AGAPITOV, OLEKSIY/O-7922-2019; Milinevsky, Gennadi/AAD-8801-2019; Evtushevsky, Oleksandr O.M./F-2065-2017; Grytsai, Asen/AAS-7114-2020</t>
  </si>
  <si>
    <t>AGAPITOV, OLEKSIY/0000-0001-6427-1596; Milinevsky, Gennadi/0000-0002-2342-2615; Evtushevsky, Oleksandr O.M./0000-0003-0582-559X; Grytsai, Asen/0000-0002-2545-9833</t>
  </si>
  <si>
    <t>Taras Shevchenko National University of Kyiv, Ukraine [19BF051-08]</t>
  </si>
  <si>
    <t>Taras Shevchenko National University of Kyiv, Ukraine</t>
  </si>
  <si>
    <t>We acknowledge the SCAR READER database for free access to the monthly data of the Antarctic station surface meteorology, available at https://legacy.bas.ac.uk/met/READER/.NCEP-NCAR Reanalysis data and images were provided by the NOAA/OAR/ESRL PSD, Boulder, Colorado, USA, from their Web site at http://www.esrl.noaa.gov/psd/.This work was partly supported by Taras Shevchenko National University of Kyiv, Ukraine, project 19BF051-08.</t>
  </si>
  <si>
    <t>1-2</t>
  </si>
  <si>
    <t>10.1007/s00382-021-05886-7</t>
  </si>
  <si>
    <t>YP3AF</t>
  </si>
  <si>
    <t>WOS:000673181100001</t>
  </si>
  <si>
    <t>Hattori, A; Aoyama, Y; Okuno, J; Doi, K</t>
  </si>
  <si>
    <t>Hattori, A.; Aoyama, Y.; Okuno, J.; Doi, K.</t>
  </si>
  <si>
    <t>GNSS Observations of GIA-Induced Crustal Deformation in Lutzow-Holm Bay, East Antarctica</t>
  </si>
  <si>
    <t>Antarctic; GIA; GNSS</t>
  </si>
  <si>
    <t>ISOSTATIC-ADJUSTMENT MODEL; SEA-LEVEL; SYOWA STATION; SURFACE; GRAVITY; EARTH; GRACE</t>
  </si>
  <si>
    <t>The Japanese Antarctic Research Expeditions have conducted long-term Global Navigation Satellite System (GNSS) observations at a series of bedrock outcrops along the coast of Lutzow-Holm Bay, East Antarctica, to elucidate the solid Earth response to ice mass changes. These GNSS observations capture both the viscoelastic response of the solid Earth to Antarctic Ice Sheet changes since the Last Glacial Maximum, termed glacial isostatic adjustment (GIA), and elastic deformation associated with recent surface mass changes due to snowfall variations. Here, we extract the GIA signals from the Lutzow-Holm Bay GNSS data by applying an elastic deformation correction based on the mass fluctuations observed in the Gravity Recovery and Climate Experiment and the satellite altimetry. Our results indicate that the region is currently experiencing approximately 1 mm/yr of subsidence, which is large enough to influence GIA model estimations. The resultant GIA-induced deformation response in Lutzow-Holm Bay is 1-6 mm/yr of uplift.</t>
  </si>
  <si>
    <t>[Hattori, A.; Aoyama, Y.; Okuno, J.; Doi, K.] Grad Univ Adv Studies, SOKENDAI, Tachikawa, Tokyo, Japan; [Aoyama, Y.; Okuno, J.; Doi, K.] Natl Inst Polar Res, Tachikawa, Tokyo, Japan</t>
  </si>
  <si>
    <t>Graduate University for Advanced Studies - Japan; Research Organization of Information &amp; Systems (ROIS); National Institute of Polar Research (NIPR) - Japan</t>
  </si>
  <si>
    <t>Hattori, A (corresponding author), Grad Univ Adv Studies, SOKENDAI, Tachikawa, Tokyo, Japan.</t>
  </si>
  <si>
    <t>hattori.akihisa@nipr.ac.jp</t>
  </si>
  <si>
    <t>Hattori, Akihisa/0000-0003-2956-3694</t>
  </si>
  <si>
    <t>National Institute of Polar Research (NIPR) under the Ministry of Education, Culture, Sports, Science and Technology (MEXT); JSPS KAKENHI [17H06321]; Grants-in-Aid for Scientific Research [17H06321] Funding Source: KAKEN</t>
  </si>
  <si>
    <t>National Institute of Polar Research (NIPR) under the Ministry of Education, Culture, Sports, Science and Technology (MEXT);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</si>
  <si>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study is a part of the Science Program of Japanese Antarctic Research Expedition (JARE). It was supported by the National Institute of Polar Research (NIPR) under the Ministry of Education, Culture, Sports, Science and Technology (MEXT). This work was also supported by JSPS KAKENHI grant Number 17H06321. The authors would like to thank Prof. Y. Fukuda for his useful comments. The authors also thank the developers of the c5++ software in Japan and Sweden.</t>
  </si>
  <si>
    <t>e2021GL093479</t>
  </si>
  <si>
    <t>10.1029/2021GL093479</t>
  </si>
  <si>
    <t>UN4ZB</t>
  </si>
  <si>
    <t>WOS:000694024100004</t>
  </si>
  <si>
    <t>Hartman, JD; Sangiorgi, F; Barcena, MA; Tateo, F; Giglio, F; Albertazzi, S; Trincardi, F; Bijl, PK; Langone, L; Asioli, A</t>
  </si>
  <si>
    <t>Hartman, Julian D.; Sangiorgi, F.; Barcena, M. A.; Tateo, F.; Giglio, F.; Albertazzi, S.; Trincardi, F.; Bijl, P. K.; Langone, L.; Asioli, A.</t>
  </si>
  <si>
    <t>Sea-ice, primary productivity and ocean temperatures at the Antarctic marginal zone during late Pleistocene</t>
  </si>
  <si>
    <t>Antarctica; Sea ice; Ross sea; Productivity; Water temperature; Pleistocene; Micropaleontology; Organic geochemistry; Element geochemistry; Glacial-interglacial variability; Paleoclimatology</t>
  </si>
  <si>
    <t>DINOFLAGELLATE CYST ASSEMBLAGES; DIALKYL GLYCEROL TETRAETHERS; DIATOM RESTING SPORES; LAST GLACIAL MAXIMUM; KING-GEORGE-ISLAND; SOUTHERN-OCEAN; ROSS-SEA; SURFACE SEDIMENTS; ATLANTIC SECTOR; SCOTIA SEA</t>
  </si>
  <si>
    <t>While Pleistocene glacial-interglacial cycles are commonly associated with strong waxing and waning of Northern Hemisphere ice sheets, the response of the Antarctic ice sheet and regional changes in oceanographic and environmental conditions to Pleistocene climate dynamics remain poorly constrained. We present a reconstruction of sea- ice cover, sea surface temperature and primary productivity off the Ross Sea margin (Adare Basin at the slope of the Drygalski Basin) during the marine isotope stages (MIS) 9 to 5 (350-70 thousands years ago, encompassing Terminations IV to II). Our multiproxy study relies on micropaleontology (diatoms, dinoflagellate cysts, benthic foraminifers), organic and inorganic geochemistry proxies (carbon and nitrogen isotopes, lipid biomarkers, XRF-data), and sedimentology (IRD) obtained from deep-sea core AS05-10. For each glacial-interglacial transition a clear succession of events can be observed: (near-)permanent sea ice cover during glacial stages is followed by ice-shelf break-up with episodic ice-free areas and surface water stratification. Notably, ice-shelf break-up precedes the increase in air temperature as measured in the Vostok ice core for each glacial-interglacial transition. Generally, air temperature over Vostok starts rising once sea-ice cover at site AS05-10 has significantly decreased, becoming seasonal, as indicated by the diatom species composition. This is also reflected by the high diatom productivity and increased water mixing at site AS05-10, which is indicative of its proximity to the Marginal Ice Zone. At the onset of Termination II (MIS6 to 5), high export productivity and dysoxic bottom water conditions occurred, while water temperature increased about 5 degrees C. During each interglacial spring/summer sea-ice cover is most reduced, and highest productivity occurs. Following each interglacial, the warm and cold fluctuations match the sawtooth character of the temperatures over Vostok. This record illustrates that at the Ross Sea margin, sea surface conditions and (export) productivity were strongly influenced by the natural climate variability of the Pleistocene. In light of this, current global warming may lead to increased ice-shelf break-up, water column stratification and shifts in the position/size of the Marginal Ice Zone with implications for algal species composition and diversity, and for primary productivity. (C) 2021 The Authors. Published by Elsevier Ltd.</t>
  </si>
  <si>
    <t>[Hartman, Julian D.; Sangiorgi, F.; Bijl, P. K.] Univ Utrecht, Dept Earth Sci, Utrecht, Netherlands; [Barcena, M. A.] Univ Salamanca, Fac Ciencias, Dept Geol, Salamanca, Spain; [Tateo, F.] CNR, Ist Geosci &amp; Georisorse, Padua, Italy; [Giglio, F.; Langone, L.] CNR, Ist Sci Polari, Bologna, Italy; [Albertazzi, S.; Trincardi, F.; Asioli, A.] CNR, Ist Sci Marine, Bologna, Italy</t>
  </si>
  <si>
    <t>Utrecht University; University of Salamanca; Consiglio Nazionale delle Ricerche (CNR); Istituto di Geoscienze e Georisorse (IGG-CNR); Consiglio Nazionale delle Ricerche (CNR); Istituto di Scienze Polari (ISP-CNR); Consiglio Nazionale delle Ricerche (CNR); Istituto di Scienze Marine (ISMAR-CNR)</t>
  </si>
  <si>
    <t>Sangiorgi, F (corresponding author), Univ Utrecht, Dept Earth Sci, Utrecht, Netherlands.</t>
  </si>
  <si>
    <t>juulhartman@gmail.com; F.Sangiorgi@uu.nl</t>
  </si>
  <si>
    <t>Asioli, Alessandra/ACY-3400-2022; Tateo, Fabio/ABA-4862-2021; Barcena, Maria Angeles/D-5839-2011</t>
  </si>
  <si>
    <t>Asioli, Alessandra/0000-0002-2060-4659; Tateo, Fabio/0000-0002-2335-0199; Trincardi, Fabio/0009-0003-7078-1631; Barcena, Maria Angeles/0000-0001-8261-2286; Sangiorgi, Francesca/0000-0003-4233-6154</t>
  </si>
  <si>
    <t>NWO Netherlands Polar Program [866.10.110]; project Sub-milankovian paleoclimatic variations and deep circulation linkages during the Late Quaternary (MIS 5-7) in the Ross Sea slope (Antarctica) [PNRA 2009/A2.01]; Spanish projects [CGL2015-68459-P, RTI2018-09489-B-100]</t>
  </si>
  <si>
    <t>NWO Netherlands Polar Program; project Sub-milankovian paleoclimatic variations and deep circulation linkages during the Late Quaternary (MIS 5-7) in the Ross Sea slope (Antarctica); Spanish projects(Spanish Government)</t>
  </si>
  <si>
    <t>Julian D. Hartman, Francesca Sangiorgi and Peter K. Bijl acknowledge the NWO Netherlands Polar Program project number 866.10.110. Diatom, foraminifera, IRD and geochemical (OC, d15N, biogenic silica, XRF) analysis were performed within the frame of the PNRA 2009/A2.01 project Sub-milankovian paleoclimatic variations and deep circulation linkages during the Late Quaternary (MIS 5-7) in the Ross Sea slope (Antarctica)(PI Alessandra Asioli). Maria Angeles Barcena acknowledges the Spanish projects CGL2015-68459-P and RTI2018-09489-B-100. We thank Dominika Kasjaniuk and Natasja Welters of the Utrecht University laboratory for their assistance in preparing the GDGT samples and palynological slides. We thank Francien Peterse and Stefan Schouten for the useful discussions on the interpretation of GDGT-based proxies.</t>
  </si>
  <si>
    <t>10.1016/j.quascirev.2021.107069</t>
  </si>
  <si>
    <t>WOS:000694899400009</t>
  </si>
  <si>
    <t>Jeon, MH; Jung, J; Park, MO; Aoki, S; Kim, TW; Kim, SK</t>
  </si>
  <si>
    <t>Jeon, Mi Hae; Jung, Jinyoung; Park, Mi Ok; Aoki, Shigeru; Kim, Tae-Wan; Kim, Seung-Kyu</t>
  </si>
  <si>
    <t>Tracing Circumpolar Deep Water and glacial meltwater using humic-like fluorescent dissolved organic matter in the Amundsen Sea, Antarctica</t>
  </si>
  <si>
    <t>MARINE CHEMISTRY</t>
  </si>
  <si>
    <t>Amundsen Sea; Fluorescent dissolved organic matter; Humic-like component; CDW; Glacial meltwater</t>
  </si>
  <si>
    <t>OPTIMUM MULTIPARAMETER ANALYSIS; PARALLEL FACTOR-ANALYSIS; PINE ISLAND GLACIER; SURFACE ACCUMULATION; PHYTOPLANKTON BLOOMS; OCEAN CIRCULATION; ATLANTIC-OCEAN; NATURAL-WATERS; MARINE; DOM</t>
  </si>
  <si>
    <t>The Amundsen Sea is the most rapidly melting part of the West Antarctic Ice Sheet, due to increased heat transport by Circumpolar Deep Water (CDW). Tracing CDW and resulting glacial meltwater is important since glacial meltwater may change the water mass properties, leading to the change of the biogeochemical cycles. In this study, in order to investigate the potential for using the humic-like component of fluorescent dissolved organic matter (FDOM) as a tracer for CDW and glacial meltwater in the Amundsen Sea, a hydrographic survey was conducted during the austral summer of 2018 aboard the Korean icebreaker IBR/V Araon. The meteoric water and CDW fractions calculated using the humic-like component (f(mw_humic) and f(cdw_humic)) were compared to those using oxygen isotope (delta O-18) (f(mw)) and optimum multiparameter analysis (OMP) (f(cdw_OMP)), respectively. The fluorescence intensity of the humic-like component varied from 0.007 to 0.021, with higher values in the deeper layer and lower intensities in the surface waters. The range of f(cdw_ humic) (0.5-1.0) was narrower than that of f(cdw_ OMP) (0.1-1.0), indicating that the f(cdw_ humic) values were overestimated due to the remained humic-like C1. To minimize the effect of the remained humic-like C1 on the calculation of CDW fraction, we used newly derived empirical equations (i.e., fcdw_ OMP = 105.17 x C1-1.14 for transect 1 and f(cdw_ OMP) = 126.04 x C1-1.41 for transect 2). The CDW fraction calculated using the empirical equations (f(cdw_ humic_empirical)) was in good agreement with the f(cdw_OMP). We also found a significant positive relationship between f(mw) and f(mw_humic), indicating that a reasonable method can be applied with a high percentage of explained variance and that f(mw) can be largely explained by f(mw_humic). Our results show that the humic-like component can be a useful tracer for identifying CDW and glacial meltwater in the Amundsen Sea.</t>
  </si>
  <si>
    <t>[Jeon, Mi Hae; Jung, Jinyoung; Kim, Tae-Wan] Korea Polar Res Inst, Div Polar Ocean Sci, 26 Songdomirae Ro, Incheon 21990, South Korea; [Jeon, Mi Hae; Park, Mi Ok] Pukyong Natl Univ, Dept Oceanog, Yongso Ro, Busan 48513, South Korea; [Aoki, Shigeru] Hokkaido Univ, Inst Low Temp Sci, Sapporo, Hokkaido 0600819, Japan; [Kim, Seung-Kyu] Incheon Natl Univ, Dept Marine Sci, 119 Acad Ro, Incheon 22012, South Korea</t>
  </si>
  <si>
    <t>Korea Polar Research Institute (KOPRI); Pukyong National University; Hokkaido University; Incheon National University</t>
  </si>
  <si>
    <t>Jung, J (corresponding author), Korea Polar Res Inst, Div Polar Ocean Sci, 26 Songdomirae Ro, Incheon 21990, South Korea.;Park, MO (corresponding author), Pukyong Natl Univ, Dept Oceanog, Yongso Ro, Busan 48513, South Korea.</t>
  </si>
  <si>
    <t>jinyoungjung@kopri.re.kr; mopark@pknu.ac.kr</t>
  </si>
  <si>
    <t>Kim, Tae-Wan/JGM-9981-2023</t>
  </si>
  <si>
    <t>Kim, Tae-Wan/0000-0001-5257-7256</t>
  </si>
  <si>
    <t>Korea Polar Research Institute (KOPRI) [PE21110, 17H01615]; MEXT of the Japanese Government</t>
  </si>
  <si>
    <t>Korea Polar Research Institute (KOPRI); MEXT of the Japanese Government(Ministry of Education, Culture, Sports, Science and Technology, Japan (MEXT))</t>
  </si>
  <si>
    <t>We are grateful to the captain and crew of the IBR/V Araon for their enthusiastic assistance during the ANA08B cruise. This study was supported by grants from the Korea Polar Research Institute (KOPRI) (PE21110). Shigeru Aoki was supported by Grand-in-Aid for Scientific Research (17H01615) of the MEXT of the Japanese Government.</t>
  </si>
  <si>
    <t>0304-4203</t>
  </si>
  <si>
    <t>1872-7581</t>
  </si>
  <si>
    <t>MAR CHEM</t>
  </si>
  <si>
    <t>Mar. Chem.</t>
  </si>
  <si>
    <t>SEP 20</t>
  </si>
  <si>
    <t>10.1016/j.marchem.2021.104008</t>
  </si>
  <si>
    <t>Chemistry, Multidisciplinary; Oceanography</t>
  </si>
  <si>
    <t>Chemistry; Oceanography</t>
  </si>
  <si>
    <t>UL1TJ</t>
  </si>
  <si>
    <t>WOS:000692441600004</t>
  </si>
  <si>
    <t>Torrecillas, S; Montero, D; Carvalho, M; Benitez-Santana, T; Izquierdo, M</t>
  </si>
  <si>
    <t>Torrecillas, Silvia; Montero, Daniel; Carvalho, Marta; Benitez-Santana, Tibiabin; Izquierdo, Marisol</t>
  </si>
  <si>
    <t>Replacement of fish meal by Antarctic krill meal in diets for European sea bass Dicentrarchus labrax: Growth performance, feed utilization and liver lipid metabolism</t>
  </si>
  <si>
    <t>AQUACULTURE</t>
  </si>
  <si>
    <t>Krill meal; Fish meal replacement; European sea bass; Sustainable ingredients; Steatosis; Fatty acid profile</t>
  </si>
  <si>
    <t>EUPHAUSIA-SUPERBA MEAL; TROUT ONCORHYNCHUS-MYKISS; SEABREAM SPARUS-AURATA; SALMON SALMO-SALAR; ATLANTIC SALMON; RAINBOW-TROUT; NUTRIENT UTILIZATION; PROTEIN-CONCENTRATE; GENE-EXPRESSION; LIPASE ACTIVITY</t>
  </si>
  <si>
    <t>A sustainable growth of the aquaculture sector implies the use of sustainable novel raw materials as replacers of the traditional fishmeal (FM) and fish oil (FO) ingredients. This fact has led to the development of sustainable and functional diets as part of a management strategy to reduce the effects on fish growth performance and health derived from low FM/FO dietary contents. In this sense, Antarctic krill (Euphausia superba) is considered a potential candidate in dietary inclusions to potentiate fish growth and health status. In this study, European sea bass (Dicentrarchus labrax) were fed a practical diet with either a 15% fishmeal content (KM0; control diet) or the same diet substituted by 30% (KM5; 50 g KM/kg diet) or 50% (KM7.5; 75 g KM/kg diet) Antarctic krill meal (KM) for 12 weeks in triplicates. At the end of the feeding trial, growth performance, liver morphology, liver proximate composition, lipid classes and fatty acid profiles, as well as the expression of hepatic genes related with lipid metabolism were evaluated. Fish fed KM-based diets presented higher (p 0.05) final weight, protein and lipid efficiency ratios, specific growth rate (SGR) and improved feed conversion ratio (FCR), irrespective of the KM dietary level. Whole body and muscle proximate composition and fatty acid profiles were similar among dietary groups. Livers of European sea bass fed the experimental diets presented similar (p 0.05) biochemical composition and fatty acid profile. However, smaller hepatocellular area and lower grade of cytoplasm vacuolization as well as a better alignment around sinusoidal spaces were found. The analyses of liver lipid classes revealed a positive correlation between the level of dietary KM and the pigmented material such as astaxanthin and free fatty acid content, as well as a negative correlation with the cholesterol levels. The expression of hepatic genes studied demonstrated a downregulation of 3-hydroxy-3-methylglutaryl-coenzyme A reductase (hmgr) and delta-6-desaturase (fads2) expression levels in fish fed KM-based diets. Besides, gene expression levels of fatty acid binding protein 7 (fabp7) and lipoprotein lipase (lpl) were significantly correlated with KM dietary levels. Altogether, these results profile KM as a potential promoter of growth and liver health in European sea bass fed low fish meal and oil diets.</t>
  </si>
  <si>
    <t>[Torrecillas, Silvia; Montero, Daniel; Carvalho, Marta; Izquierdo, Marisol] Univ Las Palmas Gran Canaria, Grp Invest Acuicultura GIA, IU ECOAQUA, Crta Taliarte S-N, Las Palmas Gran Canaria, Canary Islands, Spain; [Benitez-Santana, Tibiabin] Aker BioMarine Antartic AS, Oksenoyveien 10,POB 496, N-1327 Lysaker, Norway</t>
  </si>
  <si>
    <t>Universidad de Las Palmas de Gran Canaria</t>
  </si>
  <si>
    <t>Torrecillas, S (corresponding author), Univ Las Palmas Gran Canaria, Grp Invest Acuicultura GIA, IU ECOAQUA, Crta Taliarte S-N, Las Palmas Gran Canaria, Canary Islands, Spain.</t>
  </si>
  <si>
    <t>silvia.torrecillas@giaqua.org</t>
  </si>
  <si>
    <t>Torrecillas, Silvia/HKN-6891-2023; montero, daniel/O-7108-2015; Torrecillas, Silvia/F-5378-2016; montero, daniel/ABE-3894-2020; Carvalho, Marta/W-3586-2017</t>
  </si>
  <si>
    <t>Torrecillas, Silvia/0000-0003-2823-9999; montero, daniel/0000-0002-4358-2157; Torrecillas, Silvia/0000-0003-2823-9999; Marisol, Izquierdo/0000-0003-4297-210X; Carvalho, Marta/0000-0002-2554-6101</t>
  </si>
  <si>
    <t>0044-8486</t>
  </si>
  <si>
    <t>1873-5622</t>
  </si>
  <si>
    <t>Aquaculture</t>
  </si>
  <si>
    <t>DEC 15</t>
  </si>
  <si>
    <t>10.1016/j.aquaculture.2021.737166</t>
  </si>
  <si>
    <t>UK2QO</t>
  </si>
  <si>
    <t>WOS:000691819600007</t>
  </si>
  <si>
    <t>Fu, J; Fu, KH; Chen, Y; Li, XM; Ye, T; Gao, K; Pan, WX; Zhang, AQ; Fu, JJ</t>
  </si>
  <si>
    <t>Fu, Jie; Fu, Kehan; Chen, Yu; Li, Xiaomin; Ye, Tong; Gao, Ke; Pan, Wenxiao; Zhang, Aiqian; Fu, Jianjie</t>
  </si>
  <si>
    <t>Long-Range Transport, Trophic Transfer, and Ecological Risks of Organophosphate Esters in Remote Areas</t>
  </si>
  <si>
    <t>ENVIRONMENTAL SCIENCE &amp; TECHNOLOGY</t>
  </si>
  <si>
    <t>emerging organic pollutants; The Arctic; The Antarctic; oceans; aquatic food chain; bioaccumulation; metabolism; biomagnification</t>
  </si>
  <si>
    <t>PERSISTENT ORGANIC POLLUTANTS; PHOSPHATE FLAME RETARDANTS; MESSENGER-RNA EXPRESSION; OH-INITIATED OXIDATION; IN-VITRO METABOLISM; GREAT-LAKES; FOOD-WEB; ZEBRAFISH EMBRYOGENESIS; TRIPHENYL PHOSPHATE; CHEMICAL-PROPERTIES</t>
  </si>
  <si>
    <t>Organophosphate esters (OPEs) have been a focus in the field of environmental science due to their large volume production, wide range of applications, ubiquitous occurrence, potential bioaccumulation, and worrisome ecological and health risks. Varied physicochemical properties among OPE analogues represent an outstanding scientific challenge in studying the environmental fate of OPEs in recent years. There is an increasing number of studies focusing on the long-range transport, trophic transfer, and ecological risks of OPEs. Therefore, it is necessary to conclude the OPE pollution status on a global scale, especially in the remote areas with vulnerable and fragile ecosystems. The present review links together the source, fate, and environmental behavior of OPEs in remote areas, integrates the occurrence and profile data, summarizes their bioaccumulation, trophic transfer, and ecological risks, and finally points out the predominant pollution burden of OPEs among organic pollutants in remote areas. Given the relatively high contamination level and bioaccumulation/biomagnification behavior of OPEs, in combination with the sensitivity of endemic species in remote areas, more attention should be paid to the potential ecological risks of OPEs.</t>
  </si>
  <si>
    <t>[Fu, Jie; Fu, Kehan; Chen, Yu; Ye, Tong; Gao, Ke; Pan, Wenxiao; Zhang, Aiqian; Fu, Jianjie] Chinese Acad Sci, Res Ctr Ecoenvironm Sci, State Key Lab Environm Chem &amp; Ecotoxicol, Beijing 100085, Peoples R China; [Fu, Jie; Zhang, Aiqian; Fu, Jianjie] Univ Chinese Acad Sci, Coll Resources &amp; Environm, Beijing 100049, Peoples R China; [Fu, Kehan] Beijing Inst Grain Sci, Beijing 100053, Peoples R China; [Li, Xiaomin] Chinese Acad Agr Sci CAAS, Inst Qual Stand &amp; Testing Technol Agroprod, Beijing 100081, Peoples R China; [Ye, Tong; Zhang, Aiqian; Fu, Jianjie] Jianghan Univ, Inst Environm &amp; Hlth, Hubei Key Lab Environm &amp; Hlth Effects Persistent, Wuhan 430056, Peoples R China; [Zhang, Aiqian; Fu, Jianjie] Univ Chinese Acad Sci, Sch Environm, Hangzhou Inst Adv Study, Hangzhou 310024, Peoples R China</t>
  </si>
  <si>
    <t>Chinese Academy of Sciences; Research Center for Eco-Environmental Sciences (RCEES); Chinese Academy of Sciences; University of Chinese Academy of Sciences, CAS; Chinese Academy of Agricultural Sciences; Jianghan University; Chinese Academy of Sciences; University of Chinese Academy of Sciences, CAS</t>
  </si>
  <si>
    <t>Fu, JJ (corresponding author), Chinese Acad Sci, Res Ctr Ecoenvironm Sci, State Key Lab Environm Chem &amp; Ecotoxicol, Beijing 100085, Peoples R China.;Fu, JJ (corresponding author), Univ Chinese Acad Sci, Coll Resources &amp; Environm, Beijing 100049, Peoples R China.;Fu, JJ (corresponding author), Jianghan Univ, Inst Environm &amp; Hlth, Hubei Key Lab Environm &amp; Hlth Effects Persistent, Wuhan 430056, Peoples R China.;Fu, JJ (corresponding author), Univ Chinese Acad Sci, Sch Environm, Hangzhou Inst Adv Study, Hangzhou 310024, Peoples R China.</t>
  </si>
  <si>
    <t>jjfu@rcees.ac.cn</t>
  </si>
  <si>
    <t>Li, Xiaomin/0000-0002-9037-211X; Fu, Jianjie/0000-0002-6373-0719</t>
  </si>
  <si>
    <t>Strategic Priority Research Program of the Chinese Academy of Sciences; Pan-Third Pole Environment Study for a Green Silk Road (Pan-TPE) [XDA2004050203]; Second Tibetan Plateau Scientific Expedition and Research Program [2019QZKK0605]; National Natural Science Foundation of China [22022611, 21906096]; Youth Innovation Promotion Association of CAS [2018052]</t>
  </si>
  <si>
    <t>Strategic Priority Research Program of the Chinese Academy of Sciences(Chinese Academy of Sciences); Pan-Third Pole Environment Study for a Green Silk Road (Pan-TPE); Second Tibetan Plateau Scientific Expedition and Research Program; National Natural Science Foundation of China(National Natural Science Foundation of China (NSFC)); Youth Innovation Promotion Association of CAS</t>
  </si>
  <si>
    <t>This work was supported by the Strategic Priority Research Program of the Chinese Academy of Sciences, the Pan-Third Pole Environment Study for a Green Silk Road (Pan-TPE) (No. XDA2004050203), the Second Tibetan Plateau Scientific Expedition and Research Program (No. 2019QZKK0605), the National Natural Science Foundation of China (No. 22022611, No. 21906096), and the Youth Innovation Promotion Association of CAS (No. 2018052).</t>
  </si>
  <si>
    <t>AMER CHEMICAL SOC</t>
  </si>
  <si>
    <t>1155 16TH ST, NW, WASHINGTON, DC 20036 USA</t>
  </si>
  <si>
    <t>0013-936X</t>
  </si>
  <si>
    <t>1520-5851</t>
  </si>
  <si>
    <t>ENVIRON SCI TECHNOL</t>
  </si>
  <si>
    <t>Environ. Sci. Technol.</t>
  </si>
  <si>
    <t>10.1021/acs.est.0c08822</t>
  </si>
  <si>
    <t>TX8VF</t>
  </si>
  <si>
    <t>WOS:000683363600002</t>
  </si>
  <si>
    <t>Adams, CJC; Iverson, NR; Helanow, C; Zoet, LK; Bate, CE</t>
  </si>
  <si>
    <t>Adams, Conner J. C.; Iverson, Neal R.; Helanow, Christian; Zoet, Lucas K.; Bate, Charlotte E.</t>
  </si>
  <si>
    <t>Softening of Temperate Ice by Interstitial Water</t>
  </si>
  <si>
    <t>FRONTIERS IN EARTH SCIENCE</t>
  </si>
  <si>
    <t>ice stream; shear margin; experiments; water content; ice creep; viscosity</t>
  </si>
  <si>
    <t>POLAR ICE; POLYCRYSTALLINE ICE; STREAM B; CREEP; DEFORMATION; MARGINS; RECRYSTALLIZATION; RHEOLOGY; DYNAMICS; GLACIERS</t>
  </si>
  <si>
    <t>Ice at depth in ice-stream shear margins is thought to commonly be temperate, with interstitial meltwater that softens ice. Models that include this softening extrapolate results of a single experimental study in which ice effective viscosity decreased by a factor of similar to 3 over water contents of similar to 0.01-0.8%. Modeling indicates this softening by water localizes strain in shear margins and through shear heating increases meltwater at the bed, enhancing basal slip. To extend data to higher water contents, we shear lab-made ice in confined compression with a large ring-shear device. Ice rings with initial mean grain sizes of 2-4 mm are kept at the pressure-melting temperature and sheared at controlled rates with peak stresses of similar to 0.06-0.20 MPa, spanning most of the estimated shear-stress range in West Antarctic shear margins. Final mean grain sizes are 8-13 mm. Water content is measured by inducing a freezing front at the ice-ring edges, tracking its movement inward with thermistors, and fitting the data with solutions of the relevant Stefan problem. Results indicate two creep regimes, below and above a water content of similar to 0.6%. Comparison of effective viscosity values in secondary creep with those of tertiary creep from the earlier experimental study indicate that for water contents of 0.2-0.6%, viscosity in secondary creep is about twice as sensitive to water content than for ice sheared to tertiary creep. Above water contents of 0.6%, viscosity values in secondary creep are within 25% of those of tertiary creep, suggesting a stress-limiting mechanism at water contents greater than 0.6% that is insensitive to ice fabric development in tertiary creep. At water contents of similar to 0.6-1.7%, effective viscosity is independent of water content, and ice is nearly linear-viscous. Minimization of intercrystalline stress heterogeneity by grain-scale melting and refreezing at rates that approach an upper bound as grain-boundary water films thicken might account for the two regimes.</t>
  </si>
  <si>
    <t>[Adams, Conner J. C.; Iverson, Neal R.; Helanow, Christian; Bate, Charlotte E.] Iowa State Univ, Dept Geol &amp; Atmospher Sci, Ames, IA 50011 USA; [Zoet, Lucas K.] Univ Wisconsin, Dept Geosci, Madison, WI USA</t>
  </si>
  <si>
    <t>Iowa State University; University of Wisconsin System; University of Wisconsin Madison</t>
  </si>
  <si>
    <t>Iverson, NR (corresponding author), Iowa State Univ, Dept Geol &amp; Atmospher Sci, Ames, IA 50011 USA.</t>
  </si>
  <si>
    <t>niverson@iastate.edu</t>
  </si>
  <si>
    <t>Zoet, Lucas/0000-0002-9635-4051</t>
  </si>
  <si>
    <t>United States National Science Foundation [NSFGEO-NERC-1643120]</t>
  </si>
  <si>
    <t>United States National Science Foundation(National Science Foundation (NSF))</t>
  </si>
  <si>
    <t>We thank the two reviewers, H. Lowe, and M. Ranganathan, for their useful comments, R. B. Alley for helpful discussion of ice softening by water, and the United States National Science Foundation for supporting this study (NSFGEO-NERC-1643120).</t>
  </si>
  <si>
    <t>2296-6463</t>
  </si>
  <si>
    <t>FRONT EARTH SC-SWITZ</t>
  </si>
  <si>
    <t>Front. Earth Sci.</t>
  </si>
  <si>
    <t>JUL 15</t>
  </si>
  <si>
    <t>10.3389/feart.2021.702761</t>
  </si>
  <si>
    <t>TR1FX</t>
  </si>
  <si>
    <t>WOS:000678718700001</t>
  </si>
  <si>
    <t>Hu, HN; Liu, X; Ren, CY; Jia, RM; Qiu, YS; Zheng, MF; Chen, M</t>
  </si>
  <si>
    <t>Hu, Huina; Liu, Xiao; Ren, Chunyan; Jia, Renming; Qiu, Yusheng; Zheng, Minfang; Chen, Min</t>
  </si>
  <si>
    <t>210Po/210Pb Disequilibria and Its Estimate of Particulate Organic Carbon Export Around Prydz Bay, Antarctica</t>
  </si>
  <si>
    <t>Po-210; Pb-210; POC export flux; Prydz Bay; biogeochemical behavior</t>
  </si>
  <si>
    <t>SOUTH CHINA SEA; SURFACE WATERS; POC EXPORT; PB-210 DISTRIBUTIONS; EQUATORIAL PACIFIC; BIOGENIC SILICA; PO-210; TH-234; OCEAN; RA-226</t>
  </si>
  <si>
    <t>Due to the remoteness and difficulty of sampling, the Po-210 and Pb-210 data are scarce in the Southern Ocean. Here, the activity concentrations of Po-210 and Pb-210 around Prydz Bay in austral summer were determined to understand their spatial variation and evaluate the dynamics of particle organic matter (POM). The activity concentrations of dissolved Po-210 ((DPo)-Po-210) and Pb-210 ((DPb)-Pb-210) range from 0.47 to 3.20 Bq.m(-3) and from 1.15 to 2.97 Bq.m(-3), respectively, with the lower values in the shelf. The particulate Po-210 ((PPo)-Po-210) and Pb-210 ((PPb)-Pb-210) are lower in the open ocean and increase to the coastal waters, among which the circumpolar deep water (CDW) is the lowest. The activity concentration of total Pb-210 ((TPb)-Pb-210) ranges from 1.26 Bq.m(-3) to 3.16 Bq.m(-3), with a higher value in CDW, which is ascribed to radiogenic production from Ra-226 and subsequent lateral transport. Occasionally a high value of (TPo)-Po-210 occurs in deep water (&gt;3.00 Bq.m(-3)), which may be caused by the remineralization of POM. The disequilibria between (TPo)-Po-210 and (TPb)-Pb-210 appears throughout the water column at most stations. The average (TPo)-Po-210/(TPb)-Pb-210)(A.R.) in the euphotic zone is 0.66, reflecting the effect of strong particle scavenging. There is a good positive correlation between the solid-liquid ratio of Po-210 and POC, while Pb-210 does not, indicating that particulate organic matter regulates the biogeochemical cycle of Po-210 around Prydz Bay. Based on the Po-210/Pb-210 disequilibria, the export flux of POC in the water column is estimated to be 0.8-31.9 mmol m(-2) d(-1), with the higher values in the shelf.</t>
  </si>
  <si>
    <t>[Hu, Huina; Liu, Xiao; Ren, Chunyan; Jia, Renming; Qiu, Yusheng; Zheng, Minfang; Chen, Min] Xiamen Univ, Coll Ocean &amp; Earth Sci, Xiamen, Peoples R China; [Hu, Huina] Minist Nat Resources, South China Sea Bur, South China Sea Environm Monitoring Ctr, Guangzhou, Peoples R China</t>
  </si>
  <si>
    <t>Xiamen University; Ministry of Natural Resources of the People's Republic of China</t>
  </si>
  <si>
    <t>Chen, M (corresponding author), Xiamen Univ, Coll Ocean &amp; Earth Sci, Xiamen, Peoples R China.</t>
  </si>
  <si>
    <t>mchen@xmu.edu.cn</t>
  </si>
  <si>
    <t>Impact and Response of Antarctic Seas to Climate Change [IRASCC 01-01-02C, 02-01-01]; Ministry of Natural Resources of the People's Republic of China; Chinese Arctic and Antarctic Administration, National Natural Science Foundation of China [41721005]; China Ocean Mineral Resources RD Association [DY135-13-E2-03]</t>
  </si>
  <si>
    <t>Impact and Response of Antarctic Seas to Climate Change; Ministry of Natural Resources of the People's Republic of China; Chinese Arctic and Antarctic Administration, National Natural Science Foundation of China; China Ocean Mineral Resources RD Association</t>
  </si>
  <si>
    <t>This work was supported by Impact and Response of Antarctic Seas to Climate Change (IRASCC 01-01-02C and 02-01-01) and funded by Ministry of Natural Resources of the People's Republic of China and Chinese Arctic and Antarctic Administration, National Natural Science Foundation of China (41721005), and Program funded by China Ocean Mineral Resources R&amp;D Association (No. DY135-13-E2-03).</t>
  </si>
  <si>
    <t>10.3389/fmars.2021.701014</t>
  </si>
  <si>
    <t>TQ3OA</t>
  </si>
  <si>
    <t>WOS:000678191700001</t>
  </si>
  <si>
    <t>Arvanitidis, P; Almyriotou, A</t>
  </si>
  <si>
    <t>Arvanitidis, Paschalis; Almyriotou, Aikaterini</t>
  </si>
  <si>
    <t>The commons institution of Antarctica: a roadmap to governance of mankind resources</t>
  </si>
  <si>
    <t>JOURNAL OF PROPERTY PLANNING AND ENVIRONMENTAL LAW</t>
  </si>
  <si>
    <t>Institution; Design principles; Outer space; Antarctic; Global commons; SES framework; Mankind resources</t>
  </si>
  <si>
    <t>NATURAL-RESOURCES; PROPERTY; TRAGEDY; CHALLENGES</t>
  </si>
  <si>
    <t>Purpose - This paper aims to draw on Ostrom's commons theory to analyse the governance regime of Antarctic as a commons institution. Antarctic is a peculiar territorial space on Earth, which due to its unique characteristics constitutes a global common resource that very much resembles outer space resources. On these grounds, the paper highlights successful, and less successful, arrangements developed in the Antarctic commons to be considered as a blueprint or roadmap towards the governance of outer space resources as a commons. Design/methodology/approach - The paper uses first, the social-ecological system (SES) framework to outline the characteristics of Antarctic as a commons institution, and second, Ostrom's design principles to assess the commons institution of Antarctic. The Antarctic commons institution is used next, as an analogy to reflect on the challenges outer space global resource face and the way it could be managed. Findings - The paper concludes that Antarctic enjoys a functional, credible and successful commons institution that should reinforce the twofold governance structure it exhibits. Similar cases of global common resources, such as these of outer space, that seek to establish a similar commons institution should take into account issues related the benefits spectrum and the credible commitment of actors to engage in different levels of the governance regime. What matters is not necessarily the form of the regime but rather how the commons as an institution functions, whether it fulfils the needs and interests of the driving actors and, on these grounds, how credible these arrangements are in the eyes of the committed members. Research limitations/implications - Both Antarctica and outer space are rather unique cases and domains of multiple resources. Practical implications - The paper provides an analogy to consider sustainable appropriation of global resources (global commons) for peace and prosperity to all. Originality/value - The paper is original, in the sense that according to the best of the authors' knowledge, no published work has identified Antarctic as a commons institution or has used the aforementioned methodologies to analyse Antarctica as a commons and to employ their findings in providing directions for the design of appropriate governance frameworks for other resources that exhibit the characteristics of global commons, such as these of the outer space.</t>
  </si>
  <si>
    <t>[Arvanitidis, Paschalis; Almyriotou, Aikaterini] Univ Thessaly, Dept Econ, Lab Econ Policy &amp; Strateg Planning, Volos, Greece</t>
  </si>
  <si>
    <t>University of Thessaly</t>
  </si>
  <si>
    <t>Arvanitidis, P (corresponding author), Univ Thessaly, Dept Econ, Lab Econ Policy &amp; Strateg Planning, Volos, Greece.</t>
  </si>
  <si>
    <t>parvanit@uth.gr</t>
  </si>
  <si>
    <t>Arvanitidis, Paschalis/AAE-5553-2022</t>
  </si>
  <si>
    <t>Arvanitidis, Paschalis/0000-0003-3799-4101</t>
  </si>
  <si>
    <t>EMERALD GROUP PUBLISHING LTD</t>
  </si>
  <si>
    <t>BINGLEY</t>
  </si>
  <si>
    <t>HOWARD HOUSE, WAGON LANE, BINGLEY BD16 1WA, W YORKSHIRE, ENGLAND</t>
  </si>
  <si>
    <t>2514-9407</t>
  </si>
  <si>
    <t>2514-9415</t>
  </si>
  <si>
    <t>J PROP PLAN ENV LAW</t>
  </si>
  <si>
    <t>J. Prop. Plan. Env. Law</t>
  </si>
  <si>
    <t>AUG 17</t>
  </si>
  <si>
    <t>10.1108/JPPEL-02-2021-0013</t>
  </si>
  <si>
    <t>Law</t>
  </si>
  <si>
    <t>Government &amp; Law</t>
  </si>
  <si>
    <t>UB0ZK</t>
  </si>
  <si>
    <t>WOS:000674410000001</t>
  </si>
  <si>
    <t>Kuzmina, TA; Laskowski, Z; Salganskij, OO; Zdzitowiecki, K; Lisitsyna, OI; Kuzmin, Y</t>
  </si>
  <si>
    <t>Kuzmina, Tetiana A.; Laskowski, Zdzislaw; Salganskij, Oleksander O.; Zdzitowiecki, Krzysztof; Lisitsyna, Olga, I; Kuzmin, Yuriy</t>
  </si>
  <si>
    <t>Helminth Assemblages of the Antarctic Black Rockcod, Notothenia coriiceps (Actinopterygii: Nototheniidae) in Coastal Waters near Galindez Island (Argentine Islands, West Antarctic): Temporal Changes in the Endoparasite Community</t>
  </si>
  <si>
    <t>Helminth community; Species richness; Notothenia coriiceps; West Antarctica</t>
  </si>
  <si>
    <t>SOUTH SHETLAND ISLANDS; KING GEORGE ISLAND; ADMIRALTY BAY; GOBIONOTOTHEN-GIBBERIFRONS; LIFE-CYCLE; PARASITES; FISH; ACANTHOCEPHALANS; INFECTION; ROSSII</t>
  </si>
  <si>
    <t>Purpose Analysis and comparison of the helminth assemblages in Antarctic rockcod Notothenia coriiceps collected near the UAS Akademik Vernadsky (Argentine Islands, West Antarctica) in 2002 and 2014-2015 were performed to characterise the parasite community and investigate the temporal changes in helminth assemblages and infection parameters. Methods All specimens of N. coriiceps (n = 194) were caught at depths of 10-30 m. Parasites (22,856 helminth specimens and 15,057 cysts) were collected manually and identified based on their morphology. Statistical analysis of the quantitative data was performed using the Quantitative Parasitology 3.0 (QP 3.0), Paleontological Statistics (PAST v. 3.1), and PRIMER 6 software. Results Twenty-seven species of four taxonomic groups were recorded: trematodes (8 species), cestodes (4), nematodes (5), and acanthocephalans (10). Helminth samples collected in 2002 and 2014-2015 showed a rather high similarity in species composition. The species richness was higher in the sample collected in 2014-2015, while the evenness and diversity in the two samples were similar. The dissimilarity between helminth infracommunities in the two samples appeared to be statistically significant. Larval cestodes Diphyllobotrium sp., the acanthocephalan Metacanthocephalus rennicki, and the trematode Neoleoburia antarctica were found to make the most significant impact on the dissimilarity. Conclusions The analysis of the composition and structure of helminth community in N. coriiceps revealed the changes that have happened during the last decade. At least some of the changes are attributed to the changes in marine ecosystems in Western Antarctica.</t>
  </si>
  <si>
    <t>[Kuzmina, Tetiana A.; Lisitsyna, Olga, I; Kuzmin, Yuriy] NAS Ukraine, II Schmalhausen Inst Zool, 15 Bogdan Khmelnitsky St, UA-01030 Kiev, Ukraine; [Laskowski, Zdzislaw; Zdzitowiecki, Krzysztof] Polish Acad Sci, W Stefanski Inst Parasitol, Warsaw, Poland; [Salganskij, Oleksander O.] State Inst Natl Antarctic Sci Ctr, 16 Taras Shevchenko Blvd, UA-01601 Kiev, Ukraine; [Kuzmin, Yuriy] North West Univ, Unit Environm Sci &amp; Management, African Amphibian Conservat Res Grp, Potchefstroom, South Africa</t>
  </si>
  <si>
    <t>National Academy of Sciences Ukraine; Schmalhausen Institute of Zoology of NASU; Polish Academy of Sciences; Ministry of Education &amp; Science of Ukraine; State Institution National Antarctic Scientific Center; North West University - South Africa</t>
  </si>
  <si>
    <t>Kuzmina, TA (corresponding author), NAS Ukraine, II Schmalhausen Inst Zool, 15 Bogdan Khmelnitsky St, UA-01030 Kiev, Ukraine.</t>
  </si>
  <si>
    <t>taniak@izan.kiev.ua</t>
  </si>
  <si>
    <t>Kuzmin, Yuriy/H-1736-2015; Kuzmina, Tetiana/A-5457-2019</t>
  </si>
  <si>
    <t>Kuzmin, Yuriy/0000-0002-1723-1265; Kuzmina, Tetiana/0000-0002-5054-4757; Oleksandr, Salganskiy/0000-0002-7063-1807</t>
  </si>
  <si>
    <t>National Research Foundation of Ukraine [2020.02/0074]</t>
  </si>
  <si>
    <t>National Research Foundation of Ukraine</t>
  </si>
  <si>
    <t>This study was partially supported by the National Research Foundation of Ukraine (project number 2020.02/0074).</t>
  </si>
  <si>
    <t>10.1007/s11686-021-00448-7</t>
  </si>
  <si>
    <t>WOS:000673902300005</t>
  </si>
  <si>
    <t>Sykora-Bodie, ST; Alvarez-Romero, JG; Adams, VM; Gurney, GG; Cleary, J; Pressey, RL; Ban, NC</t>
  </si>
  <si>
    <t>Sykora-Bodie, Seth T.; Alvarez-Romero, Jorge G.; Adams, Vanessa M.; Gurney, Georgina G.; Cleary, Jesse; Pressey, Robert L.; Ban, Natalie C.</t>
  </si>
  <si>
    <t>Methods for identifying spatially referenced conservation needs and opportunities</t>
  </si>
  <si>
    <t>BIOLOGICAL CONSERVATION</t>
  </si>
  <si>
    <t>Antarctica; CCAMLR; Conservation opportunity; Conservation planning; Expert elicitation; High seas; Marine conservation; Marine protected areas; Participatory mapping; Southern Ocean</t>
  </si>
  <si>
    <t>MARINE PROTECTED AREAS; EXPERT ELICITATION; LIVING RESOURCES; CLIMATE-CHANGE; MAPPING HUMAN; SOCIAL DATA; IMPLEMENTATION; BIODIVERSITY; ECOSYSTEM; NETWORK</t>
  </si>
  <si>
    <t>Protected area coverage is expanding rapidly in response to threats such as habitat degradation, resource overexploitation, and climate change. Given limited resources, conservation scientists have developed systematic methods for identifying where it is most efficient to protect biodiversity. To improve the outcomes of protected areas, planners have also sought to incorporate non-ecological data into protected area design, including data on conservation opportunity. Our study expands this literature using expert elicitation, participatory mapping, and a case study of the Southern Ocean to identify areas of conservation need and opportunity. We consider the spatial variation between need and opportunity, examine how socioeconomic and political factors influence the selection of areas, and investigate barriers to reaching consensus and establishing marine protected areas along the Western Antarctic Peninsula. We found that, while experts readily identified areas of conservation need and opportunity, most did not easily distinguish between the different types of opportunity proposed in the literature (existing, potential, and fleeting). Geographically, there were significant areas of overlap between need and opportunity, but areas of need were more restricted and specific, whereas areas of opportunity were more expansive and general. Biophysical and socioeconomic factors were most important in motivating the selection of areas of opportunity, followed by geopolitical and then scientific factors. Our approach to data collection and planning can provide insights into tradeoffs between ecological needs and opportunities for taking action, and therefore aid in identifying and reducing barriers to designating effective marine protected areas.</t>
  </si>
  <si>
    <t>[Sykora-Bodie, Seth T.] Duke Univ, Nicholas Sch Environm, Div Marine Sci &amp; Conservat, Beaufort, NC 28516 USA; [Sykora-Bodie, Seth T.; Alvarez-Romero, Jorge G.; Gurney, Georgina G.; Pressey, Robert L.] James Cook Univ, Australian Res Council Ctr Excellence Coral Reef, Townsville, Qld 4811, Australia; [Adams, Vanessa M.] Univ Tasmania, Dept Geog &amp; Spatial Sci, Sandy Bay Campus, Hobart, Tas 7005, Australia; [Cleary, Jesse] Duke Univ, Nicholas Sch Environm, Marine Geospatial Ecol Lab, Durham, NC 27708 USA; [Ban, Natalie C.] Univ Victoria, Sch Environm Studies, Victoria, BC V8P 5C2, Canada</t>
  </si>
  <si>
    <t>Duke University; James Cook University; University of Tasmania; Duke University; University of Victoria</t>
  </si>
  <si>
    <t>Sykora-Bodie, ST (corresponding author), Duke Univ, Nicholas Sch Environm, Div Marine Sci &amp; Conservat, Beaufort, NC 28516 USA.;Sykora-Bodie, ST (corresponding author), James Cook Univ, Australian Res Council Ctr Excellence Coral Reef, Townsville, Qld 4811, Australia.</t>
  </si>
  <si>
    <t>sethsykorabodie@gmail.com</t>
  </si>
  <si>
    <t>Ban, Natalie C/C-6938-2009; Adams, Vanessa M./A-3834-2012; Alvarez-Romero, Jorge/A-4557-2009</t>
  </si>
  <si>
    <t>Adams, Vanessa M./0000-0002-3509-7901; Alvarez-Romero, Jorge/0000-0002-1141-0588</t>
  </si>
  <si>
    <t>National Geographic Society; Australian Government and Endeavour Research Fellowship Programme; French Government; Chateaubriand STEM Research Fellowship; Duke University; Australian Research Council Centre of Excellence for Coral Reef Studies; University of Victoria's Faculty of Social Sciences Lansdowne Early Career Scholar Award</t>
  </si>
  <si>
    <t>National Geographic Society(National Geographic Society); Australian Government and Endeavour Research Fellowship Programme; French Government; Chateaubriand STEM Research Fellowship; Duke University; Australian Research Council Centre of Excellence for Coral Reef Studies(Australian Research Council); University of Victoria's Faculty of Social Sciences Lansdowne Early Career Scholar Award</t>
  </si>
  <si>
    <t>SSB would like to thank the Antarctic and Southern Ocean Coalition for permitting him to attend CCAMLR negotiations with them, as well as the wider CCAMLR community to whom he is grateful for their openness and willingness to participate in this research. He would also like to acknowledge and thank Will McClintock, Grace Goldberg, Stephanie Duce, Arielle Levine, Rachel Lo Piccolo, Stacy Zhang, Kelsey Wright, Elizabeth Castro, and Meg Hewitt for other contributions and support. He would also like to thank the National Geographic Society, the Australian Government and Endeavour Research Fellowship Programme, the French Government and the Chateaubriand STEM Research Fellowship, and Duke University for funding.; GGG, JGAR and RLP acknowledge the support of the Australian Research Council Centre of Excellence for Coral Reef Studies. NCB acknowledges the University of Victoria's Faculty of Social Sciences Lansdowne Early Career Scholar Award.</t>
  </si>
  <si>
    <t>0006-3207</t>
  </si>
  <si>
    <t>1873-2917</t>
  </si>
  <si>
    <t>BIOL CONSERV</t>
  </si>
  <si>
    <t>Biol. Conserv.</t>
  </si>
  <si>
    <t>10.1016/j.biocon.2021.109138</t>
  </si>
  <si>
    <t>TS3GD</t>
  </si>
  <si>
    <t>WOS:000679541200012</t>
  </si>
  <si>
    <t>O'Hanlon, NJ; Bond, AL; Masden, EA; Lavers, JL; James, NA</t>
  </si>
  <si>
    <t>O'Hanlon, Nina J.; Bond, Alexander L.; Masden, Elizabeth A.; Lavers, Jennifer L.; James, Neil A.</t>
  </si>
  <si>
    <t>Measuring nest incorporation of anthropogenic debris by seabirds: An opportunistic approach increases geographic scope and reduces costs</t>
  </si>
  <si>
    <t>MARINE POLLUTION BULLETIN</t>
  </si>
  <si>
    <t>Marine; Nesting material; Plastic; Pollution; Sentinel species</t>
  </si>
  <si>
    <t>BOOBY SULA-LEUCOGASTER; MARINE DEBRIS; PLASTIC INGESTION; POLLUTION; PREVALENCE; SCIENCE</t>
  </si>
  <si>
    <t>Data on the prevalence of anthropogenic debris in seabird nests can be collected alongside other research or through community science initiatives to increase the temporal and spatial scale of data collection. To assess the usefulness of this approach, we collated data on nest incorporation of debris for 14 seabird species from 84 colonies across five countries in northwest Europe. Of 10,274 nests monitored 12% contained debris, however, there was large variation in the proportion of nests containing debris among species and colonies. For several species, the prevalence of debris in nests was significantly related to the mean Human Footprint Index (HFI), a proxy for human impact on the environment, within 100 km of the colony. Collecting opportunistic data on nest incorporation of debris by seabirds provides a cost-effective method of detecting changes in the prevalence of debris in the marine environment across a large geographic scale.</t>
  </si>
  <si>
    <t>[O'Hanlon, Nina J.; Bond, Alexander L.; Masden, Elizabeth A.; James, Neil A.] Univ Highlands &amp; Isl, North Highland Coll UHI, Environm Res Inst, Castle St, Thurso KW14 7JD, Caithness, Scotland; [O'Hanlon, Nina J.] Stirling Univ, BTO Scotland, Innovat Pk, Stirling, Scotland; [Bond, Alexander L.] Nat Hist Museum, Bird Grp, Dept Life Sci, Akeman St, Tring HP23 6AP, Herts, England; [Lavers, Jennifer L.] Univ Tasmania, Inst Marine &amp; Antarctic Studies, Battery Point, Tas 7004, Australia</t>
  </si>
  <si>
    <t>UHI Millennium Institute; University of Stirling; Natural History Museum London; University of Tasmania</t>
  </si>
  <si>
    <t>O'Hanlon, NJ (corresponding author), Univ Highlands &amp; Isl, North Highland Coll UHI, Environm Res Inst, Castle St, Thurso KW14 7JD, Caithness, Scotland.</t>
  </si>
  <si>
    <t>nina.ohanlon@uhi.ac.uk</t>
  </si>
  <si>
    <t>Bond, Alexander L/A-3786-2010; O'Hanlon, Nina J/N-9810-2014; Lavers, Jennifer/O-4831-2017; Masden, Elizabeth A/F-2858-2010; Lavers, Jennifer/IWM-5417-2023</t>
  </si>
  <si>
    <t>Lavers, Jennifer/0000-0001-7596-6588; James, Neil/0000-0003-3369-3387; Masden, Elizabeth/0000-0002-1995-3712</t>
  </si>
  <si>
    <t>ERDF Interreg VB Northern Periphery and Arctic (NPA) Programme through the Blue Circular Economy project</t>
  </si>
  <si>
    <t>This work was funded by the ERDF Interreg VB Northern Periphery and Arctic (NPA) Programme through the Blue Circular Economy project. Thanks to everyone who submitted data on nest incorporation of debris, without which this manuscript would have not been possible. Thanks also to the two anonymous reviewers for their constructive comments, which improved this manuscript.</t>
  </si>
  <si>
    <t>0025-326X</t>
  </si>
  <si>
    <t>1879-3363</t>
  </si>
  <si>
    <t>MAR POLLUT BULL</t>
  </si>
  <si>
    <t>Mar. Pollut. Bull.</t>
  </si>
  <si>
    <t>10.1016/j.marpolbul.2021.112706</t>
  </si>
  <si>
    <t>UY7NO</t>
  </si>
  <si>
    <t>WOS:000701706200002</t>
  </si>
  <si>
    <t>Agnelli, A; Corti, G; Massaccesi, L; Ventura, S; D'Acqui, LP</t>
  </si>
  <si>
    <t>Agnelli, Alberto; Corti, Giuseppe; Massaccesi, Luisa; Ventura, Stefano; D'Acqui, Luigi P.</t>
  </si>
  <si>
    <t>Impact of biological crusts on soil formation in polar ecosystems</t>
  </si>
  <si>
    <t>GEODERMA</t>
  </si>
  <si>
    <t>Gelisols; Biocrusts; Soil organic C; Weathering; Radiocarbon; Infrared photoacoustic spectrometry (FTIR-PAS)</t>
  </si>
  <si>
    <t>NORTHERN VICTORIA LAND; TERRA-NOVA BAY; ORGANIC-MATTER; CYANOBACTERIAL EXOPOLYSACCHARIDES; MICROBIOTIC CRUSTS; MIDTRE LOVENBREEN; MASS-BALANCE; GLACIER; DESERT; CARBON</t>
  </si>
  <si>
    <t>We tested the impact of biological soil crusts (BSC) at different degrees of development on soil formation in Polar ecosystems, specifically in two Arctic sites, Svalbard Island (Norway) and Tarfala (Sweden), and in an Antarctic site, Apostrophe Island (Victoria Land). In each site, slightly developed BSC (thin and made by green algae and cyanobacteria associations - SD-BSC) highly developed BSC (thick and dominated by green algae and cyano-bacteria associations with/without mosses and/or lichens - HD-BSC), and moderately developed BSC (MD-BSC) with intermediate characteristics between the slightly and the highly developed, were sampled together with the AC and A horizons immediately under the crust. After separating the organic residue of the biocrust from the mineral phase by density fractionation, in the heavy fractions obtained from HD-BSC, MD-BSC and SD-BSC we determined the amount of soil organic carbon and its radiocarbon natural abundance, total nitrogen content, mineralogical assemblage by x-ray diffraction, and quality of soil organic matter (SOM) by infrared photoacoustic spectroscopy (FTIR-PAS). We found that when BSC were able to develop on stable ice-free surfaces, they modified the soil by supplying new organic substances. These new substances, in addition to diluting the old C inherited from the substrate and darkening the upper mineral horizon, promoted acidification, which is responsible for mineral weathering and neogenesis of clay minerals. With their development, BSC act as ecosystem engineers and promote soil formation in Polar ecosystems by increasing soil stability, organic matter content and nutrient availability, which indirectly improve aggregation, water holding capacity, and soil heating.</t>
  </si>
  <si>
    <t>[Agnelli, Alberto] Univ Perugia, Dept Agr Food &amp; Environm Sci, Borgo XX Giugno,74, I-06121 Perugia, Italy; [Corti, Giuseppe] Polytech Univ Marche, Dept Agr Food &amp; Environm Sci, Ancona, Italy; [Agnelli, Alberto; Massaccesi, Luisa] Ist Zooprofilatt Sperimentale Umbria &amp; Marche, Res &amp; Dev Dept, Perugia, Italy; [Ventura, Stefano; D'Acqui, Luigi P.] Natl Res Council CNR, Res Inst Terr Ecosyst IRET, Florence, Italy; [Ventura, Stefano] Embassy Italy Israel, Tel Aviv, Israel</t>
  </si>
  <si>
    <t>University of Perugia; Marche Polytechnic University; IZS Umbria e Marche; Consiglio Nazionale delle Ricerche (CNR); Istituto di Ricerca sugli Ecosistemi Terrestri (IRET)</t>
  </si>
  <si>
    <t>Agnelli, A (corresponding author), Univ Perugia, Dept Agr Food &amp; Environm Sci, Borgo XX Giugno,74, I-06121 Perugia, Italy.</t>
  </si>
  <si>
    <t>alberto.agnelli@unipg.it</t>
  </si>
  <si>
    <t>Ventura, Stefano/A-4014-2009</t>
  </si>
  <si>
    <t>Ventura, Stefano/0000-0002-8134-3675; Agnelli, Alberto/0000-0002-2236-9103; Massaccesi, Luisa/0000-0002-5498-8291</t>
  </si>
  <si>
    <t>Programma Nazionale di Ricerche in Antartide [2013/AZ1.19]; EU Interact FP7 TA-MICROTEA3</t>
  </si>
  <si>
    <t>Programma Nazionale di Ricerche in Antartide(Ministry of Education, Universities and Research (MIUR)); EU Interact FP7 TA-MICROTEA3</t>
  </si>
  <si>
    <t>This study was supported by Programma Nazionale di Ricerche in Antartide (PNRA PdR 2013/AZ1.19 WHYCRUST) and EU Interact FP7 TA-MICROTEA3. The authors thank DSSTTA-CNR for the hospitality at the Dirigibile Italia research station, Ny-Alesund (Svalbard Islands, Norway), and Paula Reimer for her help in AMS radiocarbon dating.</t>
  </si>
  <si>
    <t>0016-7061</t>
  </si>
  <si>
    <t>1872-6259</t>
  </si>
  <si>
    <t>Geoderma</t>
  </si>
  <si>
    <t>10.1016/j.geoderma.2021.115340</t>
  </si>
  <si>
    <t>Soil Science</t>
  </si>
  <si>
    <t>Agriculture</t>
  </si>
  <si>
    <t>UF4VJ</t>
  </si>
  <si>
    <t>WOS:000688573200013</t>
  </si>
  <si>
    <t>Correa, E; Helenes, J; Pardo-Trujillo, A</t>
  </si>
  <si>
    <t>Correa, Enrique; Helenes, Javier; Pardo-Trujillo, Andres</t>
  </si>
  <si>
    <t>Middle Miocene dinoflagellate cyst assemblages and changes in marine productivity in western Colombia</t>
  </si>
  <si>
    <t>MARINE MICROPALEONTOLOGY</t>
  </si>
  <si>
    <t>Autotrophic dinoflagellates; Heterotrophic dinoflagellates; Neogene; Eastern Equatorial Pacific; Biostratigraphy; Paleoceanography</t>
  </si>
  <si>
    <t>EASTERN EQUATORIAL PACIFIC; GLOBAL SEA-LEVEL; CALCAREOUS NANNOFOSSILS; BENTHIC FORAMINIFERA; SURFACE SEDIMENTS; TROPICAL PACIFIC; SOUTH-AMERICA; EL-NINO; STRATIGRAPHY; OLIGOCENE</t>
  </si>
  <si>
    <t>Changes in dinoflagellate assemblages indicate regional paleoceanographic events affecting western Colombia. Integration of palynomorph, planktonic foraminifera, and calcareous nannoplankton data from a 616 m thick outcrop section in the Ladrilleros-Juan Chaco region allows the construction of a detailed and reliable chronological framework and identification of marine high-productivity intervals. Results indicate marine deposition from middle (similar to 15 Ma) to late (similar to 10 Ma) Miocene. Dinoflagellate cyst assemblages are consistent with known regional assemblages and include more warm water taxa than cold ones. Correlation of the palynomorphs with the other microfossils studied allows calibration of the biostratigraphic ranges of seven species of dinoflagellate cysts commonly reported from tropical zones. The ratio between autotrophic and heterotrophic dinoflagellate cysts indicates an overall increase of paleopmductivity at similar to 13.8 Ma. Gonyaulacoid taxa dominate the lower interval (15-13.8 Ma), while peridinioid taxa dominate the upper segment (similar to 13.8-10.5 Ma). This change coincides with the global cooling related to the growth of the Antarctic ice sheet (similar to 14 Ma) and presumably increased the recurrence of events like La Nina in the equatorial Pacific. These conditions increased the primary productivity in the Pacific coastal region of northwestern Colombia, and four high-productivity intervals are tentatively correlated to the Mi3a, Mi-3b, Mi-4, and Mi-5 isotope events.</t>
  </si>
  <si>
    <t>[Correa, Enrique; Helenes, Javier] Ctr Estudios Cient &amp; Educ Super Ensenada, Geol Dept, Km 107 Carretera Tijuana, Ensenada, Baja California, Mexico; [Pardo-Trujillo, Andres] Univ Caldas, Inst Invest Estratig IIES, Dept Ciencias Geol, Calle 65 26-10, Manizales, Colombia</t>
  </si>
  <si>
    <t>Universidad de Caldas</t>
  </si>
  <si>
    <t>Helenes, J (corresponding author), Ctr Estudios Cient &amp; Educ Super Ensenada, Geol Dept, Km 107 Carretera Tijuana, Ensenada, Baja California, Mexico.</t>
  </si>
  <si>
    <t>jhelenes@cicese.mx</t>
  </si>
  <si>
    <t>Correa, Luis/0000-0003-4621-5309</t>
  </si>
  <si>
    <t>CONACYT [300320]; CICESE [644124]</t>
  </si>
  <si>
    <t>CONACYT(Consejo Nacional de Ciencia y Tecnologia (CONACyT)); CICESE</t>
  </si>
  <si>
    <t>Thanks to CONACYT for financial support to the first author through scholarship number 300320 and CICESE for grant 644124 to the second author. Thank you to our laboratory team for their valuable comments and help. We also thank the Instituto de Investigaciones en Estratigrafia (IIES-Universidad de Caldas, Colombia) and the Agencia Nacional de Hidrocarburos (ANH-Colombia), for making available samples and data for the analyses, and for the permission to publish these results. We are grateful to anonymous Reviewer #1 for the thorough reviews, helpful comments, and constructive criticism.</t>
  </si>
  <si>
    <t>0377-8398</t>
  </si>
  <si>
    <t>1872-6186</t>
  </si>
  <si>
    <t>MAR MICROPALEONTOL</t>
  </si>
  <si>
    <t>Mar. Micropaleontol.</t>
  </si>
  <si>
    <t>10.1016/j.marmicro.2021.102024</t>
  </si>
  <si>
    <t>Paleontology</t>
  </si>
  <si>
    <t>UE1DY</t>
  </si>
  <si>
    <t>WOS:000687638100003</t>
  </si>
  <si>
    <t>Schwob, G; Segovia, NI; González-Wevar, C; Cabrol, L; Orlando, J; Poulin, E</t>
  </si>
  <si>
    <t>Schwob, Guillaume; Segovia, Nicolas, I; Gonzalez-Wevar, Claudio; Cabrol, Lea; Orlando, Julieta; Poulin, Elie</t>
  </si>
  <si>
    <t>Exploring the Microdiversity Within Marine Bacterial Taxa: Toward an Integrated Biogeography in the Southern Ocean</t>
  </si>
  <si>
    <t>FRONTIERS IN MICROBIOLOGY</t>
  </si>
  <si>
    <t>Antarctic Polar Front; Antarctic Circumpolar Current; Spirochaeta; phylogeography; Minimum Entropy Decomposition; Microbial Conveyor Belt; microdiversity; Southern Ocean</t>
  </si>
  <si>
    <t>LONG-DISTANCE DISPERSAL; GENETIC DIFFERENTIATION; GEOGRAPHIC-DISTRIBUTION; MICROBIAL BIOGEOGRAPHY; MAXIMUM-LIKELIHOOD; ASSEMBLY PROCESSES; R PACKAGE; DIVERSITY; POPULATION; PATTERNS</t>
  </si>
  <si>
    <t>Most of the microbial biogeographic patterns in the oceans have been depicted at the whole community level, leaving out finer taxonomic resolution (i.e., microdiversity) that is crucial to conduct intra-population phylogeographic study, as commonly done for macroorganisms. Here, we present a new approach to unravel the bacterial phylogeographic patterns combining community-wide survey by 16S rRNA gene metabarcoding and intra-species resolution through the oligotyping method, allowing robust estimations of genetic and phylogeographic indices, and migration parameters. As a proof-of-concept, we focused on the bacterial genus Spirochaeta across three distant biogeographic provinces of the Southern Ocean; maritime Antarctica, sub-Antarctic Islands, and Patagonia. Each targeted Spirochaeta operational taxonomic units were characterized by a substantial intrapopulation microdiversity, and significant genetic differentiation and phylogeographic structure among the three provinces. Gene flow estimations among Spirochaeta populations support the role of the Antarctic Polar Front as a biogeographic barrier to bacterial dispersal between Antarctic and sub-Antarctic provinces. Conversely, the Antarctic Circumpolar Current appears as the main driver of gene flow, connecting sub-Antarctic Islands with Patagonia and maritime Antarctica. Additionally, historical processes (drift and dispersal limitation) govern up to 86% of the spatial turnover among Spirochaeta populations. Overall, our approach bridges the gap between microbial and macrobial ecology by revealing strong congruency with macroorganisms distribution patterns at the populational level, shaped by the same oceanographic structures and ecological processes.</t>
  </si>
  <si>
    <t>[Schwob, Guillaume; Orlando, Julieta; Poulin, Elie] Univ Chile, Fac Ciencias, Dept Ciencias Ecol, Santiago, Chile; [Schwob, Guillaume; Segovia, Nicolas, I; Gonzalez-Wevar, Claudio; Cabrol, Lea; Poulin, Elie] Inst Ecol &amp; Biodiversidad, Santiago, Chile; [Segovia, Nicolas, I] Univ Catolica Norte, Coquimbo, Chile; [Gonzalez-Wevar, Claudio] Univ Austral Chile, Fac Ciencias, Ctr Fondap IDEAL, Inst Ciencias Marinas &amp; Limnol, Valdivia, Chile; [Cabrol, Lea] Aix Marseille Univ, Univ Toulon, Mediterranean Inst Oceanog MIO, CNRS,IRD, Marseille, France</t>
  </si>
  <si>
    <t>Universidad de Chile; Universidad Catolica del Norte; Universidad Austral de Chile; Centre National de la Recherche Scientifique (CNRS); Institut de Recherche pour le Developpement (IRD); Aix-Marseille Universite</t>
  </si>
  <si>
    <t>Schwob, G (corresponding author), Univ Chile, Fac Ciencias, Dept Ciencias Ecol, Santiago, Chile.;Schwob, G (corresponding author), Inst Ecol &amp; Biodiversidad, Santiago, Chile.</t>
  </si>
  <si>
    <t>guillaume.schwob@uchile.cl</t>
  </si>
  <si>
    <t>Orlando, Julieta/E-1399-2014; Schwob, Guillaume/JQX-0989-2023; Cabrol, Lea/L-2438-2016; Poulin, Elie/C-2654-2012</t>
  </si>
  <si>
    <t>Orlando, Julieta/0000-0002-2902-8870; Schwob, Guillaume/0000-0003-0996-4060; Cabrol, Lea/0000-0003-0417-2021; Poulin, Elie/0000-0001-7736-0969</t>
  </si>
  <si>
    <t>ANID/CONICYT PIA ACT [172065]; ANID/CONICYT FONDECYT [3200036, 3190482]; regular project ANID/CONICYT FONDECYT [1211672]; French Polar Institute-IPEV [1044]</t>
  </si>
  <si>
    <t>ANID/CONICYT PIA ACT; ANID/CONICYT FONDECYT; regular project ANID/CONICYT FONDECYT; French Polar Institute-IPEV</t>
  </si>
  <si>
    <t>This work was financially financed by the project ANID/CONICYT PIA ACT 172065. Additionally, this research was supported by the post-doctoral projects ANID/CONICYT FONDECYT 3200036 (GS) and 3190482 (NS), and the regular project ANID/CONICYT FONDECYT 1211672 (LC). Field access facilities to Kerguelen Islands were supported by the French Polar Institute-IPEV (program No. 1044 PROTEKER).</t>
  </si>
  <si>
    <t>1664-302X</t>
  </si>
  <si>
    <t>FRONT MICROBIOL</t>
  </si>
  <si>
    <t>Front. Microbiol.</t>
  </si>
  <si>
    <t>JUL 14</t>
  </si>
  <si>
    <t>10.3389/fmicb.2021.703792</t>
  </si>
  <si>
    <t>TS7DL</t>
  </si>
  <si>
    <t>WOS:000679805800001</t>
  </si>
  <si>
    <t>Kochhann, MVL; Savian, JF; Tori, F; Catanzariti, R; Coccioni, R; Frontalini, F; Jovane, L; Florindo, F; Monechi, S</t>
  </si>
  <si>
    <t>Kochhann, Marcus V. L.; Savian, Jairo F.; Tori, Flavia; Catanzariti, Rita; Coccioni, Rodolfo; Frontalini, Fabrizio; Jovane, Luigi; Florindo, Fabio; Monechi, Simonetta</t>
  </si>
  <si>
    <t>Orbital tuning for the middle Eocene to early Oligocene Monte Cagnero Section (Central Italy): Paleoenvironmental and paleoclimatic implications</t>
  </si>
  <si>
    <t>Neo-Tethys Ocean; Astrochronology; Trophic conditions; Eocene-Oligocene boundary; MECO event</t>
  </si>
  <si>
    <t>UMBRIA-MARCHE BASIN; CALCAREOUS NANNOFOSSIL BIOSTRATIGRAPHY; GLOBAL STRATOTYPE SECTION; CONTESSA HIGHWAY SECTION; ASTRONOMICAL CALIBRATION; KERGUELEN PLATEAU; INTEGRATED STRATIGRAPHY; ANTARCTIC GLACIATION; ALANO SECTION; POINT GSSP</t>
  </si>
  <si>
    <t>During the middle Eocene to early Oligocene Earth transitioned from a greenhouse to an icehouse climate state. The interval comprises the Middle Eocene Climatic Optimum (MECO; similar to 40 Ma) and a subsequent long-term cooling trend that culminated in the Eocene-Oligocene transition (EOT; similar to 34 Ma) with the Oi-1 glaciation. Here, we present a refined calcareous nannofossil biostratigraphy and an orbitally tuned age model for the Monte Cagnero (MCA) section spanning the middle Eocene to the early Oligocene (similar to 41 to similar to 33 Ma). Spectral analysis of magnetic susceptibility (MS) data displays strong cyclicities in the orbital frequency band allowing us to tune the identified 405 kyr eccentricity minima in the MS record to their equivalents in the astronomical solution. Our orbitally tuned age model allows us to estimate the position and duration of polarity chrons (C18 to C13) and compare them with other standard and orbitally tuned ages. We were also able to constrain the timing and duration of the MECO event, which coincides with a minimum in the 2.4 Myr and 405 kyr eccentricity cycles. Our study corroborates the previous estimated age for the base of the Rupelian stage (33.9 Ma) and estimates the base of the Priabonian stage in the MCA section to be at 37.4 Ma. Finally, calcareous nannofossils with known paleoenvironmental preferences suggest a gradual shift from oligotrophic to meso-eutrophic conditions with an abrupt change at similar to 36.8 Ma. Besides, nannofossil assemblages suggest that enhanced nutrient availability preceded water cooling at the late Eocene. Altogether, this evidence points to a poorly developed water column stratification prior to the cooling trend.</t>
  </si>
  <si>
    <t>[Kochhann, Marcus V. L.] Univ Fed Rio Grande do Sul, Programa Posgrad Geociencias, Av Bento Goncalves 9500, BR-91501970 Porto Alegre, RS, Brazil; [Savian, Jairo F.] Univ Fed Rio Grande do Sul, Inst Geociencias, Dept Geol, Av Bento Goncalves 9500, BR-91501970 Porto Alegre, RS, Brazil; [Tori, Flavia; Monechi, Simonetta] Univ Firenze, Dipartimento Sci Terra, Via Pira 4, I-50121 Florence, Italy; [Catanzariti, Rita] Consiglio Nazl Ric CNR, Ist Geosci &amp; Georisorse, I-56124 Pisa, Italy; [Coccioni, Rodolfo] Univ Urbino Carlo Bo, Campus Sci, I-61029 Urbino, Italy; [Frontalini, Fabrizio] Univ Urbino Carlo Bo, Dipartimento Sci Pure &amp; Applicate, Campus Sci, I-61029 Urbino, Italy; [Jovane, Luigi] Univ Sao Paulo, Inst Oceanog, Dept Oceanog Fis Quim &amp; Geol, Praca Oceanog 191, BR-05508120 Sao Paulo, Brazil; [Florindo, Fabio] Ist Nazl Geofis &amp; Vulcanol, Via Vigna Murata 605, I-00143 Rome, Italy; [Monechi, Simonetta] Inst Climate Change Solut, I-61040 Frontone, Italy</t>
  </si>
  <si>
    <t>Universidade Federal do Rio Grande do Sul; Universidade Federal do Rio Grande do Sul; University of Florence; Consiglio Nazionale delle Ricerche (CNR); Istituto di Geoscienze e Georisorse (IGG-CNR); University of Urbino; University of Urbino; Universidade de Sao Paulo; Istituto Nazionale Geofisica e Vulcanologia (INGV)</t>
  </si>
  <si>
    <t>Kochhann, MVL (corresponding author), Univ Fed Rio Grande do Sul, Programa Posgrad Geociencias, Av Bento Goncalves 9500, BR-91501970 Porto Alegre, RS, Brazil.</t>
  </si>
  <si>
    <t>marcuskochhann@gmail.com</t>
  </si>
  <si>
    <t>Kochhann, Marcus V. L./ABA-7467-2020; Savian, Jairo Francisco/J-4782-2015; Jovane, Luigi/AAH-5438-2020; Florindo, Fabio/F-4119-2010; Frontalini, Fabrizio/C-4819-2008</t>
  </si>
  <si>
    <t>Kochhann, Marcus V. L./0000-0001-7078-8786; Jovane, Luigi/0000-0003-4348-4714; Florindo, Fabio/0000-0002-6058-9748; COCCIONI, Rodolfo/0000-0003-2333-4030</t>
  </si>
  <si>
    <t>Conselho Nacional de Desenvolvimento Cientifico e Tecnologico (CNPq) [132076/2019-5]; CNPq [201508/2009-5]; Fundacao de Amparo a Pesquisa do Estado do Rio Grande do Sul (FAPERGS) [16/2551-0000213-4]; MIUR-PRIN [2007W9B2WE]; University of Florence; Fundacao de Amparo a Pesquisa do Estado de Sao Paulo (FAPESP) [16/24946-9]; Fundacao de Amparo a Pesquisa do Estado de Sao Paulo (FAPESP) [16/24946-9] Funding Source: FAPESP</t>
  </si>
  <si>
    <t>Conselho Nacional de Desenvolvimento Cientifico e Tecnologico (CNPq)(Conselho Nacional de Desenvolvimento Cientifico e Tecnologico (CNPQ)); CNPq(Conselho Nacional de Desenvolvimento Cientifico e Tecnologico (CNPQ)); Fundacao de Amparo a Pesquisa do Estado do Rio Grande do Sul (FAPERGS)(Fundacao de Amparo a Ciencia e Tecnologia do Estado do Rio Grande do Sul (FAPERGS)); MIUR-PRIN(Ministry of Education, Universities and Research (MIUR)Research Projects of National Relevance (PRIN)); University of Florence; Fundacao de Amparo a Pesquisa do Estado de Sao Paulo (FAPESP)(Fundacao de Amparo a Pesquisa do Estado de Sao Paulo (FAPESP)); Fundacao de Amparo a Pesquisa do Estado de Sao Paulo (FAPESP)(Fundacao de Amparo a Pesquisa do Estado de Sao Paulo (FAPESP))</t>
  </si>
  <si>
    <t>We thank the Paleomagnetic Laboratory of National Oceanography Centre Southampton (NOCS) for the use of equipment facilities. MK is supported by the Conselho Nacional de Desenvolvimento Cientifico e Tecnol ' ogico (CNPq -grant number 132076/2019-5). JFS is also supported by the CNPq (grant number 201508/2009-5) and Fundac ~ao de Amparo `a Pesquisa do Estado do Rio Grande do Sul (FAPERGS -grant number 16/2551-0000213-4). SM and FT are supported by MIUR-PRIN (grant number 2007W9B2WE) and the University of Florence. LJ is supported by Fundac ~ao de Amparo `a Pesquisa do Estado de S ~ao Paulo (FAPESP -process 16/24946-9). We are very grateful to Editor Alex Dickson, Slah Boulila, and an anonymous reviewer for their detailed and constructive comments that considerably helped us to improve the manuscript.</t>
  </si>
  <si>
    <t>10.1016/j.palaeo.2021.110563</t>
  </si>
  <si>
    <t>TQ6IY</t>
  </si>
  <si>
    <t>WOS:000678383100031</t>
  </si>
  <si>
    <t>Constaratas, AN; McDonald, MA; Goetz, KT; Giorli, G</t>
  </si>
  <si>
    <t>Constaratas, Alexandra N.; McDonald, Mark A.; Goetz, Kimberly T.; Giorli, Giacomo</t>
  </si>
  <si>
    <t>Fin whale acoustic populations present in New Zealand waters: Description of song types, occurrence and seasonality using passive acoustic monitoring</t>
  </si>
  <si>
    <t>PLOS ONE</t>
  </si>
  <si>
    <t>BALAENOPTERA-PHYSALUS; BLUE; MIGRATION</t>
  </si>
  <si>
    <t>Southern fin whales (Balaenoptera physalus) are known to migrate from the Antarctic to mid-latitudes during winter for breeding, but the occurrence and distribution of this species is not well known in the waters around New Zealand. The 'doublet' calls are one of the main calls emitted specifically by fin whales and repeated in a regular pattern, which make the acoustic detection of these calls relevant to detect the presence of fin whales. Using a signal processing algorithm to detect 'doublet' calls emitted by fin whales, we studied the occurrence, characteristics and seasonality of these 'doublet' calls in two regions around New Zealand; Cook Strait in 2016/2017 and offshore Gisborne in 2014/2015. The call detection procedure consisted of binarization of the spectrogram and a cross-correlation between the binarized spectrogram and a template of binarized 'doublet' calls spectrogram. A binarization threshold for the data spectrograms and a cross correlation threshold were then determined through multiple trials on a training dataset and a Receiver Operating Characteristics (ROC) curve. Fin whale 'doublet' calls occurred on the east side of New Zealand's Cook Strait during austral winter, specifically in June 2017 and offshore Gisborne in June-August 2014. No 'doublet' calls were detected on the west side of Cook Strait. The 'doublet' calls' Inter-Note Interval (INI) was similar in both datasets. However, there was a difference in alternation of the mean frequency for both HF components of 'doublet' calls in Cook Strait and Gisborne. As the song types were compared with those previously described in the literature, our findings suggest that some fin whales wintering in New Zealand waters may be part of a broader 'acoustic population' whose range extends west to southern Australia and south to Antarctica.</t>
  </si>
  <si>
    <t>[Constaratas, Alexandra N.; Goetz, Kimberly T.; Giorli, Giacomo] Natl Inst Water &amp; Atmospher Res, Wellington, New Zealand; [McDonald, Mark A.] Whale Acoust, Bellvue, CO USA; [Goetz, Kimberly T.] NOAA, Marine Mammal Lab, Alaska Fisheries Sci Ctr, Natl Marine Fisheries Serv, Seattle, WA USA</t>
  </si>
  <si>
    <t>National Institute of Water &amp; Atmospheric Research (NIWA) - New Zealand; National Oceanic Atmospheric Admin (NOAA) - USA</t>
  </si>
  <si>
    <t>Constaratas, AN (corresponding author), Natl Inst Water &amp; Atmospher Res, Wellington, New Zealand.</t>
  </si>
  <si>
    <t>alexandra.constaratas@gmail.com</t>
  </si>
  <si>
    <t>Goetz, Kimberly/AID-8232-2022</t>
  </si>
  <si>
    <t>Constaratas, Alexandra/0000-0002-5642-1766</t>
  </si>
  <si>
    <t>OMV New Zealand Ltd; Chevron New Zealand Holdings LLC; Marlborough District Council; NIWA</t>
  </si>
  <si>
    <t>This work was financially supported by OMV New Zealand Ltd, Chevron New Zealand Holdings LLC, and Marlborough District Council. Giacomo Giorli and Kimberly T. Goetz received cofunding by NIWA Coasts and Oceans Programme 4. 'Whale acoustics inc' provided support in the form of salaries for author Mark A. McDonald, but did not have any additional role in the study design, data collection and analysis, decision to publish, or preparation of the manuscript. The specific role of this author is articulated in the `author contributions' section.</t>
  </si>
  <si>
    <t>PUBLIC LIBRARY SCIENCE</t>
  </si>
  <si>
    <t>SAN FRANCISCO</t>
  </si>
  <si>
    <t>1160 BATTERY STREET, STE 100, SAN FRANCISCO, CA 94111 USA</t>
  </si>
  <si>
    <t>1932-6203</t>
  </si>
  <si>
    <t>PLoS One</t>
  </si>
  <si>
    <t>e0253737</t>
  </si>
  <si>
    <t>10.1371/journal.pone.0253737</t>
  </si>
  <si>
    <t>TQ2MK</t>
  </si>
  <si>
    <t>WOS:000678119300017</t>
  </si>
  <si>
    <t>Lu, XY; Harris, SJ; Fisher, RE; France, JL; Nisbet, EG; Lowry, D; Röckmann, T; van der Veen, C; Menoud, M; Schwietzke, S; Kelly, BFJ</t>
  </si>
  <si>
    <t>Lu, Xinyi; Harris, Stephen J.; Fisher, Rebecca E.; France, James L.; Nisbet, Euan G.; Lowry, David; Rockmann, Thomas; van der Veen, Carina; Menoud, Malika; Schwietzke, Stefan; Kelly, Bryce F. J.</t>
  </si>
  <si>
    <t>Isotopic signatures of major methane sources in the coal seam gas fields and adjacent agricultural districts, Queensland, Australia</t>
  </si>
  <si>
    <t>EASTERN SURAT BASIN; GLOBAL ATMOSPHERIC METHANE; CARBON-DIOXIDE; WALLOON SUBGROUP; FOSSIL-FUEL; EMISSIONS; CH4; DELTA(CH4)-C-13; ATTRIBUTION; QUANTIFICATION</t>
  </si>
  <si>
    <t>In regions where there are multiple sources of methane (CH4) in close proximity, it can be difficult to apportion the CH4 measured in the atmosphere to the appropriate sources. In the Surat Basin, Queensland, Australia, coal seam gas (CSG) developments are surrounded by cattle feedlots, grazing cattle, piggeries, coal mines, urban centres and natural sources of CH4. The characterization of carbon (ffi 13C) and hydrogen (ffi D) stable isotopic composition of CH4 can help distinguish between specific emitters of CH4. However, in Australia there is a paucity of data on the various isotopic signatures of the different source types. This research examines whether dual isotopic signatures of CH4 can be used to distinguish between sources of CH4 in the Surat Basin. We also highlight the benefits of sampling at nighttime. During two campaigns in 2018 and 2019, a mobile CH4 monitoring system was used to detect CH4 plumes. Sixteen plumes immediately downwind from known CH4 sources (or individual facilities) were sampled and analysed for their CH4 mole fraction and ffi 13CCH4 and ffiDCH4 signatures. The isotopic signatures of the CH4 sources were determined using the Keeling plot method. These new source signatures were then compared to values documented in reports and peer-reviewed journal articles. In the Surat Basin, CSG sources have ffi13CCH4 signatures between 55 :6 parts per thousand and 50 :9 parts per thousand and ffiDCH4 signatures between 207 :1 parts per thousand and 193 :8 parts per thousand. Emissions from an open-cut coal mine have ffi 13CCH4 and ffi DCH4 signa- tures of 60 :0 similar to 0 :6 parts per thousand and 209 :7 similar to 1 :8 parts per thousand respectively. Emissions from two ground seeps (abandoned coal exploration wells) have ffi 13CCH4 signatures of 59 :9 similar to 0 :3 parts per thousand and 60 :5 similar to 0 :2 parts per thousand and ffi DCH4 signatures of 185 :0 similar to 3 :1 parts per thousand and 190 :2 similar to 1 :4 parts per thousand. A river seep had a ffi 13CCH4 signature of 61:2 similar to 1:4 parts per thousand and a ffiDCH4 signature of 225:1 similar to 2:9 parts per thousand. Three dominant agricultural sources were analysed. The ffi13CCH4 and ffi DCH4 signatures of a cattle feedlot are 62:9 similar to 1:3 parts per thousand and 310:5 similar to 4:6 parts per thousand respectively, grazing (pasture) cattle have ffi13CCH4 and ffi DCH4 signatures of 59:7 similar to 1:0 parts per thousand and 290:5 similar to 3:1 parts per thousand respectively, and a piggery sampled had ffi 13CCH4 and ffiDCH4 signatures of 47:6 similar to 0:2 parts per thousand and 300:1 similar to 2:6% respectively, which reflects emissions from animal waste. An export abattoir (meat works and processing) had ffi13CCH4 and ffiDCH4 signatures of 44:5 similar to 0:2 parts per thousand and 314:6 similar to 1:8 parts per thousand respectively. A plume from a wastewater treatment plant had ffi 13CCH4 and ffi DCH4 signatures of 47:6 similar to 0:2 parts per thousand and 177:3 similar to 2:3 parts per thousand respectively. In the Surat Basin, source attribution is possible when both ffi13CCH4 and ffiDCH4 are measured for the key categories of CSG, cattle, waste from feedlots and piggeries, and water treatment plants. Under most field situations using ffi13CCH4 alone will not enable clear source attribution. It is common in the Surat Basin for CSG and feedlot facilities to be co-located. Measurement of both ffi13CCH4 and ffi DCH4 will assist in source apportionment where the plumes from two such sources are mixed.</t>
  </si>
  <si>
    <t>[Lu, Xinyi; Harris, Stephen J.; Kelly, Bryce F. J.] Univ New South Wales, Sch Biol Earth &amp; Environm Sci, UNSW Sydney, Sydney, NSW 2052, Australia; [Fisher, Rebecca E.; France, James L.; Nisbet, Euan G.; Lowry, David] Univ London, Dept Earth Sci, Royal Holloway, Egham TW20 0EX, Surrey, England; [France, James L.] British Antarctic Survey, Cambridge CB3 0ET, England; [Rockmann, Thomas; van der Veen, Carina; Menoud, Malika] Univ Utrecht, Fac Sci, Inst Marine &amp; Atmospher Res, NL-3584 CC Utrecht, Netherlands; [Schwietzke, Stefan] Environm Def Fund, Berlin, Germany</t>
  </si>
  <si>
    <t>University of New South Wales Sydney; University of London; Royal Holloway University London; UK Research &amp; Innovation (UKRI); Natural Environment Research Council (NERC); NERC British Antarctic Survey; Utrecht University; Environmental Defense Fund</t>
  </si>
  <si>
    <t>Kelly, BFJ (corresponding author), Univ New South Wales, Sch Biol Earth &amp; Environm Sci, UNSW Sydney, Sydney, NSW 2052, Australia.</t>
  </si>
  <si>
    <t>bryce.kelly@unsw.edu.au</t>
  </si>
  <si>
    <t>Harris, Stephen J./B-9584-2010; Lowry, David/JCE-0619-2023; Lowry, David/GXG-1235-2022; Fisher, Rebecca/AAA-5352-2022; lu, xinyi/JPX-4846-2023; France, James/L-9719-2015; Rockmann, Thomas/F-4479-2015</t>
  </si>
  <si>
    <t>LU, XINYI/0000-0003-0169-2689; France, James/0000-0002-8785-1240; Fisher, Rebecca/0000-0002-9262-5467; LOWRY, DAVID/0000-0002-8535-0346; Kelly, Bryce Frederick John/0009-0001-6350-2839; Rockmann, Thomas/0000-0002-6688-8968</t>
  </si>
  <si>
    <t>United Nations Environment Programme [DTIE18-EN067, DTIE19-EN0XX, RG181430, RG192900]; UNSW-China Scholarship Council (CSC); European Union [722479]; Robertson Foundation; NERC [NE/N016211/1, NE/P019641/1] Funding Source: UKRI</t>
  </si>
  <si>
    <t>United Nations Environment Programme; UNSW-China Scholarship Council (CSC); European Union(European Union (EU)); Robertson Foundation; NERC(UK Research &amp; Innovation (UKRI)Natural Environment Research Council (NERC))</t>
  </si>
  <si>
    <t>This research has been supported by the United Nations Environment Programme (grant nos. DTIE18-EN067 and DTIE19-EN0XX, recorded at UNSW Sydney as project nos. RG181430 and RG192900), UNSW-China Scholarship Council (CSC), the European Union's Horizon 2020 research and innovation programme (Marie Sklodowska-Curie grant no. 722479), and the Robertson Foundation.</t>
  </si>
  <si>
    <t>10.5194/acp-21-10527-2021</t>
  </si>
  <si>
    <t>TK5UZ</t>
  </si>
  <si>
    <t>gold, Green Accepted, Green Submitted</t>
  </si>
  <si>
    <t>WOS:000674224600001</t>
  </si>
  <si>
    <t>Campbell, SL; Remenyi, T; Williamson, GJ; Rollins, D; White, CJ; Johnston, FH</t>
  </si>
  <si>
    <t>Campbell, Sharon L.; Remenyi, Tomas; Williamson, Grant J.; Rollins, Dean; White, Christopher J.; Johnston, Fay H.</t>
  </si>
  <si>
    <t>Ambulance dispatches and heatwaves in Tasmania, Australia: A case-crossover analysis</t>
  </si>
  <si>
    <t>ENVIRONMENTAL RESEARCH</t>
  </si>
  <si>
    <t>Extreme heat; Heatwave; Ambulance; Emergency management; Case-crossover</t>
  </si>
  <si>
    <t>HEAT WAVES; IMPACT; MORTALITY; TRANSPORT; TEMPERATURE; BRISBANE; RISK</t>
  </si>
  <si>
    <t>Background: Climate change is causing an increase in the frequency and severity of heatwave events, with a corresponding negative impact on human health. Health service utilisation during a heatwave is increased, with a greater risk of poor health outcomes identified for specific population groups. In this study, we examined the impact of heatwave events on ambulance dispatches in Tasmania, Australia from 2008 to 2019 to explore health service utilisation and identify the most vulnerable populations at a local level. Methods: We used a timestratified case-crossover analysis with conditional logistic regression to examine the association between ambulance dispatches and three levels of heatwave events (extreme, severe, and low-intensity). We examined the relationship for the whole study population, and by age, gender, socio-economic advantage and clinical diagnostic group. Results: We found that ambulance dispatches increase by 34% (OR 1.34, 95% CI 1.18-1.52) during extreme heatwaves, by 10% (OR 1.10, 95% CI 1.05-1.15) during severe heatwaves and by 4% (OR 1.04, 95% CI 1.02-1.06) during low-intensity heatwaves. We found significant associations for the elderly (over 65), the young (5 and under) and for regions with the greatest socio-economic disadvantage. Conclusion: Heatwaves were associated with increased demands on ambulance services in Tasmania. In subgroups of people aged over 65 or under 5 years of age, and those from areas of higher disadvantage, we generally observed greater effect sizes than for the population as a whole.</t>
  </si>
  <si>
    <t>[Campbell, Sharon L.; Johnston, Fay H.] Univ Tasmania, Menzies Inst Med Res, 1 Liverpool St, Hobart, Tas 7000, Australia; [Campbell, Sharon L.; Johnston, Fay H.] Dept Hlth Tasmania, Publ Hlth Serv, 25 Argyle St, Hobart, Tas 7000, Australia; [Remenyi, Tomas; Rollins, Dean] Univ Tasmania, Sch Technol Environm &amp; Design, Climate Futures Programme, Geog Planning &amp; Spatial Sci, Sandy Bay Campus,Churchill Ave, Hobart, Tas 7001, Australia; [Williamson, Grant J.] Univ Tasmania, Sch Nat Sci, Sandy Bay Campus,Churchill Ave, Hobart, Tas 7001, Australia; [White, Christopher J.] Univ Strathclyde, Dept Civil &amp; Environm Engn, James Weir Bldg,75 Montrose St, Glasgow G1 1XJ, Lanark, Scotland</t>
  </si>
  <si>
    <t>University of Tasmania; Menzies Institute for Medical Research; University of Tasmania; University of Tasmania; University of Strathclyde</t>
  </si>
  <si>
    <t>Johnston, FH (corresponding author), Univ Tasmania, Menzies Inst Med Res, 1 Liverpool St, Hobart, Tas 7000, Australia.</t>
  </si>
  <si>
    <t>sharon.campbell@utas.edu.au; tom.remenyi@utas.edu.au; grant.williamson@utas.edu.au; dean.rollins@utas.edu.au; chris.white@strath.ac.uk; fay.johnston@utas.edu.au</t>
  </si>
  <si>
    <t>Williamson, Grant/J-7514-2014</t>
  </si>
  <si>
    <t>Williamson, Grant/0000-0002-3469-7550; Johnston, Fay Helena/0000-0002-5150-8678; Rollins, Dean/0000-0001-7692-1699; Campbell, Sharon/0000-0002-9788-5372</t>
  </si>
  <si>
    <t>Australian Postgraduate Award; Antarctic Climate and Ecosystems Cooperative Research Centre (ACE CRC)</t>
  </si>
  <si>
    <t>Australian Postgraduate Award(Australian Government); Antarctic Climate and Ecosystems Cooperative Research Centre (ACE CRC)(Australian GovernmentDepartment of Industry, Innovation and ScienceCooperative Research Centres (CRC) Programme)</t>
  </si>
  <si>
    <t>The first author is supported through the Australian Postgraduate Award and the Antarctic Climate and Ecosystems Cooperative Research Centre (ACE CRC). The funding sources had no involvement in any part of the study design, data analysis or writing of the article.</t>
  </si>
  <si>
    <t>ACADEMIC PRESS INC ELSEVIER SCIENCE</t>
  </si>
  <si>
    <t>SAN DIEGO</t>
  </si>
  <si>
    <t>525 B ST, STE 1900, SAN DIEGO, CA 92101-4495 USA</t>
  </si>
  <si>
    <t>0013-9351</t>
  </si>
  <si>
    <t>1096-0953</t>
  </si>
  <si>
    <t>ENVIRON RES</t>
  </si>
  <si>
    <t>Environ. Res.</t>
  </si>
  <si>
    <t>10.1016/j.envres.2021.111655</t>
  </si>
  <si>
    <t>Environmental Sciences; Public, Environmental &amp; Occupational Health</t>
  </si>
  <si>
    <t>Environmental Sciences &amp; Ecology; Public, Environmental &amp; Occupational Health</t>
  </si>
  <si>
    <t>WD2UK</t>
  </si>
  <si>
    <t>WOS:000704802200003</t>
  </si>
  <si>
    <t>Ametrano, A; Gerdol, M; Vitale, M; Greco, S; Oreste, U; Coscia, MR</t>
  </si>
  <si>
    <t>Ametrano, Alessia; Gerdol, Marco; Vitale, Maria; Greco, Samuele; Oreste, Umberto; Coscia, Maria Rosaria</t>
  </si>
  <si>
    <t>The evolutionary puzzle solution for the origins of the partial loss of the CΤ2 exon in notothenioid fishes</t>
  </si>
  <si>
    <t>FISH &amp; SHELLFISH IMMUNOLOGY</t>
  </si>
  <si>
    <t>Teleost fish; Notothenioidei; Genome modifications; IgT; Exonic remnant; Immunoglobulin domain; Antarctic marine environment; Molecular evolution</t>
  </si>
  <si>
    <t>IMMUNOGLOBULIN HEAVY-CHAIN; MULTIPLE SEQUENCE ALIGNMENT; B-CELLS; RAINBOW-TROUT; TELEOST SKIN; IGT; EXPRESSION; DISCOVERY; IDENTIFICATION; ELEGINOPIDAE</t>
  </si>
  <si>
    <t>Cryonotothenioidea is the main group of fishes that thrive in the extremely cold Antarctic environment, thanks to the acquisition of peculiar morphological, physiological and molecular adaptations. We have previously disclosed that IgM, the main immunoglobulin isotype in teleosts, display typical cold-adapted features. Recently, we have analyzed the gene encoding the heavy chain constant region (CH) of the IgT isotype from the Antarctic teleost Trematomus bernacchii (family Nototheniidae), characterized by the near-complete deletion of the CH2 domain. Here, we aimed to track the loss of the CH2 domain along notothenioid phylogeny and to identify its ancestral origins. To this end, we obtained the IgT gene sequences from several species belonging to the Antarctic families Nototheniidae, Bathydraconidae and Artedidraconidae. All species display a CH2 remnant of variable size, encoded by a short C tau 2 exon, which retains functional splicing sites and therefore is included in the mature transcript. We also considered representative species from the three non-Antarctic families: Eleginopsioidea (Eleginops maclovinus), Pseudaphritioidea (Pseudaphritis urvillii) and Bovichtidae (Bovichtus diacanthus and Cottoperca gobio). Even though only E. maclovinus, the sister taxa of Cryonotothenioidea, shared the partial loss of C tau 2, the other non-Antarctic notothenioid species displayed early molecular signatures of this event. These results shed light on the evolutionary path that underlies the origins of this remarkable gene structural modification.</t>
  </si>
  <si>
    <t>[Ametrano, Alessia; Vitale, Maria; Oreste, Umberto; Coscia, Maria Rosaria] Natl Res Council Italy, Inst Biochem &amp; Cell Biol, Naples, Italy; [Ametrano, Alessia] Univ Campania Luigi Vanvitelli, Dept Environm Biol &amp; Pharmaceut Sci &amp; Technol, Caserta, Italy; [Gerdol, Marco; Greco, Samuele] Univ Trieste, Dept Life Sci, Trieste, Italy; [Vitale, Maria] Univ Naples Federico II, Dept Mol Med &amp; Med Biotechnol, Naples, Italy</t>
  </si>
  <si>
    <t>Consiglio Nazionale delle Ricerche (CNR); Universita della Campania Vanvitelli; University of Trieste; University of Naples Federico II</t>
  </si>
  <si>
    <t>Coscia, MR (corresponding author), Natl Res Council Italy, Inst Biochem &amp; Cell Biol, Naples, Italy.</t>
  </si>
  <si>
    <t>mariarosaria.coscia@ibbc.cnr.it</t>
  </si>
  <si>
    <t>Vitale, Maria/HJZ-2156-2023; Coscia, Maria Rosaria/AAU-1808-2021; Gerdol, Marco/D-2115-2013</t>
  </si>
  <si>
    <t>Vitale, Maria/0000-0002-4399-3132; Gerdol, Marco/0000-0001-6411-0813; Coscia, Maria Rosaria/0000-0002-8273-7123; Greco, Samuele/0000-0003-3435-2656</t>
  </si>
  <si>
    <t>Italian National Program for Research in Antarctica [PNRA 16_00099-A1]</t>
  </si>
  <si>
    <t>Italian National Program for Research in Antarctica(Ministry of Education, Universities and Research (MIUR))</t>
  </si>
  <si>
    <t>This research was funded by the Italian National Program for Research in Antarctica [grant number PNRA 16_00099-A1 Project].</t>
  </si>
  <si>
    <t>ACADEMIC PRESS LTD- ELSEVIER SCIENCE LTD</t>
  </si>
  <si>
    <t>24-28 OVAL RD, LONDON NW1 7DX, ENGLAND</t>
  </si>
  <si>
    <t>1050-4648</t>
  </si>
  <si>
    <t>1095-9947</t>
  </si>
  <si>
    <t>FISH SHELLFISH IMMUN</t>
  </si>
  <si>
    <t>Fish Shellfish Immunol.</t>
  </si>
  <si>
    <t>10.1016/j.fsi.2021.05.015</t>
  </si>
  <si>
    <t>Fisheries; Immunology; Marine &amp; Freshwater Biology; Veterinary Sciences</t>
  </si>
  <si>
    <t>TX3BF</t>
  </si>
  <si>
    <t>WOS:000682963400001</t>
  </si>
  <si>
    <t>Dalaiden, Q; Goosse, H; Rezsöhazy, J; Thomas, ER</t>
  </si>
  <si>
    <t>Dalaiden, Quentin; Goosse, Hugues; Rezsohazy, Jeanne; Thomas, Elizabeth R.</t>
  </si>
  <si>
    <t>Reconstructing atmospheric circulation and sea-ice extent in the West Antarctic over the past 200 years using data assimilation</t>
  </si>
  <si>
    <t>Climate reconstruction; Antarctic; Ice cores; Climate models; Data assimilation</t>
  </si>
  <si>
    <t>SURFACE MASS-BALANCE; CLIMATE VARIABILITY; SNOW ACCUMULATION; SHEET SURFACE; MODEL; TEMPERATURE; TRENDS; PRECIPITATION; REPRESENTATION; REANALYSIS</t>
  </si>
  <si>
    <t>The West Antarctic climate has witnessed large changes during the second half of the twentieth century including a strong and widespread continental warming, important regional changes in sea-ice extent and snow accumulation, as well as a major mass loss from the melting of some ice shelves. However, the potential links between those observed changes are still unclear and instrumental data do not allow determination of whether they are part of a long-term evolution or specific to the recent decades. In this study, we analyze the climate variability of the past two centuries in the West Antarctic sector by reconstructing the key atmospheric variables (atmospheric circulation, near-surface air temperature and snow accumulation) as well as the sea-ice extent at the annual timescale using a data assimilation approach. To this end, information from Antarctic ice core records (snow accumulation and delta O-18) and tree-ring width records situated in the mid-latitudes of the Southern Hemisphere are combined with the physics of climate models using a data assimilation method. This ultimately provides a complete spatial reconstruction over the West Antarctic region. Our reconstruction reproduces well the main characteristics of the observed changes over the instrumental period. We show that the observed sea-ice reduction in the Bellingshausen-Amundsen Sea sector over the satellite era is part of a long-term trend, starting at around 1850 CE, while the sea-ice expansion in the Ross Sea sector has only started around 1950 CE. Furthermore, according to our reconstruction, the Amundsen Sea Low pressure (ASL) displays no significant linear trend in its strength or position over 1850-1950 CE but becomes stronger and shifts eastward afterwards. The year-to-year sea-ice variations in the Ross Sea sector are strongly related to the ASL variability over the past two centuries, including the recent trends. By contrast, the link between ASL and sea-ice in the Bellingshausen-Amundsen Sea sector changes with time, being stronger in recent decades than before. Our reconstruction also suggests that the continental response to the variability of the ASL may not be stationary over time, being significantly affected by modification of the mean atmospheric circulation. Finally, we show that the widespread warming since 1958 CE in West Antarctica is unusual in the context of past 200 years and is explained by both the deeper ASL and the positive phase of the Southern Annular Mode.</t>
  </si>
  <si>
    <t>[Dalaiden, Quentin; Goosse, Hugues; Rezsohazy, Jeanne] Univ Catholique Louvain UCLouvain, Georges Lemaitre Ctr Earth &amp; Climate Res TECLIM, Earth &amp; Life Inst ELI, Pl Louis Pasteur, B-1348 Louvain La Neuve, Belgium; [Rezsohazy, Jeanne] Aix Marseille Univ, CNRS, IRD, INRA,Coll France,CEREGE, Aix En Provence, France; [Thomas, Elizabeth R.] British Antarctic Survey, Madingley Rd, Cambridge CB3 0ET, England</t>
  </si>
  <si>
    <t>Universite PSL; College de France; INRAE; Aix-Marseille Universite; Centre National de la Recherche Scientifique (CNRS); Institut de Recherche pour le Developpement (IRD); UK Research &amp; Innovation (UKRI); Natural Environment Research Council (NERC); NERC British Antarctic Survey</t>
  </si>
  <si>
    <t>Dalaiden, Q (corresponding author), Univ Catholique Louvain UCLouvain, Georges Lemaitre Ctr Earth &amp; Climate Res TECLIM, Earth &amp; Life Inst ELI, Pl Louis Pasteur, B-1348 Louvain La Neuve, Belgium.</t>
  </si>
  <si>
    <t>quentin.dalaiden@uclouvain.be</t>
  </si>
  <si>
    <t>Thomas, Elizabeth Ruth/ADF-3660-2022</t>
  </si>
  <si>
    <t>Thomas, Elizabeth Ruth/0000-0002-3010-6493; Dalaiden, Quentin/0000-0002-3885-3848</t>
  </si>
  <si>
    <t>F. R. SFNRS, Belgium [1.A841.18]; Belgian Research Action through Interdisciplinary Networks (BRAIN-be) from Belgian Science Policy Office [BR/165/A2/Mass2Ant]</t>
  </si>
  <si>
    <t>F. R. SFNRS, Belgium(Fonds de la Recherche Scientifique - FNRS); Belgian Research Action through Interdisciplinary Networks (BRAIN-be) from Belgian Science Policy Office</t>
  </si>
  <si>
    <t>The resulting Antarctic climate reconstruction is available through zenodo (https://zenodo.org/record/4770179) or by request to Quentin Dalaiden(quentin.dalaiden@uclouvain.be).We would like to thank Ryan Fogt for the discussions on the ASL variability and its impact on the Antarctic climate. We thank Samantha Stevenson for her expertise on the outputs of iCESM1. We thank Francois Klein for his technical help for setting the data assimilation experiments and Marie G.P. Cavitte for her valuable comments on our study. We acknowledge the ECMWF and the NCAR for providing the ERA5 reanalysis and CESM model outputs, respectively. QD is a Research Fellow with the Fonds pour la formation a la Recherche dans l'Industrie et dans l'Agronomie (FRIA Belgium) and HG is research director within the F.R.S.-FNRS (Belgium). JR is a F. R. SFNRS Research Fellow, Belgium (Grant No. 1.A841.18). This work was partly supported by the Belgian Research Action through Interdisciplinary Networks (BRAIN-be) from Belgian Science Policy Office in the framework of the project East Antarctic surface mass balance in the Anthropocene: observations and multiscale modelling (Mass2Ant) (Contrat n degrees BR/165/A2/Mass2Ant).</t>
  </si>
  <si>
    <t>11-12</t>
  </si>
  <si>
    <t>10.1007/s00382-021-05879-6</t>
  </si>
  <si>
    <t>WL5ZJ</t>
  </si>
  <si>
    <t>WOS:000673095300001</t>
  </si>
  <si>
    <t>Coutinho, JOPA; Quintanilha, MF; Campos, MRA; Ferreira, E; de Menezes, GCA; Rosa, LH; Rosa, CA; Vital, KD; Fernandes, SOA; Cardoso, VN; Nicoli, JR; Tiago, FCP; Martins, FS</t>
  </si>
  <si>
    <t>Coutinho, Joana O. P. A.; Quintanilha, Monica F.; Campos, Marina R. A.; Ferreira, Enio; de Menezes, Graciele C. A.; Rosa, Luiz H.; Rosa, Carlos A.; Vital, Katia D.; Fernandes, Simone O. A.; Cardoso, Valbert N.; Nicoli, Jacques R.; Tiago, Fabiana C. P.; Martins, Flaviano S.</t>
  </si>
  <si>
    <t>Antarctic Strain of Rhodotorula mucilaginosa UFMGCB 18,377 Attenuates Mucositis Induced by 5-Fluorouracil in Mice</t>
  </si>
  <si>
    <t>PROBIOTICS AND ANTIMICROBIAL PROTEINS</t>
  </si>
  <si>
    <t>Antarctica; Fungi; Probiotic; Yeasts; Rhodotorula mucilaginosa; Mucositis; 5-Fluorouracil</t>
  </si>
  <si>
    <t>INTESTINAL MUCOSITIS; IMMUNE-RESPONSE; GASTROINTESTINAL MUCOSITIS; BACTERIAL TRANSLOCATION; GUT MICROBIOTA; MURINE MODEL; YEAST; A-905; THERAPY; DAMAGE</t>
  </si>
  <si>
    <t>Mucositis is one of the most strenuous side effects caused by chemotherapy drugs, such as 5-fluorouracil (5-FU), during the treatment of several types of cancers. The disease is so prevalent and aggressive that many patients cannot resist such symptoms. However, despite its frequency and clinical significance, there is no effective treatment to prevent or treat mucositis. Thus, the use of probiotics as an adjuvant for the treatment has gained prominence. In the present study, we evaluated the effectiveness of oral administration of the Antarctic strain of Rhodotorula mucilaginosa UFMGCB 18,377 as an alternative to minimize side effects of 5-FU-induced mucositis in mice. Body weight, food consumption, stool consistency, and presence of blood in the feces were assessed daily in mice orally treated or not with the yeast and submitted or not to experimental mucositis. Blood, bones, and intestinal tissues and fluid were used to determine intestinal permeability and immunological, microbiological, and histopathological parameters. Treatment with R. mucilaginosa UFMGCB 18,377 was able to decrease clinical signs of the disease, such as reduction of food intake and body weight loss, and also decreased the number of intestinal enterobacteria and intestinal length shortening. Additionally, treatment was able to decrease the levels of MPO and EPO activities and inflammatory infiltrates, as well as the histopathological lesions characteristic of mucositis in the jejunum and ileum. Results of the present study showed that the oral administration of R. mucilaginosa UFMGCB 18,377 protected mice against mucositis induced by 5-FU.</t>
  </si>
  <si>
    <t>[Coutinho, Joana O. P. A.; Quintanilha, Monica F.; de Menezes, Graciele C. A.; Rosa, Luiz H.; Rosa, Carlos A.; Nicoli, Jacques R.; Martins, Flaviano S.] Univ Fed Minas Gerais, Inst Ciencias Biol, Dept Microbiol, Belo Horizonte, MG, Brazil; [Campos, Marina R. A.; Ferreira, Enio] Univ Fed Minas Gerais, Inst Ciencias Biol, Dept Patol Geral, Belo Horizonte, MG, Brazil; [Vital, Katia D.; Fernandes, Simone O. A.; Cardoso, Valbert N.] Univ Fed Minas Gerais, Fac Farm, Dept Analises Clin &amp; Toxicol, Belo Horizonte, MG, Brazil; [Tiago, Fabiana C. P.] Ctr Fed Educ Tecnol Minas Gerais CEFET MG, Belo Horizonte, MG, Brazil; [Martins, Flaviano S.] Univ Fed Minas Gerais, Lab Agentes Bioterapeut, Dept Microbiol, Inst Ciencias Biol, Av Antonio Carlos 6627, BR-30270901 Belo Horizonte, MG, Brazil</t>
  </si>
  <si>
    <t>Universidade Federal de Minas Gerais; Universidade Federal de Minas Gerais; Universidade Federal de Minas Gerais; Universidade Federal de Minas Gerais</t>
  </si>
  <si>
    <t>Martins, FS (corresponding author), Univ Fed Minas Gerais, Inst Ciencias Biol, Dept Microbiol, Belo Horizonte, MG, Brazil.;Martins, FS (corresponding author), Univ Fed Minas Gerais, Lab Agentes Bioterapeut, Dept Microbiol, Inst Ciencias Biol, Av Antonio Carlos 6627, BR-30270901 Belo Horizonte, MG, Brazil.</t>
  </si>
  <si>
    <t>flaviano@icb.ufmg.br</t>
  </si>
  <si>
    <t>Ferreira, Enio/AAC-8167-2022; Nicoli, Jacques R/K-4807-2015</t>
  </si>
  <si>
    <t>Ferreira, Enio/0000-0002-1835-0303; Nicoli, Jacques R/0000-0003-2390-2608; Campos, Marina/0000-0001-9944-6966; Antunes Fernandes, Simone Odilia/0000-0002-6139-5187; Rosa, Carlos/0000-0002-0056-9075; Vital, Katia/0000-0002-9094-4843; Cunha Alves de Menezes, Graciele/0000-0002-9427-1893</t>
  </si>
  <si>
    <t>Minas Gerais State Research Support Foundation (FAPEMIG) [APQ-00593-14]; Coordination for the Improvement of Higher Education Personnel [CAPES 88887.136384/2017-00, 88887.314457/2019-00]; CNPq PROANTAR [442258/20186]; INCT Criosfera II; FNDCT; CAPES</t>
  </si>
  <si>
    <t>Minas Gerais State Research Support Foundation (FAPEMIG)(Fundacao de Amparo a Pesquisa do Estado de Minas Gerais (FAPEMIG)); Coordination for the Improvement of Higher Education Personnel(Coordenacao de Aperfeicoamento de Pessoal de Nivel Superior (CAPES)); CNPq PROANTAR(Conselho Nacional de Desenvolvimento Cientifico e Tecnologico (CNPQ)); INCT Criosfera II; FNDCT; CAPES(Coordenacao de Aperfeicoamento de Pessoal de Nivel Superior (CAPES))</t>
  </si>
  <si>
    <t>This work was supported by grants from the Minas Gerais State Research Support Foundation (FAPEMIG, APQ-00593-14) and the Coordination for the Improvement of Higher Education Personnel (CAPES 88887.136384/2017-00 and 88887.314457/2019-00). Financial support was also received from CNPq PROANTAR 442258/20186, INCT Criosfera II, and FNDCT. JOPAC was the recipient of a doctorate's fellowship from CAPES.</t>
  </si>
  <si>
    <t>1867-1306</t>
  </si>
  <si>
    <t>1867-1314</t>
  </si>
  <si>
    <t>PROBIOTICS ANTIMICRO</t>
  </si>
  <si>
    <t>Probiotics Antimicrob. Proteins</t>
  </si>
  <si>
    <t>JUN</t>
  </si>
  <si>
    <t>10.1007/s12602-021-09817-0</t>
  </si>
  <si>
    <t>Biotechnology &amp; Applied Microbiology; Microbiology</t>
  </si>
  <si>
    <t>1A5IC</t>
  </si>
  <si>
    <t>WOS:000673078100001</t>
  </si>
  <si>
    <t>Demidov, V; Wetterich, S; Demidov, N; Schirrmeister, L; Verkulich, S; Koshurnikov, A; Gagarin, V; Ekaykin, A; Terekchov, A; Veres, A; Kozachek, A</t>
  </si>
  <si>
    <t>Demidov, Vasiliy; Wetterich, Sebastian; Demidov, Nikita; Schirrmeister, Lutz; Verkulich, Sergey; Koshurnikov, Andrey; Gagarin, Vladimir; Ekaykin, Aleksey; Terekchov, Anton; Veres, Arina; Kozachek, Anna</t>
  </si>
  <si>
    <t>Pingo drilling reveals sodium-chloride-dominated massive ice in Grondalen, Spitsbergen</t>
  </si>
  <si>
    <t>PERMAFROST AND PERIGLACIAL PROCESSES</t>
  </si>
  <si>
    <t>hydrochemistry; massive ice; permafrost; pingo; Spitsbergen; stable isotopes</t>
  </si>
  <si>
    <t>PERMAFROST; SVALBARD; HOLOCENE; ISOTOPES; GROWTH</t>
  </si>
  <si>
    <t>Drilling of a 21.8-m-deep borehole on top of the 10.5-m-high Nori pingo that stands at 32 m asl in Grondalen Valley (Spitsbergen) revealed a 16.1-m-thick massive ice enclosed by frozen sediments. The hydrochemical compositions of both the massive ice and the sediment extract show a prevalence of Na+ and Cl- ions throughout the core. The upper part of the massive ice (stage A) has low mineralization and shows an isotopically closed-system trend in delta O-18 and delta D isotopes decreasing down-core. Stage B exhibits high mineralization and an isotopically semi-open system. The crystallographic structure of Nori pingo's massive ice provides evidence of several large groundwater intrusions that support the defined formation stages. Analysis of local aquifers leads to suggest that the pingo was hydraulically sourced through a local fault zone by low mineralized sodium-bicarbonate groundwater of a Paleogene strata aquifer. This groundwater was enriched by sodium and chloride ions while filtering through marine valley sediments with residual salinity. The comparison between the sodium-chloride-dominated massive ice of the Nori pingo and the sodium-bicarbonate-dominated ice of the adjacent Fili pingo that stands higher up the valley may serve as an indicator for groundwater source patterns of other Nordenskiold Land pingos.</t>
  </si>
  <si>
    <t>[Demidov, Vasiliy; Demidov, Nikita; Verkulich, Sergey; Ekaykin, Aleksey; Terekchov, Anton; Veres, Arina; Kozachek, Anna] Arctic &amp; Antarctic Res Inst, Bering St 38, St Petersburg 199397, Russia; [Wetterich, Sebastian; Schirrmeister, Lutz] Alfred Wegener Inst, Dept Permafrost Res, Helmholtz Ctr Polar &amp; Marine Res, Potsdam, Germany; [Koshurnikov, Andrey; Gagarin, Vladimir] Moscow MV Lomonosov State Univ, Fac Geol, GSP 1, Moscow, Russia; [Ekaykin, Aleksey; Veres, Arina] St Petersburg State Univ, St Petersburg, Russia</t>
  </si>
  <si>
    <t>Arctic &amp; Antarctic Research Institute; Helmholtz Association; Alfred Wegener Institute, Helmholtz Centre for Polar &amp; Marine Research; Lomonosov Moscow State University; Saint Petersburg State University</t>
  </si>
  <si>
    <t>Demidov, V (corresponding author), Arctic &amp; Antarctic Res Inst, Bering St 38, St Petersburg 199397, Russia.</t>
  </si>
  <si>
    <t>vasdemidov@mail.ru</t>
  </si>
  <si>
    <t>Gagarin, Vladimir/AAB-4998-2022; Schirrmeister, Lutz/O-5584-2015; Koshurnikov, Andrey/AAT-7724-2020; Veres, Arina/HJY-8317-2023; Schirrmeister, Lutz/AGW-0545-2022; Wetterich, Sebastian/AAD-6569-2019; Terekhov, Anton/S-1329-2016; Kozachek, Anna/Q-4543-2016</t>
  </si>
  <si>
    <t>Schirrmeister, Lutz/0000-0001-9455-0596; Schirrmeister, Lutz/0000-0001-9455-0596; Wetterich, Sebastian/0000-0001-9234-1192; Koshurnikov, Andrey/0000-0001-6160-7795; Terekhov, Anton/0000-0002-8300-6883; Kozachek, Anna/0000-0002-9704-8064; Demidov, Vasiliy/0000-0002-6109-910X</t>
  </si>
  <si>
    <t>Deutsche Forschungsgemeinschaft [WE4390/7-1]; Russian Science Foundation [19-77-10066]; Russian Science Foundation [19-77-10066] Funding Source: Russian Science Foundation</t>
  </si>
  <si>
    <t>Deutsche Forschungsgemeinschaft(German Research Foundation (DFG)); Russian Science Foundation(Russian Science Foundation (RSF)); Russian Science Foundation(Russian Science Foundation (RSF))</t>
  </si>
  <si>
    <t>Deutsche Forschungsgemeinschaft, Grant/Award Number: WE4390/7-1; Russian Science Foundation, Grant/Award Number: 19-77-10066</t>
  </si>
  <si>
    <t>1045-6740</t>
  </si>
  <si>
    <t>1099-1530</t>
  </si>
  <si>
    <t>PERMAFROST PERIGLAC</t>
  </si>
  <si>
    <t>Permafrost Periglacial Process.</t>
  </si>
  <si>
    <t>10.1002/ppp.2124</t>
  </si>
  <si>
    <t>Geography, Physical; Geology</t>
  </si>
  <si>
    <t>WK7UN</t>
  </si>
  <si>
    <t>WOS:000672291300001</t>
  </si>
  <si>
    <t>Hu, SJ; Lin, SY; Wang, D; Zhang, SY; Sun, N</t>
  </si>
  <si>
    <t>Hu, Shengjie; Lin, Songyi; Wang, Di; Zhang, Shuyue; Sun, Na</t>
  </si>
  <si>
    <t>Antarctic krill-derived peptides with consecutive Glu residues enhanced iron binding, solubility, and absorption</t>
  </si>
  <si>
    <t>FOOD &amp; FUNCTION</t>
  </si>
  <si>
    <t>EGG-WHITE PEPTIDES; BIOAVAILABILITY; DIGESTION; IDENTIFICATION; HYDROLYSATE; FRACTIONS; PRODUCTS; CAPACITY; CASEIN</t>
  </si>
  <si>
    <t>Three peptides containing three glutamic acid (Glu) residues at different positions derived from Antarctic krill were obtained to investigate their iron-binding properties, digestive stability, and effectiveness on enhancing iron solubility and absorption. Results indicated that Fe2+ bound to the carbonyl, carboxyl, or hydroxyl groups of DELEDSLER, EEEFDATR, and DTDSEEEIR at stoichiometric ratios of 0.453, 0.466, and 0.490, respectively. DTDSEEEIR with three consecutive Glu in the middle of the sequence possessed higher iron-binding ability and iron release potential than EEEFDATR with three consecutive Glu in the N-terminal, and DELEDSLER with three discontinuous Glu showed the lowest values. Although EEEFDATR showed remarkably lower digestion stability than DTDSEEEIR, the effect of EEEFDATR-iron on iron solubility and absorption was comparable to that of DTDSEEEIR-iron, but better than that of DELEDSLER-iron and FeSO4. Thus, peptides with consecutive Glu have the potential as an effective iron carrier to improve iron absorption.</t>
  </si>
  <si>
    <t>[Hu, Shengjie; Lin, Songyi; Wang, Di; Zhang, Shuyue; Sun, Na] Dalian Polytech Univ, Natl Engn Res Ctr Seafood, Sch Food Sci &amp; Technol, Dalian 116034, Peoples R China; [Lin, Songyi; Sun, Na] Dalian Polytech Univ, Collaborat Innovat Ctr Seafood Deep Proc, Dalian 116034, Peoples R China</t>
  </si>
  <si>
    <t>Dalian Polytechnic University; Dalian Polytechnic University</t>
  </si>
  <si>
    <t>Sun, N (corresponding author), Dalian Polytech Univ, Natl Engn Res Ctr Seafood, Sch Food Sci &amp; Technol, Dalian 116034, Peoples R China.;Sun, N (corresponding author), Dalian Polytech Univ, Collaborat Innovat Ctr Seafood Deep Proc, Dalian 116034, Peoples R China.</t>
  </si>
  <si>
    <t>sunna1215@126.com</t>
  </si>
  <si>
    <t>Lin, Song-Y i/A-1778-2012; Hu, shengjie/JCP-5531-2023</t>
  </si>
  <si>
    <t>Hu, Shengjie/0000-0002-9374-3131</t>
  </si>
  <si>
    <t>National Natural Science Foundation of China [31972008]; Dalian High-level Talent Innovation Support Program of China [2019RQ003]; Program for Innovative Talents in Higher Education of Liaoning Province of China [LR2019008]</t>
  </si>
  <si>
    <t>National Natural Science Foundation of China(National Natural Science Foundation of China (NSFC)); Dalian High-level Talent Innovation Support Program of China; Program for Innovative Talents in Higher Education of Liaoning Province of China</t>
  </si>
  <si>
    <t>This work was financially supported by the National Natural Science Foundation of China (31972008), the Dalian High-level Talent Innovation Support Program of China (2019RQ003), and the Program for Innovative Talents in Higher Education of Liaoning Province of China (LR2019008).</t>
  </si>
  <si>
    <t>2042-6496</t>
  </si>
  <si>
    <t>2042-650X</t>
  </si>
  <si>
    <t>FOOD FUNCT</t>
  </si>
  <si>
    <t>Food Funct.</t>
  </si>
  <si>
    <t>SEP 21</t>
  </si>
  <si>
    <t>10.1039/d1fo01405f</t>
  </si>
  <si>
    <t>US9CL</t>
  </si>
  <si>
    <t>WOS:000680466100001</t>
  </si>
  <si>
    <t>Nagel, R; Mews, S; Adam, T; Stainfield, C; Fox-Clarke, C; Toscani, C; Langrock, R; Forcada, J; Hoffman, JI</t>
  </si>
  <si>
    <t>Nagel, Rebecca; Mews, Sina; Adam, Timo; Stainfield, Claire; Fox-Clarke, Cameron; Toscani, Camille; Langrock, Roland; Forcada, Jaume; Hoffman, Joseph I.</t>
  </si>
  <si>
    <t>Movement patterns and activity levels are shaped by the neonatal environment in Antarctic fur seal pups</t>
  </si>
  <si>
    <t>ARCTOCEPHALUS-GAZELLA; THERMOREGULATORY BEHAVIOR; FORAGING BEHAVIOR; DIVING BEHAVIOR; BIRD-ISLAND; MORTALITY; MASS; ECOLOGY; GROWTH; LIONS</t>
  </si>
  <si>
    <t>Tracking studies of juveniles are rare compared to those of adults, and consequently little is known about the influence of intrinsic and extrinsic factors on activity during this critical life stage. We used hourly GPS data, collected from 66 Antarctic fur seal pups from birth until moulting, to investigate the explanatory power of multiple individual-based and environmental variables on activity levels. Pups were sampled from two nearby breeding colonies of contrasting density during two subsequent years, and a two-state hidden Markov model was used to identify modalities in their movement behaviour, specifically 'active' and 'inactive' states. We found that movement was typified by central place exploration, with active movement away from and subsequent return to a location of inactivity. The probability of such directed exploration was unaffected by several factors known to influence marine mammal movement including sex, body condition, and temperature. Compared to pups born at the high-density colony, pups at low-density were more active, increased their activity with age, and transitioned earlier into the tussock grass, which offers protection from predators and extreme weather. Our study illustrates the importance of extrinsic factors, such as colony of birth, to early-life activity patterns and highlights the adaptive potential of movement.</t>
  </si>
  <si>
    <t>[Nagel, Rebecca; Hoffman, Joseph I.] Bielefeld Univ, Dept Anim Behav, D-33501 Bielefeld, Germany; [Mews, Sina; Adam, Timo; Langrock, Roland] Bielefeld Univ, Dept Business Adm &amp; Econ, D-33501 Bielefeld, Germany; [Adam, Timo] Univ St Andrews, Sch Math &amp; Stat, Ctr Res Ecol &amp; Environm Modelling, St Andrews KY16 9LZ, Fife, Scotland; [Stainfield, Claire; Fox-Clarke, Cameron; Toscani, Camille; Forcada, Jaume; Hoffman, Joseph I.] British Antarctic Survey, Madingley Rd, Cambridge CB3 OET, England</t>
  </si>
  <si>
    <t>University of Bielefeld; University of Bielefeld; University of St Andrews; UK Research &amp; Innovation (UKRI); Natural Environment Research Council (NERC); NERC British Antarctic Survey</t>
  </si>
  <si>
    <t>Nagel, R (corresponding author), Bielefeld Univ, Dept Anim Behav, D-33501 Bielefeld, Germany.</t>
  </si>
  <si>
    <t>rebecca.nagel@uni-bielefeld.de</t>
  </si>
  <si>
    <t>Forcada, Jaume/GYU-0677-2022; Stainfield, Claire/KBB-0316-2024; Hoffman, Joseph/K-7725-2012</t>
  </si>
  <si>
    <t>Stainfield, Claire/0009-0009-6190-4058; Nagel, Rebecca/0000-0002-2925-1028; Hoffman, Joseph/0000-0001-5895-8949</t>
  </si>
  <si>
    <t>German Research Foundation (DFG) as part of the SFB TRR 212 (NC3) [316099922, 396774617, 396782756]; Natural Environment Research Council; NERC [bas0100035] Funding Source: UKRI</t>
  </si>
  <si>
    <t>German Research Foundation (DFG) as part of the SFB TRR 212 (NC3)(German Research Foundation (DFG)); Natural Environment Research Council(UK Research &amp; Innovation (UKRI)Natural Environment Research Council (NERC)); NERC(UK Research &amp; Innovation (UKRI)Natural Environment Research Council (NERC))</t>
  </si>
  <si>
    <t>This research was funded by the German Research Foundation (DFG) as part of the SFB TRR 212 -(NC3)-Project Numbers 316099922, 396774617, and 396782756. It was also supported by core funding from the Natural Environment Research Council to the British Antarctic Survey's Ecosystems Program.</t>
  </si>
  <si>
    <t>JUL 12</t>
  </si>
  <si>
    <t>10.1038/s41598-021-93253-1</t>
  </si>
  <si>
    <t>TP3LB</t>
  </si>
  <si>
    <t>Green Published, gold, Green Submitted, Green Accepted</t>
  </si>
  <si>
    <t>WOS:000677494000009</t>
  </si>
  <si>
    <t>Böckmann, S; Koch, F; Meyer, B; Pausch, F; Iversen, M; Driscoll, R; Laglera, LM; Hassler, C; Trimborn, S</t>
  </si>
  <si>
    <t>Boeckmann, Sebastian; Koch, Florian; Meyer, Bettina; Pausch, Franziska; Iversen, Morten; Driscoll, Ryan; Laglera, Luis Miguel; Hassler, Christel; Trimborn, Scarlett</t>
  </si>
  <si>
    <t>Salp fecal pellets release more bioavailable iron to Southern Ocean phytoplankton than krill fecal pellets</t>
  </si>
  <si>
    <t>CURRENT BIOLOGY</t>
  </si>
  <si>
    <t>ANTARCTIC KRILL; EUPHAUSIA-SUPERBA; AUSTRAL SUMMER; SINKING RATES; SEA; THOMPSONI; FE; PENINSULA; GROWTH; STOCK</t>
  </si>
  <si>
    <t>Over the last decades, it has been reported that the habitat of the Southern Ocean (SO) key species Antarctic krill (Euphausia superba) has contracted to high latitudes, putatively due to reduced winter sea ice coverage, while salps as Salpa thompsoni have extended their dispersal to the former krill habitats. To date, the potential implications of this population shift on the biogeochemical cycling of the limiting micronutrient iron (Fe) and its bioavailability to SO phytoplankton has never been tested. Based on uptake of fecal pellet (FP)released Fe by SO phytoplankton, this study highlights how efficiently krill and salps recycle Fe. To test this, we collected FPs of natural populations of salps and krill, added them to the same SO phytoplankton community, andmeasured the community's Fe uptake rates. Our results reveal that both FP additions yielded similar dissolved iron concentrations in the seawater. Per FP carbon added to the seawater, 4.8 +/- 1.5 times more Fe was taken up by the same phytoplankton community from salp FP than from krill FP, suggesting that salp FP increased the Fe bioavailability, possibly through the release of ligands. With respect to the ongoing shift from krill to salps, the potential for carbon fixation of the Fe-limited SO could be strengthened in the future, representing a negative feedback to climate change.</t>
  </si>
  <si>
    <t>[Boeckmann, Sebastian; Pausch, Franziska; Trimborn, Scarlett] Univ Bremen, Marine Bot, Bibliothekstr 1, D-28359 Bremen, Germany; [Boeckmann, Sebastian; Koch, Florian; Pausch, Franziska; Trimborn, Scarlett] Helmholtz Ctr Polar &amp; Marine Res, Ecol Chem, Alfred Wegener Inst, Handelshafen 12, D-27570 Bremerhaven, Germany; [Koch, Florian] Hsch Bremerhaven, Fachbereich 2, Karlstadt 8, D-27568 Bremerhaven, Germany; [Meyer, Bettina; Iversen, Morten; Driscoll, Ryan] Helmholtz Ctr Polar &amp; Marine Res, Polar Biol Oceanog, Alfred Wegener Inst, Handelshafen 12, D-27570 Bremerhaven, Germany; [Meyer, Bettina] Carl von Ossietzky Univ Oldenburg, Helmholtz Inst Marine Funct Biodivers, Ammerlander Heerstr 231, D-26129 Oldenburg, Germany; [Hassler, Christel] Univ Geneva, Dept FA Forel Environm &amp; Aquat Sci, 66,Blvd Carl Vogt, CH-1211 Geneva, Switzerland; [Hassler, Christel] Ecole Polytech Fed Lausanne, Swiss Polar Inst, CH-1015 Lausanne, Switzerland; [Meyer, Bettina] Carl von Ossietzky Univ Oldenburg, Inst Chem &amp; Biol Marine Environm, Carl von Ossietzky Str 9-11, D-26111 Oldenburg, Germany; [Iversen, Morten] Marum &amp; Univ Bremen, Leobener Str 13, D-28359 Bremen, Germany; [Laglera, Luis Miguel] Univ Islas Baleares, FI TRACE, Dept Quim, Edificio Mateu Orfila,Campus Univ, Palma De Mallorca 07122, Balearic Island, Spain</t>
  </si>
  <si>
    <t>University of Bremen; Helmholtz Association; Alfred Wegener Institute, Helmholtz Centre for Polar &amp; Marine Research; Helmholtz Association; Alfred Wegener Institute, Helmholtz Centre for Polar &amp; Marine Research; Carl von Ossietzky Universitat Oldenburg; University of Geneva; Swiss Federal Institutes of Technology Domain; Ecole Polytechnique Federale de Lausanne; Carl von Ossietzky Universitat Oldenburg; University of Bremen; Universitat de les Illes Balears</t>
  </si>
  <si>
    <t>Böckmann, S (corresponding author), Univ Bremen, Marine Bot, Bibliothekstr 1, D-28359 Bremen, Germany.;Böckmann, S (corresponding author), Helmholtz Ctr Polar &amp; Marine Res, Ecol Chem, Alfred Wegener Inst, Handelshafen 12, D-27570 Bremerhaven, Germany.</t>
  </si>
  <si>
    <t>sebastian.boeckmann@awi.de</t>
  </si>
  <si>
    <t>Iversen, Morten H/C-7741-2013; Laglera, Luis/B-7983-2010; Iversen, Morten Hvitfeldt/Q-3774-2016</t>
  </si>
  <si>
    <t>Laglera, Luis/0000-0002-5941-5900; Pausch, Franziska/0000-0002-4207-1304; Trimborn, Scarlett/0000-0003-1434-9927; Iversen, Morten Hvitfeldt/0000-0002-5287-1110; Koch, Florian/0000-0001-7107-4160</t>
  </si>
  <si>
    <t>Ministry for Science and Culture of Lower Saxony (Germany); Federal Ministry of Food and Agriculture (Germany); Swiss National Funds for scientific research [PP00P2_166197]; Spanish MICINN [CTM201784763C33R]; HGF Young Investigator Group SeaPump 655 Seasonal and regional food web interactions with the biological pump [VHNG1000]; Swiss National Science Foundation (SNF) [PP00P2_166197] Funding Source: Swiss National Science Foundation (SNF)</t>
  </si>
  <si>
    <t>Ministry for Science and Culture of Lower Saxony (Germany); Federal Ministry of Food and Agriculture (Germany); Swiss National Funds for scientific research(Swiss National Science Foundation (SNSF)); Spanish MICINN(Spanish Government); HGF Young Investigator Group SeaPump 655 Seasonal and regional food web interactions with the biological pump; Swiss National Science Foundation (SNF)(Swiss National Science Foundation (SNSF))</t>
  </si>
  <si>
    <t>This study contributed to the project Population Shift and Ecosystem Response - Krill vs. Salps,which was funded by the Ministry for Science and Culture of Lower Saxony (Germany) , led by B.M. M.I. was supported by the HGF Young Investigator Group SeaPump 655 Seasonal and regional food web interactions with the biological pump: VHNG1000. R.D. was supported by the Federal Ministry of Food and Agriculture (Germany) and C.H. by a Swiss National Funds for scientific research, Professor Fellowship (PP00P2_166197) . L.M.L. was supported by the Spanish MICINN project CTM201784763C33R. We thank Christian Volkner for the measurement of dFe and total FP Fe and Anne Kerlikowski for her graphic support. Furthermore, we thank Anna Pagnone, Dorothee WilhelmsDick, and the crew of RV Polarstern for assistance during the sampling.</t>
  </si>
  <si>
    <t>CELL PRESS</t>
  </si>
  <si>
    <t>50 HAMPSHIRE ST, FLOOR 5, CAMBRIDGE, MA 02139 USA</t>
  </si>
  <si>
    <t>0960-9822</t>
  </si>
  <si>
    <t>1879-0445</t>
  </si>
  <si>
    <t>CURR BIOL</t>
  </si>
  <si>
    <t>Curr. Biol.</t>
  </si>
  <si>
    <t>10.1016/j.cub.2021.02.033</t>
  </si>
  <si>
    <t>Biochemistry &amp; Molecular Biology; Biology; Cell Biology</t>
  </si>
  <si>
    <t>Biochemistry &amp; Molecular Biology; Life Sciences &amp; Biomedicine - Other Topics; Cell Biology</t>
  </si>
  <si>
    <t>TK3NR</t>
  </si>
  <si>
    <t>WOS:000674069900002</t>
  </si>
  <si>
    <t>Su, CH; Eizenberg, N; Jakob, D; Fox-Hughes, P; Steinle, P; White, CJ; Franklin, C</t>
  </si>
  <si>
    <t>Su, Chun-Hsu; Eizenberg, Nathan; Jakob, Dorte; Fox-Hughes, Paul; Steinle, Peter; White, Christopher J.; Franklin, Charmaine</t>
  </si>
  <si>
    <t>BARRA v1.0: kilometre-scale downscaling of an Australian regional atmospheric reanalysis over four midlatitude domains</t>
  </si>
  <si>
    <t>GEOSCIENTIFIC MODEL DEVELOPMENT</t>
  </si>
  <si>
    <t>OFFICE UNIFIED MODEL; FORECASTING CONVECTION; DATA ASSIMILATION; WEATHER RESEARCH; CLIMATE; IMPACT; SCHEME; JULES; CLOUD; CONFIGURATION</t>
  </si>
  <si>
    <t>Regional reanalyses provide a dynamically consistent recreation of past weather observations at scales useful for local-scale environmental applications. The development of convection-permitting models (CPMs) in numerical weather prediction has facilitated the creation of kilometre-scale (1-4 km) regional reanalysis and climate projections. The Bureau of Meteorology Atmospheric high-resolution Regional Reanalysis for Australia (BARRA) also aims to realize the benefits of these high-resolution models over Australian sub-regions for applications such as fire danger research by nesting them in BARRA's 12 km regional reanalysis (BARRA-R). Four midlatitude sub-regions are centred on Perth in Western Australia, Adelaide in South Australia, Sydney in New South Wales (NSW), and Tasmania. The resulting 29-year 1.5 km downscaled reanalyses (BARRA-C) are assessed for their added skill over BARRA-R and global reanalyses for near-surface parameters (temperature, wind, and precipitation) at observation locations and against independent 5 km gridded analyses. BARRA-C demonstrates better agreement with point observations for temperature and wind, particularly in topographically complex regions and coastal regions. BARRA-C also improves upon BARRA-R in terms of the intensity and timing of precipitation during the thunderstorm seasons in NSW and spatial patterns of sub-daily rain fields during storm events. BARRA-C reflects known issues of CPMs: overestimation of heavy rain rates and rain cells, as well as underestimation of light rain occurrence. As a hindcast-only system, BARRA-C largely inherits the domain-averaged bias pattern from BARRA-R but does produce different climatological extremes for temperature and precipitation. An added-value analysis of temperature and precipitation extremes shows that BARRA-C provides additional skill over BARRA-R when compared to gridded observations. The spatial patterns of BARRA-C warm temperature extremes and wet precipitation extremes are more highly correlated with observations. BARRA-C adds value in the representation of the spatial pattern of cold extremes over coastal regions but remains biased in terms of magnitude.</t>
  </si>
  <si>
    <t>[Su, Chun-Hsu; Jakob, Dorte; Steinle, Peter; Franklin, Charmaine] Bur Meteorol, Docklands, Vic 3008, Australia; [Eizenberg, Nathan] Univ Melbourne, Dept Earth Sci, Parkville, Vic 3010, Australia; [Fox-Hughes, Paul] Bur Meteorol, Hobart, Tas 7000, Australia; [White, Christopher J.] Univ Strathclyde, Dept Civil &amp; Environm Engn, Glasgow, Lanark, Scotland; [White, Christopher J.] Univ Tasmania, Sch Engn, Hobart, Tas, Australia</t>
  </si>
  <si>
    <t>Bureau of Meteorology - Australia; University of Melbourne; Bureau of Meteorology - Australia; University of Strathclyde; University of Tasmania</t>
  </si>
  <si>
    <t>Su, CH (corresponding author), Bur Meteorol, Docklands, Vic 3008, Australia.</t>
  </si>
  <si>
    <t>chunhsu.su@bom.gov.au</t>
  </si>
  <si>
    <t>Su, Chun-Hsu/C-2076-2014; Fox-Hughes, Paul/G-8731-2013</t>
  </si>
  <si>
    <t>Franklin, Charmaine/0000-0003-0237-4033; Fox-Hughes, Paul/0000-0002-0083-9928; Eizenberg, Nathan/0000-0002-7731-5006</t>
  </si>
  <si>
    <t>New South Wales Rural Fire Service; Western Australia Department of Fire and Emergency Services; South Australia Country Fire Service; South Australia Department of Environment, Water and National Resources; Antarctic Climate and Ecosystems Cooperative Research Centre - ACE CRC; University of Tasmania; Tasmanian Government; Australian Government</t>
  </si>
  <si>
    <t>New South Wales Rural Fire Service; Western Australia Department of Fire and Emergency Services; South Australia Country Fire Service; South Australia Department of Environment, Water and National Resources; Antarctic Climate and Ecosystems Cooperative Research Centre - ACE CRC(Australian GovernmentDepartment of Industry, Innovation and ScienceCooperative Research Centres (CRC) Programme); University of Tasmania; Tasmanian Government; Australian Government(Australian Government)</t>
  </si>
  <si>
    <t>Funding for this work was provided by emergency service agencies (New South Wales Rural Fire Service, Western Australia Department of Fire and Emergency Services, South Australia Country Fire Service, South Australia Department of Environment, Water and National Resources) and research institutions (Antarctic Climate and Ecosystems Cooperative Research Centre - ACE CRC -and the University of Tasmania). Funding from Tasmania is supported by the Tasmanian Government and the Australian Government, provided under the Tasmanian Bushfire Mitigation Grants Program.; BARRA-C is set up with assistance from the UKMO colleagues (Stuart Webster) and many colleagues at the Bureau of Meteorology (Greg Kociuba, Gary Dietachmayer, Hongyan Zhu, Yimin Ma, Ilia Bermous, Robin Bowen), the Commonwealth Scientific and Industrial Research Organisation (CSIRO; Martin Dix), and National Computational Infrastructure (NCI; Dale Roberts, GrantWard). The FSS analysis with the Rainfields2 product is undertaken with assistance from Susan Rennie, Kevin Cheong, Alan Seed (Bureau of Meteorology), and Suwash Acharya (University of Melbourne). We also thank Mitchell Black and Vinodkumar for their feedback on drafts of the paper. The BARRA project was undertaken with resources and services from NCI, which is supported by the Australian Government. This study uses the ERA-Interim and ERA5 data provided through the ARC Centre of Excellence for Climate System Science (Paola Petrelli) at NCI.</t>
  </si>
  <si>
    <t>1991-959X</t>
  </si>
  <si>
    <t>1991-9603</t>
  </si>
  <si>
    <t>GEOSCI MODEL DEV</t>
  </si>
  <si>
    <t>Geosci. Model Dev.</t>
  </si>
  <si>
    <t>10.5194/gmd-14-4357-2021</t>
  </si>
  <si>
    <t>TI4GG</t>
  </si>
  <si>
    <t>WOS:000672756500001</t>
  </si>
  <si>
    <t>Waschulin, V; Borsetto, C; James, R; Newsham, KK; Donadio, S; Corre, C; Wellington, E</t>
  </si>
  <si>
    <t>Waschulin, Valentin; Borsetto, Chiara; James, Robert; Newsham, Kevin K.; Donadio, Stefano; Corre, Christophe; Wellington, Elizabeth</t>
  </si>
  <si>
    <t>Biosynthetic potential of uncultured Antarctic soil bacteria revealed through long-read metagenomic sequencing</t>
  </si>
  <si>
    <t>NATURAL-PRODUCTS; GENOME; DIVERSITY; DISCOVERY; ALIGNMENT; COVERAGE</t>
  </si>
  <si>
    <t>The growing problem of antibiotic resistance has led to the exploration of uncultured bacteria as potential sources of new antimicrobials. PCR amplicon analyses and short-read sequencing studies of samples from different environments have reported evidence of high biosynthetic gene cluster (BGC) diversity in metagenomes, indicating their potential for producing novel and useful compounds. However, recovering full-length BGC sequences from uncultivated bacteria remains a challenge due to the technological restraints of short-read sequencing, thus making assessment of BGC diversity difficult. Here, long-read sequencing and genome mining were used to recover &gt;1400 mostly full-length BGCs that demonstrate the rich diversity of BGCs from uncultivated lineages present in soil from Mars Oasis, Antarctica. A large number of highly divergent BGCs were not only found in the phyla Acidobacteriota, Verrucomicrobiota and Gemmatimonadota but also in the actinobacterial classes Acidimicrobiia and Thermoleophilia and the gammaproteobacterial order UBA7966. The latter furthermore contained a potential novel family of RiPPs. Our findings underline the biosynthetic potential of underexplored phyla as well as unexplored lineages within seemingly well-studied producer phyla. They also showcase long-read metagenomic sequencing as a promising way to access the untapped genetic reservoir of specialised metabolite gene clusters of the uncultured majority of microbes.</t>
  </si>
  <si>
    <t>[Waschulin, Valentin; Borsetto, Chiara; Corre, Christophe; Wellington, Elizabeth] Univ Warwick, Sch Life Sci, Coventry, W Midlands, England; [James, Robert] Quadram Inst, Norwich, Norfolk, England; [Newsham, Kevin K.] NERC British Antarctic Survey, Cambridge, England; [Donadio, Stefano] NAICONS Srl, Milan, Italy; [Corre, Christophe] Univ Warwick, Dept Chem, Coventry, W Midlands, England</t>
  </si>
  <si>
    <t>University of Warwick; UK Research &amp; Innovation (UKRI); Biotechnology and Biological Sciences Research Council (BBSRC); Quadram Institute; University of Warwick</t>
  </si>
  <si>
    <t>Waschulin, V (corresponding author), Univ Warwick, Sch Life Sci, Coventry, W Midlands, England.</t>
  </si>
  <si>
    <t>valentin.waschulin@warwick.ac.uk</t>
  </si>
  <si>
    <t>Corre, Christophe/O-3874-2019; Borsetto, Chiara/AAA-7315-2022</t>
  </si>
  <si>
    <t>Corre, Christophe/0000-0002-4292-9315; Borsetto, Chiara/0000-0003-4848-9522; Waschulin, Valentin/0000-0002-8905-1263; Wellington, ELizabeth/0000-0002-4329-0699</t>
  </si>
  <si>
    <t>European Union [765147]; Natural Environment Research Council [NE/N019857/1, NE/S008721/1]; NERC [bas0100036, NE/S008721/1, NE/N019857/1] Funding Source: UKRI</t>
  </si>
  <si>
    <t>European Union(European Union (EU)); Natural Environment Research Council(UK Research &amp; Innovation (UKRI)Natural Environment Research Council (NERC)); NERC(UK Research &amp; Innovation (UKRI)Natural Environment Research Council (NERC))</t>
  </si>
  <si>
    <t>The authors would like to thank Emzo de los Santos for feedback and advice. This project has received funding from the European Union's Horizon 2020 research and innovation programme under grant agreement no 765147. Furthermore, CB was supported by the Natural Environment Research Council (grant numbers NE/N019857/1 and NE/S008721/1).</t>
  </si>
  <si>
    <t>10.1038/s41396-021-01052-3</t>
  </si>
  <si>
    <t>Green Accepted, hybrid, Green Published, Green Submitted</t>
  </si>
  <si>
    <t>WOS:000672250300001</t>
  </si>
  <si>
    <t>Bartholet, A; Milne, GA; Latychev, K</t>
  </si>
  <si>
    <t>Bartholet, Alan; Milne, Glenn A.; Latychev, Konstantin</t>
  </si>
  <si>
    <t>Modelling sea-level fingerprints of glaciated regions with low mantle viscosity</t>
  </si>
  <si>
    <t>EARTH SYSTEM DYNAMICS</t>
  </si>
  <si>
    <t>ISOSTATIC-ADJUSTMENT; EARTH; PREDICTIONS; RHEOLOGY; MAXIMUM; VOLUME; UPLIFT; RISE</t>
  </si>
  <si>
    <t>Global patterns of sea-level change - often termed sea-level fingerprints - associated with future changes in ice/water mass re-distribution are a key component in generating regional sea-level projections. Calculation of these fingerprints is commonly based on the assumption that the isostatic response of the Earth is dominantly elastic on century timescales. While this assumption is accurate for regions underlain by mantle material with viscosity close to that of global average estimates, recent work focusing on the West Antarctic region has shown that this assumption can lead to significant error where the viscosity is significantly lower than typical global average values. Here, we test this assumption for fingerprints associated with glaciers and ice caps. We compare output from a (1D) elastic Earth model to that of a 3D viscoelastic model that includes low-viscosity mantle in three glaciated regions: Alaska, southwestern Canada, and the southern Andes (Randolph Glacier Inventory (RGI) regions 1, 2, and 17, respectively). This comparison indicates that the error incurred by ignoring the non-elastic response is of the order of 1 mm in most areas (or about 1 % of the barystatic signal) over the 21st century with values reaching the centimetre level in glaciated regions. However, in glaciated regions underlain by low-viscosity mantle, the non-elastic deformation can result in relative sea-level changes with magnitudes of up to several tens of centimetres (or several times the barystatic value). The magnitude and spatial pattern of this non-elastic signal is sensitive to variations in both the projected ice history and regional viscosity structure, indicating the need for loading models with high spatial resolution and improved constraints on regional Earth viscosity structure to accurately simulate sea-level fingerprints in these regions. The anomalously low mantle viscosity in these regions also amplifies the glacial isostatic adjustment signal associated with glacier changes during the 20th century, causing it to be an important (and even dominant) contributor to the modelled relative sea-level changes over the 21st century.</t>
  </si>
  <si>
    <t>[Bartholet, Alan; Milne, Glenn A.] Univ Ottawa, Dept Earth &amp; Environm Sci, Ottawa, ON K1N 6N5, Canada; [Latychev, Konstantin] Harvard Univ, Dept Earth &amp; Planetary Sci, 20 Oxford St, Cambridge, MA 02138 USA</t>
  </si>
  <si>
    <t>University of Ottawa; Harvard University</t>
  </si>
  <si>
    <t>Milne, GA (corresponding author), Univ Ottawa, Dept Earth &amp; Environm Sci, Ottawa, ON K1N 6N5, Canada.</t>
  </si>
  <si>
    <t>gamilne@uottawa.ca</t>
  </si>
  <si>
    <t>Natural Sciences and Engineering Research Council of Canada [RGPIN-2018-06355]</t>
  </si>
  <si>
    <t>Natural Sciences and Engineering Research Council of Canada(Natural Sciences and Engineering Research Council of Canada (NSERC)CGIAR)</t>
  </si>
  <si>
    <t>This research has been supported by the Natural Sciences and Engineering Research Council of Canada (grant no. RGPIN-2018-06355).</t>
  </si>
  <si>
    <t>2190-4979</t>
  </si>
  <si>
    <t>2190-4987</t>
  </si>
  <si>
    <t>EARTH SYST DYNAM</t>
  </si>
  <si>
    <t>Earth Syst. Dynam.</t>
  </si>
  <si>
    <t>10.5194/esd-12-783-2021</t>
  </si>
  <si>
    <t>TI4GA</t>
  </si>
  <si>
    <t>WOS:000672755700001</t>
  </si>
  <si>
    <t>Monti-Birkenmeier, M; Diociaiuti, T; Badewien, TH; Schulz, AC; Friedrichs, A; Meyer, B</t>
  </si>
  <si>
    <t>Monti-Birkenmeier, Marina; Diociaiuti, Tommaso; Badewien, Thomas H.; Schulz, Anne-Christin; Friedrichs, Anna; Meyer, Bettina</t>
  </si>
  <si>
    <t>Spatial distribution of microzooplankton in different areas of the northern Antarctic Peninsula region, with an emphasis on tintinnids</t>
  </si>
  <si>
    <t>Protists; Ciliates; Tintinnids; Heterotrophic dinoflagellates; Biomass</t>
  </si>
  <si>
    <t>TERRA-NOVA BAY; ROSS SEA; SOUTHWESTERN ATLANTIC; PHYTOPLANKTON GROWTH; BIOMASS DISTRIBUTION; SOUTHERN-OCEAN; PATTERNS; VARIABILITY; ABUNDANCE; CARBON</t>
  </si>
  <si>
    <t>The Western Antarctic Peninsula (WAP) is experiencing rapid climate warming, resulting in affecting the marine food web. To investigate the microzooplankton spatial distribution and to assess how climate change could affect the tintinnids community, sea water samples were collected during late summer 2018 at 19 stations in three different areas: Deception Island, Elephant Island and Antarctic Sound. The microzooplankton community comprised mainly tintinnids, aloricate ciliates, heterotrophic dinoflagellates and micrometazoans. Microzooplankton abundance varied between 3 and 109 ind. L-1 and biomass ranged from 0.009 to 2.55 mu g C L-1. Significant differences in terms of abundance and taxonomic composition of microzooplankton were found among the three sampling areas. Deception Island area showed 44% of tintinnids and the rest were heterotrophic dinoflagellate, aloricate ciliates and micrometazoans. In Elephant Island and Antarctic Sound areas, tintinnids reached, respectively, 73% and 83% of the microzooplankton composition, with all the other groups varying between 20 and 30%. Tintinnids were the most representative group in the area, with the species Codonellopsis balechi, Codonellopsis glacialis, Cymatocylis convallaria and Cymatocylis drygalskii. The highest amounts of tintinnids were found at the surface and 100 m depth. The above mentioned species may be considered key species for the WAP and therefore they can be used to track environmental and hydrographical changes in the area. In late summer, microzooplankton presented low abundances and biomass, nevertheless they represented an important fraction of the planktonic community in the area.</t>
  </si>
  <si>
    <t>[Monti-Birkenmeier, Marina; Diociaiuti, Tommaso] Natl Inst Oceanog &amp; Appl Geophys OGS, Via A Piccard 54, I-34151 Trieste, Italy; [Badewien, Thomas H.; Schulz, Anne-Christin; Friedrichs, Anna] Carl von Ossietzky Univ Oldenburg, Inst Chem &amp; Biol Marine Environm ICBM, Schleusenstr 1, D-26382 Wilhelmshaven, Germany; [Meyer, Bettina] Alfred Wegener Inst Helmholtz Ctr Polar &amp; Marine, Handelshafen 12, Bremerhaven, Germany; [Meyer, Bettina] Carl von Ossietzky Univ Oldenburg, Inst Chem &amp; Biol Marine Environm ICBM, Carl von Ossietzky Str 9-11, D-26111 Oldenburg, Germany; [Meyer, Bettina] Carl von Ossietzky Univ Oldenburg, Helmholtz Inst Funct Marine Biodivers HIFMB, Ammerlander Heerstr 231, Oldenburg, Germany</t>
  </si>
  <si>
    <t>Istituto Nazionale di Oceanografia e di Geofisica Sperimentale; Carl von Ossietzky Universitat Oldenburg; Helmholtz Association; Alfred Wegener Institute, Helmholtz Centre for Polar &amp; Marine Research; Carl von Ossietzky Universitat Oldenburg; Carl von Ossietzky Universitat Oldenburg</t>
  </si>
  <si>
    <t>Monti-Birkenmeier, M (corresponding author), Natl Inst Oceanog &amp; Appl Geophys OGS, Via A Piccard 54, I-34151 Trieste, Italy.</t>
  </si>
  <si>
    <t>mmonti@inogs.it</t>
  </si>
  <si>
    <t>monti, marina/O-2910-2015</t>
  </si>
  <si>
    <t>Monti, Marina/0000-0001-5198-7798</t>
  </si>
  <si>
    <t>Italian National Program for Antarctica (PNRA); project PLEASE Plankton Enigma in the Antarctic Sea Environment; Lower Saxony Ministry for science and culture (MWK)</t>
  </si>
  <si>
    <t>This work was supported by the Italian National Program for Antarctica (PNRA) with the project PLEASE Plankton Enigma in the Antarctic Sea Environment and is a contribution to the German POSER project Population Shift and Ecosystem Response Krill vs.Salps funded by the Lower Saxony Ministry for science and culture (MWK). We would like to thank the captain, crew, and chief scientist of RV Polarstern PS112 for their help and support during the cruise. We are grateful to the anonymous reviewer and Wuchang Zhang for their useful comments and suggestions on the manuscript.</t>
  </si>
  <si>
    <t>10.1007/s00300-021-02910-8</t>
  </si>
  <si>
    <t>WOS:000672246000001</t>
  </si>
  <si>
    <t>Parker, E; Dornburg, A; Struthers, CD; Jones, CD; Near, TJ</t>
  </si>
  <si>
    <t>Parker, Elyse; Dornburg, Alex; Struthers, Carl D.; Jones, Christopher D.; Near, Thomas J.</t>
  </si>
  <si>
    <t>Phylogenomic Species Delimitation Dramatically Reduces Species Diversity in an Antarctic Adaptive Radiation</t>
  </si>
  <si>
    <t>SYSTEMATIC BIOLOGY</t>
  </si>
  <si>
    <t>ddRADseq; multispecies coalescent; Notothenioidei; SNPs; Southern Ocean</t>
  </si>
  <si>
    <t>SOUTH SHETLAND ISLANDS; POGONOPHRYNE PISCES; MENTAL BARBEL; ROSS SEA; ARTEDIDRACONIDAE PISCES; ECOLOGICAL OPPORTUNITY; SEQUENCE DATA; WEDDELL SEA; NOTOTHENIOIDEI; PERCIFORMES</t>
  </si>
  <si>
    <t>Application of genetic data to species delimitation often builds confidence in delimitations previously hypothesized using morphological, ecological, and geographic data and frequently yields recognition of previously undescribed cryptic diversity. However, a recent critique of genomic data-based species delimitation approaches is that they have the potential to conflate population structure with species diversity, resulting in taxonomic oversplitting. The need for an integrative approach to species delimitation, in which molecular, morphological, ecological, and geographic lines of evidence are evaluated together, is becoming increasingly apparent. Here, we integrate phylogenetic, population genetic, and coalescent analyses of genome-wide sequence data with investigation of variation in multiple morphological traits to delimit species within the Antarctic barbeled plunderfishes (Artedidraconidae: Pogonophryne). Pogonophryne currently comprises 29 valid species, most of which are distinguished solely by variation in the ornamentation of the mental barbel that projects from the lower jaw, a structure previously shown to vary widely within a single species. However, our genomic and phenotypic analyses result in a dramatic reduction in the number of distinct species recognized within the clade, providing evidence to support the recognition of no more than six species. We propose to synonymize 24 of the currently recognized species with five species of Pogonophryne. We find genomic and phenotypic evidence for a new species of Pogonophryne from specimens collected in the Ross Sea. Our findings represent a rare example in which the application of molecular data provides evidence of taxonomic oversplitting on the basis of morphology, clearly demonstrating the utility of an integrative species delimitation framework.</t>
  </si>
  <si>
    <t>[Parker, Elyse; Near, Thomas J.] Yale Univ, Dept Ecol &amp; Evolutionary Biol, POB 208106, New Haven, CT 06520 USA; [Dornburg, Alex] Univ N Carolina, Dept Bioinformat &amp; Genom, Charlotte, NC 28223 USA; [Struthers, Carl D.] Museum New Zealand Papa Tongarewa, Wellington, New Zealand; [Jones, Christopher D.] NOAA, Antarctic Ecosyst Res Div, Southwest Fisheries Sci Ctr, La Jolla, CA 92037 USA; [Near, Thomas J.] Yale Univ, Peabody Museum Nat Hist, New Haven, CT 06520 USA</t>
  </si>
  <si>
    <t>Yale University; University of North Carolina; University of North Carolina Charlotte; National Oceanic Atmospheric Admin (NOAA) - USA; Yale University</t>
  </si>
  <si>
    <t>Parker, E (corresponding author), Yale Univ, Dept Ecol &amp; Evolutionary Biol, POB 208106, New Haven, CT 06520 USA.</t>
  </si>
  <si>
    <t>chantul.parker@yale.edu</t>
  </si>
  <si>
    <t>Near, Thomas J./K-1204-2012; Dornburg, Alex/CAF-1206-2022</t>
  </si>
  <si>
    <t>Near, Thomas J./0000-0002-7398-6670;</t>
  </si>
  <si>
    <t>Bingham Oceanographic Fund, Peabody Museum ofNatural History, Yale University</t>
  </si>
  <si>
    <t>This research was supported by the Bingham Oceanographic Fund, Peabody Museum ofNatural History, Yale University.</t>
  </si>
  <si>
    <t>1063-5157</t>
  </si>
  <si>
    <t>1076-836X</t>
  </si>
  <si>
    <t>SYST BIOL</t>
  </si>
  <si>
    <t>Syst. Biol.</t>
  </si>
  <si>
    <t>10.1093/sysbio/syab057</t>
  </si>
  <si>
    <t>Evolutionary Biology</t>
  </si>
  <si>
    <t>YG3NK</t>
  </si>
  <si>
    <t>WOS:000742399100006</t>
  </si>
  <si>
    <t>Michael, PE; Wilcox, C; Barbraud, C; Delord, K; Sumner, M; Weimerskirch, H</t>
  </si>
  <si>
    <t>Michael, Pamela E.; Wilcox, Chris; Barbraud, Christophe; Delord, Karine; Sumner, Michael; Weimerskirch, Henri</t>
  </si>
  <si>
    <t>Dynamic enforcement of bycatch via reproductive value can increase theoretical efficiency</t>
  </si>
  <si>
    <t>MARINE POLICY</t>
  </si>
  <si>
    <t>Bycatch; Dynamic enforcement; Dynamic ocean management; Monitoring; Reproductive value; Albatross</t>
  </si>
  <si>
    <t>SEABIRD BYCATCH; OCEAN MANAGEMENT; FISHERIES; HABITAT; CONSERVATION; CLIMATE; SEGREGATION; ALBATROSSES; BEHAVIOR; TURTLES</t>
  </si>
  <si>
    <t>Managing marine systems is challenging, as many marine species are highly mobile. Albatross exemplify this paradigm, overlapping multiple threats at sea, including bycatch. The typical characterization of bycatch, the number of individuals, ignores the long-term, population-wide repercussions of bycatch. Including an estimate of the reproductive value (RV, the loss of future reproductive contributions, given bycatch) is a complementary tool, incorporating the population-wide repercussions of bycatch. While bycatch management via dynamic spatial management allows management boundaries to move, it requires monitoring and enforcement to be effective. We provide a proof of concept to optimize bycatch enforcement activities by dynamically targeting areas of concentrated future productivity characterized by RV. This paper examined a population of black-browed albatross (Thalassarche melanophris) as a case study. We calculate RV and apply it to at-sea distribu-tions. This creates spatiotemporally explicit surfaces used to prioritize times and locations for bycatch mitigation enforcement. Dynamic enforcement has greater theoretical efficiency than static enforcement, but this difference decreases with increasing population-wide RV subject to enforcement. Though there are implementation chal-lenges, many can be reduced with existing tools providing various opportunities. Incorporating RV when characterizing the impacts of bycatch on a population and strategically applying dynamic bycatch enforcement based on RV can be a powerful, efficient component of dynamic ocean management.</t>
  </si>
  <si>
    <t>[Michael, Pamela E.] Univ Tasmania, Inst Marine &amp; Antarctic Studies IMAS, 20 Castray Esplanade, Battery Point, Tas 7004, Australia; [Wilcox, Chris] Commonwealth Sci &amp; Ind Res Org CSIRO, Oceans &amp; Atmosphere, GPO Box 1538, Hobart, Tas 7001, Australia; [Barbraud, Christophe; Delord, Karine; Weimerskirch, Henri] Univ La Rochelle, Ctr Etud Biol Chize, CNRS, UMR 7372, F-79360 Villiers En Bois, France; [Sumner, Michael] Australian Antarctic Div, Dept Environm &amp; Energy, Kingston, Tas, Australia; [Sumner, Michael] Univ Tasmania, Antarctic Climate &amp; Ecosyst Cooperat Res Ctr, Hobart, Tas, Australia; [Michael, Pamela E.] Clemson Univ, Dept Forestry &amp; Environm Conservat, South Carolina Cooperat Fish &amp; Wildlife Res Unit, Clemson, SC 29634 USA</t>
  </si>
  <si>
    <t>University of Tasmania; Commonwealth Scientific &amp; Industrial Research Organisation (CSIRO); La Rochelle Universite; Centre National de la Recherche Scientifique (CNRS); CNRS - Institute of Ecology &amp; Environment (INEE); Australian Antarctic Division; Antarctic Climate &amp; Ecosystems Cooperative Research Centre (ACE CRC); University of Tasmania; Clemson University</t>
  </si>
  <si>
    <t>Michael, PE (corresponding author), Univ Tasmania, Inst Marine &amp; Antarctic Studies IMAS, 20 Castray Esplanade, Battery Point, Tas 7004, Australia.;Michael, PE (corresponding author), Clemson Univ, Dept Forestry &amp; Environm Conservat, South Carolina Cooperat Fish &amp; Wildlife Res Unit, Clemson, SC 29634 USA.</t>
  </si>
  <si>
    <t>pemicha@g.clemson.edu; Chris.Wilcox@csiro.au; Christophe.BARBRAUD@cebc.cnrs.fr; karine.delord@cebc.cnrs.fr; Michael.Sumner@aad.gov.au; Henri.WEIMERSKIRCH@cebc.cnrs.fr</t>
  </si>
  <si>
    <t>Sumner, Michael D/J-3478-2013; Barbraud, Christophe/A-5870-2012; Weimerskirch, Henri/F-5562-2013</t>
  </si>
  <si>
    <t>Barbraud, Christophe/0000-0003-0146-212X;</t>
  </si>
  <si>
    <t>Institut Polaire Francais Paul Emile Victor (program 109); Terres Australes et Antarctiques Francaises; Zone Atelier de Recherches sur l'Environnement Antarctique et Subantarctique (CNRSINEE); National Science Foundation [1246407]</t>
  </si>
  <si>
    <t>Institut Polaire Francais Paul Emile Victor (program 109); Terres Australes et Antarctiques Francaises; Zone Atelier de Recherches sur l'Environnement Antarctique et Subantarctique (CNRSINEE); National Science Foundation(National Science Foundation (NSF))</t>
  </si>
  <si>
    <t>We are particularly grateful to all the field workers involved in the monitoring program over the past 40 yr on the black-browed albatross at Canon des Sourcils Noirs, Iles Kerguelen. We are grateful to R. Thomson for the use of the demographics model and S. de Grissac for processing juvenile data. Fieldwork and animal tagging were supported financially and logistically by the Institut Polaire Francais Paul Emile Victor (pro-gram 109) , Terres Australes et Antarctiques Francaises, Zone Atelier de Recherches sur l'Environnement Antarctique et Subantarctique (CNRSINEE) , and has been approved by the ethics committee of IPEV and by the Comite de l'Environnement Polaire. Demographic data collection and animal tagging were also partly supported by a grant to Stephanie Jenouvrier from the National Science Foundation no. 1246407. We thank D. Besson for the data management. We also thank P and JMichael and PGR Jodice for feedback on an earlier version of the manuscript.</t>
  </si>
  <si>
    <t>0308-597X</t>
  </si>
  <si>
    <t>1872-9460</t>
  </si>
  <si>
    <t>MAR POLICY</t>
  </si>
  <si>
    <t>Mar. Pol.</t>
  </si>
  <si>
    <t>10.1016/j.marpol.2021.104684</t>
  </si>
  <si>
    <t>Environmental Studies; International Relations</t>
  </si>
  <si>
    <t>Environmental Sciences &amp; Ecology; International Relations</t>
  </si>
  <si>
    <t>WC6RR</t>
  </si>
  <si>
    <t>WOS:000704383800013</t>
  </si>
  <si>
    <t>Birch, JL; Kocyan, A</t>
  </si>
  <si>
    <t>Birch, Joanne L.; Kocyan, Alexander</t>
  </si>
  <si>
    <t>Biogeography of the monocotyledon astelioid clade (Asparagales): A history of long-distance dispersal and diversification with emerging habitats</t>
  </si>
  <si>
    <t>MOLECULAR PHYLOGENETICS AND EVOLUTION</t>
  </si>
  <si>
    <t>Alpine flora; Gondwana; Oligo-Miocene diversification; Long-distance dispersal; Grassland expansion; Extinction</t>
  </si>
  <si>
    <t>FOUNDER-EVENT SPECIATION; PHYLOGENETIC-RELATIONSHIPS; VICARIANCE ANALYSIS; CAPE FLORA; R PACKAGE; EVOLUTION; RADIATION; HYPOXIDACEAE; AFRICAN; MODEL</t>
  </si>
  <si>
    <t>The astelioid families (Asteliaceae, Blandfordiaceae, Boryaceae, Hypoxidaceae, and Lanariaceae) have centers of diversity in Australasia and temperate Africa, with secondary centers of diversity in Afromontane Africa, Asia, and Pacific Islands. The global distribution of these families makes this an excellent lineage to test if current distribution patterns are the result of vicariance or long-distance dispersal and to evaluate the roles of Tertiary climatic and geological drivers in lineage diversification. Sequence data were generated from five chloroplast regions (petL-psbE, rbcL, rps16-trnK, trnL-trnLF, trnS-trnSG) for 104 ingroup species sampled across global diversity. The astelioid phylogeny was inferred using maximum parsimony, maximum likelihood, and Bayesian inference methods. Divergence dates were estimated with a relaxed clock applied in BEAST. Ancestral ranges were reconstructed in the R package 'BioGeoBEARS' applying the corrected Akaike information criterion to test for the best-fit biogeographic model. Diversification rates were estimated in Bayesian Analysis of Macroevolutionary Mixtures (BAMM). Astelioid relationships were inferred as Boryaceae(Blandfordiaceae(Asteliaceae (Hypoxidaceae plus Lanariaceae))). The crown astelioid node was dated to the Late Cretaceous (75.2 million years; 95% highest posterior density interval 61.0-90.0 million years) and an Antarctic-Australasian origin was inferred. Astelioid speciation events have not been shaped by Gondwanan vicariance. Rather long-distance dispersal since the Eocene is inferred to account for current distributions. Crown Asteliaceae and Boryaceae have Australian ancestral ranges and diversified since the Eocene. In Hypoxidaceae, Empodium, Hypoxis, and Pauridia have African ancestral ranges, while Curculigo and Molineria have an Asian ancestral range. Diversification of Pauridia and the Curculigo clade occurred steadily, while diversification of Astelia and Hypoxis was punctuated over time. Diversification of Hypoxis and Astelia coincided temporally with the expansion of the habitat types occupied by extant taxa, e.g., grassland habitat in Africa during the Late Miocene and alpine habitat in New Zealand during the Pliocene, respectively.</t>
  </si>
  <si>
    <t>[Birch, Joanne L.] Univ Melbourne, Sch BioSci, Parkville, Vic 3010, Australia; [Birch, Joanne L.] Univ Hawaii Manoa, Dept Bot, Honolulu, HI 96822 USA; [Kocyan, Alexander] Univ Zurich, Dept Plant &amp; Microbial Biol, Bot Museum, Zollikerstr 107, CH-8008 Zurich, Switzerland; [Kocyan, Alexander] Univ Potsdam, Inst Biochem &amp; Biol, Biodivers Res Systemat Bot, Maulbeerallee 2a, D-14469 Potsdam, Germany</t>
  </si>
  <si>
    <t>University of Melbourne; University of Hawaii System; University of Hawaii Manoa; University of Zurich; University of Potsdam</t>
  </si>
  <si>
    <t>Birch, JL (corresponding author), Univ Melbourne, Sch BioSci, Parkville, Vic 3010, Australia.;Birch, JL (corresponding author), Univ Hawaii Manoa, Dept Bot, Honolulu, HI 96822 USA.;Kocyan, A (corresponding author), Univ Zurich, Dept Plant &amp; Microbial Biol, Bot Museum, Zollikerstr 107, CH-8008 Zurich, Switzerland.;Kocyan, A (corresponding author), Univ Potsdam, Inst Biochem &amp; Biol, Biodivers Res Systemat Bot, Maulbeerallee 2a, D-14469 Potsdam, Germany.</t>
  </si>
  <si>
    <t>joanne.birch@unimelb.edu.au; alexander.kocyan@botinst.uzh.ch</t>
  </si>
  <si>
    <t>Birch, Joanne/0000-0002-8226-6085</t>
  </si>
  <si>
    <t>ABRS [RFL21637]; HSF [HSF1608]; NSF DDIG [DEB0910402]; SYNTHESIS [GBTAF2815]</t>
  </si>
  <si>
    <t>ABRS; HSF; NSF DDIG(National Science Foundation (NSF)); SYNTHESIS</t>
  </si>
  <si>
    <t>The authors thank U. Eggli, M.K. Janarthanam, C. Kuffer, A. Lamb, W. Lobin, J.-Y. Meyer, T. Motley, L.R. de Craene, J. Manning, E. Parker, Y, Singh, D. Strasberg, A. Whistler, the Australian National Botanical Garden, Missouri Botanical Garden, Royal Botanic Gardens, Kew, and Otari Native Botanic Garden for provision of study materials; The Botanical Gardens of Zurich, Basel, Bonn, Berlin, Munich, Edinburgh and Kew for cultivation of hypoxid species; curation staff at the following herbaria: AD, BISH, CBG, HAW, KEW, M, MEL, MELU, MO, NBG, NC, NH, PERTH, PTBG, REU, US, UWA, Z/ZT; Auckland Regional Council (NZ) , Department of Conservation (NZ) , Department of Envi-ronment and Climate Change (New South Wales, Australia) , Department of Land and Natural Resources (Hawai'i, USA) , Department of Primary Industries and Water (Tasmania, Australia) , Department of Sustain-ability and Environment (Victoria, Australia) , Maui Land and Pineapple (Hawai'i, USA) , The Nature Conservancy (Hawai'i, USA) for access and collection permits. This research was supported by grants to JLB (ABRS, RFL21637; HSF, HSF1608; NSF DDIG, DEB0910402) and AK (SYNTHESIS, GBTAF2815) . S. Hirsch and A. Schories are thanked for help in the lab at Potsdam University. J.-Y. Lu collated sequence data and worked on alignments during a Science and Technology Internship in the School of BioSciences, The University of Melbourne.</t>
  </si>
  <si>
    <t>1055-7903</t>
  </si>
  <si>
    <t>1095-9513</t>
  </si>
  <si>
    <t>MOL PHYLOGENET EVOL</t>
  </si>
  <si>
    <t>Mol. Phylogenet. Evol.</t>
  </si>
  <si>
    <t>10.1016/j.ympev.2021.107203</t>
  </si>
  <si>
    <t>Biochemistry &amp; Molecular Biology; Evolutionary Biology; Genetics &amp; Heredity</t>
  </si>
  <si>
    <t>UD5QU</t>
  </si>
  <si>
    <t>WOS:000687261800004</t>
  </si>
  <si>
    <t>Wang, XQ; Zhang, ZR; Wang, XZ; Vihma, T; Zhou, M; Yu, LJ; Uotila, P; Sein, D</t>
  </si>
  <si>
    <t>Wang, Xiaoqiao; Zhang, Zhaoru; Wang, Xuezhu; Vihma, Timo; Zhou, Meng; Yu, Lejiang; Uotila, Petteri; Sein, Dmitry, V</t>
  </si>
  <si>
    <t>Impacts of strong wind events on sea ice and water mass properties in Antarctic coastal polynyas</t>
  </si>
  <si>
    <t>Antarctic; Strong offshore wind events; Coastal polynyas; Sea ice; High salinity shelf water</t>
  </si>
  <si>
    <t>OCEAN MODEL; VARIABILITY; CIRCULATION; TIDES; FLUX</t>
  </si>
  <si>
    <t>Strong offshore wind events (SOWEs) occur frequently near the Antarctic coast during austral winter. These wind events are typically associated with passage of synoptic- or meso-scale cyclones, which interact with the katabatic wind field and affect sea ice and oceanic processes in coastal polynyas. Based on numerical simulations from the coupled Finite Element Sea-ice Ocean Model (FESOM) driven by the CORE-II forcing, two coastal polynyas along the East Antarctica coast--the Prydz Bay Polynya and the Shackleton Polynya are selected to examine the response of sea ice and oceanic properties to SOWEs. In these polynyas, the southern or western flanks of cyclones play a crucial role in increasing the offshore winds depending on the local topography. Case studies for both polynyas show that during SOWEs, when the wind speed is 2-3 times higher than normal values, the offshore component of sea ice velocity can increase by 3-4 times. Sea ice concentration can decrease by 20-40%, and sea ice production can increase up to two to four folds. SOWEs increase surface salinity variability and mixed layer depth, and such effects may persist for 5-10 days. Formation of high salinity shelf water (HSSW) is detected in the coastal regions from surface to 800 m after 10-15 days of the SOWEs, while the HSSW features in deep layers exhibit weak response on the synoptic time scale. HSSW formation averaged over winter is notably greater in years with longer duration of SOWEs.</t>
  </si>
  <si>
    <t>[Wang, Xiaoqiao; Zhang, Zhaoru; Zhou, Meng] Shanghai Jiao Tong Univ, Sch Oceanog, Shanghai, Peoples R China; [Wang, Xuezhu] Hohai Univ, Coll Oceanog, Nanjing, Peoples R China; [Vihma, Timo] Finnish Meteorol Inst, Meteorol Res, Helsinki, Finland; [Yu, Lejiang] Polar Res Inst China, State Ocean Adm, Key Lab Polar Sci, Shanghai, Peoples R China; [Uotila, Petteri] Univ Helsinki, Fac Sci, Inst Atmospher &amp; Earth Syst Res Phys, Helsinki, Finland; [Sein, Dmitry, V] Helmholtz Ctr Polar &amp; Marine Res, Alfred Wegener Inst, Bremerhaven, Germany; [Sein, Dmitry, V] Russian Acad Sci, Shirshov Inst Oceanol, Moscow, Russia</t>
  </si>
  <si>
    <t>Shanghai Jiao Tong University; Hohai University; Finnish Meteorological Institute; Polar Research Institute of China; University of Helsinki; Helmholtz Association; Alfred Wegener Institute, Helmholtz Centre for Polar &amp; Marine Research; Russian Academy of Sciences; Shirshov Institute of Oceanology</t>
  </si>
  <si>
    <t>Zhang, ZR (corresponding author), Shanghai Jiao Tong Univ, Sch Oceanog, Shanghai, Peoples R China.</t>
  </si>
  <si>
    <t>zrzhang@sjtu.edu.cn</t>
  </si>
  <si>
    <t>Sein, Dmitry V/GLS-0252-2022; LIU, JIALIN/JXN-8034-2024; Sein, Dmitry/P-6419-2018; Uotila, Petteri/A-1703-2012</t>
  </si>
  <si>
    <t>Sein, Dmitry/0000-0002-1190-3622; Uotila, Petteri/0000-0002-2939-7561; Wang, Xuezhu/0000-0002-6815-743X; Wang, Xiaoqiao/0009-0007-5277-3063; Yu, Lejiang/0000-0003-0535-1937</t>
  </si>
  <si>
    <t>National Natural Science Foundation of China [41941008, 41876221]; Shanghai Science and Technology Committee [21QA1404300, 20230711100]; National Key Research and Development Program of China [2019YFC1509102]; Impact and Response of Antarctic Seas to Climate Change [IRASCC 1-02-01B, 583]; Shenlan Program by Shanghai Jiao Tong University [SL2020MS021]; EC Horizon 2020 Framework Program PolarRES [101003590]; Academy of Finland [322432, 304345]; EC Horizon 2020 project PRIMAVERA [641727]; state assignment of FASO Russia [R0149-2019-0015]; Academy of Finland (AKA) [322432] Funding Source: Academy of Finland (AKA)</t>
  </si>
  <si>
    <t>National Natural Science Foundation of China(National Natural Science Foundation of China (NSFC)); Shanghai Science and Technology Committee(Shanghai Science &amp; Technology Committee); National Key Research and Development Program of China; Impact and Response of Antarctic Seas to Climate Change; Shenlan Program by Shanghai Jiao Tong University; EC Horizon 2020 Framework Program PolarRES; Academy of Finland(Research Council of Finland); EC Horizon 2020 project PRIMAVERA; state assignment of FASO Russia; Academy of Finland (AKA)</t>
  </si>
  <si>
    <t>This work is funded by the National Natural Science Foundation of China (Grant nos. 41941008 and 41876221), the Shanghai Science and Technology Committee (Grant nos. 21QA1404300 and 20230711100), the National Key Research and Development Program of China (Grant no. 2019YFC1509102), the Impact and Response of Antarctic Seas to Climate Change (Grant 583 No: IRASCC 1-02-01B), and the Shenlan Program funded by Shanghai Jiao Tong University (Grant no. SL2020MS021). Work of T. Vihma and P. Uotila was supported by the EC Horizon 2020 Framework Program PolarRES under the Grant agreement no. 101003590. Work of P. Uotila and T. Vihma was also supported by the Academy of Finland (Grants 322432 for PU and 304345 for TV). D.V. Sein was supported by the EC Horizon 2020 project PRIMAVERA under the Grant agreement no. 641727, the state assignment of FASO Russia theme No. R0149-2019-0015. Simulations with FESOM were performed on German Climate Computing Center (DKRZ). We thank the two anonymous reviewers for their helpful comments that substantially improved the manuscript.</t>
  </si>
  <si>
    <t>10.1007/s00382-021-05878-7</t>
  </si>
  <si>
    <t>WOS:000672443700002</t>
  </si>
  <si>
    <t>Zeng, ZL; Wang, ZM; Ding, MH; Zheng, XD; Sun, XY; Zhu, W; Zhu, KJ; An, JC; Zhang, L; Guo, JP; Zhang, BJ</t>
  </si>
  <si>
    <t>Zeng, Zhaoliang; Wang, Zemin; Ding, Minghu; Zheng, Xiangdong; Sun, Xiaoyu; Zhu, Wei; Zhu, Kongju; An, Jiachun; Zhang, Lin; Guo, Jianping; Zhang, Baojun</t>
  </si>
  <si>
    <t>Estimation and Long-term Trend Analysis of Surface Solar Radiation in Antarctica: A Case Study of Zhongshan Station</t>
  </si>
  <si>
    <t>ADVANCES IN ATMOSPHERIC SCIENCES</t>
  </si>
  <si>
    <t>meteorological variables; RF model; estimated historical DGSR; long-term trend analysis</t>
  </si>
  <si>
    <t>KING-GEORGE-ISLAND; DECADAL CHANGES; ENERGY BALANCE; EASTERN CHINA; COASTAL AREA; SATELLITE; GLACIER; REVISIT</t>
  </si>
  <si>
    <t>Long-term, ground-based daily global solar radiation (DGSR) at Zhongshan Station in Antarctica can quantitatively reveal the basic characteristics of Earth's surface radiation balance and validate satellite data for the Antarctic region. The fixed station was established in 1989, and conventional radiation observations started much later in 2008. In this study, a random forest (RF) model for estimating DGSR is developed using ground meteorological observation data, and a high-precision, long-term DGSR dataset is constructed. Then, the trend of DGSR from 1990 to 2019 at Zhongshan Station, Antarctica is analyzed. The RF model, which performs better than other models, shows a desirable performance of DGSR hindcast estimation with an R-2 of 0.984, root-mean-square error of 1.377 MJ m(-2), and mean absolute error of 0.828 MJ m(-2). The trend of DGSR annual anomalies increases during 1990-2004 and then begins to decrease after 2004. Note that the maximum value of annual anomalies occurs during approximately 2004/05 and is mainly related to the days with precipitation (especially those related to good weather during the polar day period) at this station. In addition to clouds and water vapor, bad weather conditions (such as snowfall, which can result in low visibility and then decreased sunshine duration and solar radiation) are the other major factors affecting solar radiation at this station. The high-precision, long-term estimated DGSR dataset enables further study and understanding of the role of Antarctica in global climate change and the interactions between snow, ice, and atmosphere.</t>
  </si>
  <si>
    <t>[Zeng, Zhaoliang; Wang, Zemin; An, Jiachun; Zhang, Lin; Zhang, Baojun] Wuhan Univ, Chinese Antarctic Ctr Surveying &amp; Mapping, Wuhan 430079, Peoples R China; [Zeng, Zhaoliang; Ding, Minghu; Zheng, Xiangdong; Zhu, Kongju; Guo, Jianping] Chinese Acad Meteorol Sci, State Key Lab Severe Weather, Beijing 100081, Peoples R China; [Sun, Xiaoyu] Natl Marine Environm Forecasting Ctr, Beijing 100081, Peoples R China; [Zhu, Wei] Wuhan Econ &amp; Technol Dev Zone Hannan Meteorol Ser, Wuhan 430079, Peoples R China</t>
  </si>
  <si>
    <t>Wuhan University; China Meteorological Administration; Chinese Academy of Meteorological Sciences (CAMS); National Marine Environmental Forecasting Center</t>
  </si>
  <si>
    <t>Zhang, BJ (corresponding author), Wuhan Univ, Chinese Antarctic Ctr Surveying &amp; Mapping, Wuhan 430079, Peoples R China.;Ding, MH (corresponding author), Chinese Acad Meteorol Sci, State Key Lab Severe Weather, Beijing 100081, Peoples R China.</t>
  </si>
  <si>
    <t>dingminghu@foxmail.com; bjzhang@whu.edu.cn</t>
  </si>
  <si>
    <t>Ding, Minghu/AFU-3600-2022; Guo, Jianping/K-1497-2017; Zeng, Zhaoliang/AAV-8359-2021</t>
  </si>
  <si>
    <t>Ding, Minghu/0000-0002-1142-6598; Guo, Jianping/0000-0001-8530-8976; Zeng, Zhaoliang/0000-0002-9108-8575; Zhang, Baojun/0000-0001-5438-8723</t>
  </si>
  <si>
    <t>National Natural Science Foundation of China [41941010, 41771064, 41776195]; National Basic Research Program of China [2016YFC1400303]; Basic Fund of the Chinese Academy of Meteorological Sciences [2018Z001]</t>
  </si>
  <si>
    <t>National Natural Science Foundation of China(National Natural Science Foundation of China (NSFC)); National Basic Research Program of China(National Basic Research Program of China); Basic Fund of the Chinese Academy of Meteorological Sciences</t>
  </si>
  <si>
    <t>This work was supported by the National Natural Science Foundation of China (Grant Nos. 41941010, 41771064 and 41776195), the National Basic Research Program of China (Grant No. 2016YFC1400303), and the Basic Fund of the Chinese Academy of Meteorological Sciences (Grant No. 2018Z001). We greatly appreciate the help from the Polar Research Institute of China and the Antarctic expeditioners at the Chinese Zhongshan Station. The long-term (March 1989-February 2020) estimated DGSR dataset can be acquired in the Mendeley data repository (data identification number: http://dx.doi.org/10.17632/2y2mmhzvcx.1).</t>
  </si>
  <si>
    <t>0256-1530</t>
  </si>
  <si>
    <t>1861-9533</t>
  </si>
  <si>
    <t>ADV ATMOS SCI</t>
  </si>
  <si>
    <t>Adv. Atmos. Sci.</t>
  </si>
  <si>
    <t>10.1007/s00376-021-0386-6</t>
  </si>
  <si>
    <t>TR5IL</t>
  </si>
  <si>
    <t>WOS:000671650100008</t>
  </si>
  <si>
    <t>Abduh, MY; Koh, ICC; Abol-Munafi, AB; Norazmi-Lokman, NH; Noordin, NM</t>
  </si>
  <si>
    <t>Abduh, Muhammad Yazed; Koh, Ivan Chong Chu; Abol-Munafi, Ambok Bolong; Norazmi-Lokman, Nor Hakim; Noordin, Noordiyana Mat</t>
  </si>
  <si>
    <t>Effects of dietary fish oil and corn oil on gonadosomatic and hepatosomatic index, gonadal histology, 17β-oestradiol level and fatty acids profile of mahseer (Tor tambroides) broodstock in captivity</t>
  </si>
  <si>
    <t>AQUACULTURE NUTRITION</t>
  </si>
  <si>
    <t>fatty acids; mahseer; oestradiol; oocytes; vittelogenesis</t>
  </si>
  <si>
    <t>TOR-TAMBROIDES BLEEKER; COMMERCIAL SPAWNING INDUCER; MALAYSIAN MAHSEER; REPRODUCTIVE-PERFORMANCE; GROWTH-PERFORMANCE; LIPID-LEVELS; RAINBOW-TROUT; BREEDING PERFORMANCE; OOCYTE DEVELOPMENT; BODY-COMPOSITION</t>
  </si>
  <si>
    <t>The present research was conducted to investigate the effects of fish oil (FO) substitutions with corn oil (CO) on the gonad development of female Tor tambroides broodstocks, a high value freshwater fish. Three isonitrogenous (450 g kg(-1) crude protein) and isolipidic (105 g kg(-1) crude lipid) were formulated to contain FO and CO at a ratio of 1:0, 1:1 and 0:1, respectively, and fed to female fish (n = 10 fish x 3 replicate x 3 treatment; average weight = 910.0 +/- 130.0 g) for five months. At the end of the feeding trial, there were no significant differences (p &gt; .05) on the gonadosomatic index (GSI), hepatosomatic index, 17 beta-oestradiol (E2) concentration and muscle fatty acids (FA) composition. However, fish fed with diet containing FO to CO at a ratio of 1:1 demonstrated higher percentage of GSI, E2 concentration (ng ml(-1)) and the presence of vitellogenic oocytes in the histological data compared to the other two feeding diets. The FA composition also highlighted that T. tambroides broodstocks can elongate polyunsaturated FA to highly unsaturated FA. Based on these preliminary results, it shows that T. tambroides prefer diets with supplementation of both n3 and n6 oil source. However, more studies need to be done to strengthen this conclusion.</t>
  </si>
  <si>
    <t>[Abduh, Muhammad Yazed; Koh, Ivan Chong Chu; Norazmi-Lokman, Nor Hakim; Noordin, Noordiyana Mat] Univ Malaysia Terengganu, Fac Fisheries &amp; Food Sci, Kuala Nerus 21030, Malaysia; [Abol-Munafi, Ambok Bolong; Noordin, Noordiyana Mat] Univ Malaysia Terengganu, Inst Trop Aquaculture &amp; Fisheries, Kuala Nerus, Malaysia; [Norazmi-Lokman, Nor Hakim] Univ Tasmania, Ctr Fisheries &amp; Aquaculture, Inst Marine &amp; Antarctic Studies, Taroona, Tas, Australia</t>
  </si>
  <si>
    <t>Universiti Malaysia Terengganu; Universiti Malaysia Terengganu; University of Tasmania</t>
  </si>
  <si>
    <t>Noordin, NM (corresponding author), Univ Malaysia Terengganu, Fac Fisheries &amp; Food Sci, Kuala Nerus 21030, Malaysia.</t>
  </si>
  <si>
    <t>diyananoordin@umt.edu.my</t>
  </si>
  <si>
    <t>Koh, Ivan Chong Chu/AAE-7546-2022; Abduh, Muhammad Yazed/AAD-5582-2020; Norazmi, Lokman Nor Hakim/AAD-2229-2020; Ambok Bolong, Abol Munafi/AAA-3989-2022; Noordin, Noordiyana Mat/AFR-7817-2022</t>
  </si>
  <si>
    <t>Koh, Ivan Chong Chu/0000-0003-1823-1205; Abduh, Muhammad Yazed/0000-0002-2204-3605; Norazmi, Lokman Nor Hakim/0000-0002-1927-6846; Ambok Bolong, Abol Munafi/0000-0002-9215-2575; Mat Noordin, Noordiyana/0000-0002-2764-6181</t>
  </si>
  <si>
    <t>Fundamental Research Grant Scheme (FRGS) [FRGS/2/2013/ST03/UMT/02/4]; Ministry of Higher Education, Malaysia</t>
  </si>
  <si>
    <t>Fundamental Research Grant Scheme (FRGS); Ministry of Higher Education, Malaysia(Ministry of Education, Malaysia)</t>
  </si>
  <si>
    <t>This research was supported financially by Fundamental Research Grant Scheme (FRGS) FRGS/2/2013/ST03/UMT/02/4, Ministry of Higher Education, Malaysia.</t>
  </si>
  <si>
    <t>1353-5773</t>
  </si>
  <si>
    <t>1365-2095</t>
  </si>
  <si>
    <t>AQUACULT NUTR</t>
  </si>
  <si>
    <t>Aquac. Nutr.</t>
  </si>
  <si>
    <t>10.1111/anu.13282</t>
  </si>
  <si>
    <t>UY2OJ</t>
  </si>
  <si>
    <t>WOS:000671581400001</t>
  </si>
  <si>
    <t>Xu, SH; Vogel, A</t>
  </si>
  <si>
    <t>Xu, Shihe; Vogel, Annette</t>
  </si>
  <si>
    <t>Measuring snow scavenging of two airborne cyclic volatile methylsiloxanes under controlled conditions</t>
  </si>
  <si>
    <t>Siloxanes; Snow; Scavenging; Sorption; D4; D5</t>
  </si>
  <si>
    <t>PARTITION-COEFFICIENTS; UNEXPECTED OCCURRENCE; ANTARCTIC SOILS; SILOXANES; FATE; AIR; DIMETHYLSILOXANES; PHYTOPLANKTON; VEGETATION</t>
  </si>
  <si>
    <t>The objective of this study was to determine snow scavenging of cVMS and its potential effect on the cVMS concentrations in snowmelt water and surrounding soil. Snow scavenging of two cVMS, octamethylcyclotetrasiloxane (D4) and decamethylcyclopentasiloxane (D5), was examined in two steps. First, sorption and desorption of D4 and D5 on snowflakes, including snow sorption coefficients (K-iA), were measured against a benchmark compound, cyclopentanone, at different temperatures from 0 to-20 degrees C. Measurements were made using a custom-made snow chamber and C-14-labeled D4 and D5. In addition, the transfer of snow-bound cVMS to snowmelt water and surrounding soil was studied with C-14-D4 and C-14-D5-spiked snowpack placed both in a closed snow chamber and on top of a layer of frozen soil in an open chemical hood. KiA values measured in both sorption and desorption processes were very small (&lt;10(-2) m). They increased with decreasing temperature and were higher for the D5 compared to D4. The calculated gas scavenging of D4 and D5 was small because of the small KiA values, while particle scavenging of cVMS is predicted to be negligible due to their low octanol/air partition coefficients (K-OA). Most importantly, almost all C-14-D4 and C-14-D5 sorbed by a snowpack was lost during the snow melting process through re-volatilization and hydrolysis and became non-detectable in snow melt water. In short, the experimental measurements demonstrated that snow scavenging could not be a valid deposition mechanism for these volatile hydrophobic compounds.</t>
  </si>
  <si>
    <t>[Xu, Shihe; Vogel, Annette] Dow Chem Co USA, Toxicol &amp; Environm Res &amp; Consulting TERC, Midland, MI 48674 USA</t>
  </si>
  <si>
    <t>Dow Chemical Company</t>
  </si>
  <si>
    <t>Xu, SH (corresponding author), Dow Chem Co USA, Toxicol &amp; Environm Res &amp; Consulting TERC, Midland, MI 48674 USA.</t>
  </si>
  <si>
    <t>shihe.xu@dow.com</t>
  </si>
  <si>
    <t>Xu, Shihe/0000-0003-2528-7063</t>
  </si>
  <si>
    <t>Silicones Europe (CES)</t>
  </si>
  <si>
    <t>This project was sponsored by Silicones Europe (CES). We are grateful to Julie Miller for carrying out some of the experiments, to Gary Kozerski, Jaeshin Kim, Reinhard Gerhards, Rita Seston, Debra McNett, Wendy Koch and three anonymous reviewers for their review of our draft manuscript.</t>
  </si>
  <si>
    <t>10.1016/j.chemosphere.2021.131291</t>
  </si>
  <si>
    <t>WD2WI</t>
  </si>
  <si>
    <t>WOS:000704807200001</t>
  </si>
  <si>
    <t>Martins, CC; de Abreu-Mota, MA; do Nascimento, MG; Dauner, ALL; Lourenço, RA; Bícego, MC; Montone, RC</t>
  </si>
  <si>
    <t>Martins, Cesar C.; de Abreu-Mota, Michelle Alves; do Nascimento, Mylene Giseli; Dauner, Ana Lucia L.; Lourenco, Rafael Andre; Bicego, Marcia C.; Montone, Rosalinda C.</t>
  </si>
  <si>
    <t>Sources and depositional changes of aliphatic hydrocarbons recorded in sedimentary cores from Admiralty Bay, South Shetland Archipelago, Antarctica during last decades</t>
  </si>
  <si>
    <t>Sediments; n-Alkanes; Pristane; Phytane; Organic matter; Proxies; King George Island</t>
  </si>
  <si>
    <t>KING GEORGE ISLAND; POLYCYCLIC AROMATIC-HYDROCARBONS; ORGANIC-MATTER; MARINE-SEDIMENTS; FILDES PENINSULA; ANTHROPOGENIC HYDROCARBONS; BIOGENIC HYDROCARBONS; LIPID GEOCHEMISTRY; SURFACE SEDIMENTS; POTTER COVE</t>
  </si>
  <si>
    <t>Organic biomarkers, as aliphatic hydrocarbons, arc present in sedimentary organic matter and have been largely applied to the evaluation of recent environmental changes in the marine environment around the globe, including the Antarctic continent. Five sediment cores were taken in the Admiralty Bay, South Shetland Archipelago, Antarctica to evaluate changes in the signature of aliphatic hydrocarbons such as n-alkanes (n-C-10 to n-C-40) and isoprenoids as pristane and phytane, over the last decades. The total n-alkanes concentration ranged from 0.17 to 1.67 mu g g(-1) (mean = 0.74 +/- 0.42) which is considered low and similar to pristine sediments. Aliphatic hydrocarbons present in the sedimentary pool came mostly from terrestrial sources as Antarctic lichens and mosses, and from marine sources as the macroalgae forest debris and emergent macrophytes. Anthropogenic inputs of aliphatic hydrocarbons (e.g., petroleum and their by-products) may be neglected based on the multiproxy approach used to distinct sources of these organic compounds. In general, no significant changes in the sources of aliphatic hydrocarbons were observed along the sediment cores; however, an increased aliphatic hydrocarbons input registered between 1975 and 1992 may be related to the increase in meltwater runoff and the relatively high abundance of marine producers more adapted to increased sea temperatures. (C) 2021 Elsevier B.V. All rights reserved.</t>
  </si>
  <si>
    <t>[Martins, Cesar C.; de Abreu-Mota, Michelle Alves; do Nascimento, Mylene Giseli; Dauner, Ana Lucia L.] Univ Fed Parana, Ctr Estudos Mar, Campus Pontal do Parana,Caixa Postal 61, BR-8325976 Pontal Do Parana, PR, Brazil; [Lourenco, Rafael Andre; Bicego, Marcia C.; Montone, Rosalinda C.] Univ Sao Paulo, Inst Oceanog, Praca Oceanog 191, BR-05508900 Sao Paulo, SP, Brazil; [Dauner, Ana Lucia L.] Univ Helsinki, Environm Change Res Unit ECRU, Ecosyst &amp; Environm Res Programme, Fac Biol &amp; Environm Sci, POB 65, Helsinki 00014, Finland</t>
  </si>
  <si>
    <t>Universidade Federal do Parana; Universidade de Sao Paulo; University of Helsinki</t>
  </si>
  <si>
    <t>Martins, CC (corresponding author), Univ Fed Parana, Ctr Estudos Mar, Campus Pontal do Parana,Caixa Postal 61, BR-8325976 Pontal Do Parana, PR, Brazil.</t>
  </si>
  <si>
    <t>ccmart@ufpr.br</t>
  </si>
  <si>
    <t>Abreu-Mota, Michelle/J-6994-2014; Bicego, Marcia C/D-1996-2013; Lourenço, Rafael André/I-7041-2015; Lourenço, Rafael/IZD-8070-2023; Montone, Rosalinda C/J-9110-2012</t>
  </si>
  <si>
    <t>Abreu-Mota, Michelle/0000-0001-7177-4095; Lourenço, Rafael André/0000-0002-1446-5074; de Castro Martins, Cesar/0000-0002-2515-5565; Dauner, Ana Lucia/0000-0002-9686-6241</t>
  </si>
  <si>
    <t>Antarctic Brazilian Program (PROANTAR); National Council for Research and Development (CNPq) [550014/2007-1, 574018/2008-5, 442692/2018-8]; CNPq [308136/2020-9]; CoordenacAo de Aperfeicoamento de Pessoal de Ensino Superior (CAPES) [88887.362846/2019-00]; DTI scholarship (CNPq); CNPq; CAPES; Brazilian Ministry of Science, Technology and Innovation</t>
  </si>
  <si>
    <t>Antarctic Brazilian Program (PROANTAR); National Council for Research and Development (CNPq)(Conselho Nacional de Desenvolvimento Cientifico e Tecnologico (CNPQ)); CNPq(Conselho Nacional de Desenvolvimento Cientifico e Tecnologico (CNPQ)); CoordenacAo de Aperfeicoamento de Pessoal de Ensino Superior (CAPES)(Coordenacao de Aperfeicoamento de Pessoal de Nivel Superior (CAPES)); DTI scholarship (CNPq); CNPq(Conselho Nacional de Desenvolvimento Cientifico e Tecnologico (CNPQ)); CAPES(Coordenacao de Aperfeicoamento de Pessoal de Nivel Superior (CAPES)); Brazilian Ministry of Science, Technology and Innovation</t>
  </si>
  <si>
    <t>The work was supported by the Antarctic Brazilian Program (PROANTAR) and National Council for Research and Development (CNPq, 550014/2007-1, 574018/2008-5 and 442692/2018-8) . R.A. Lourenco was also granted by CNPq (308136/2020-9) . A.L.L. Dauner would like to thank CoordenacAo de Aperfeicoamento de Pessoal de Ensino Superior) for the scholarship support (CAPES, 88887.362846/2019-00) . M.G. Nascimento and M.A. Abreu-Mota thanks for the DTI scholarship (CNPq) . The authors wish to thank the Brazilian Antarctic Station staff for their support during the sampling program. Finally, this work is part of CARBMET project (The multiple faces of organic CARBon and METals in the sub-Antarctic ecosystem) sponsored by CNPq, CAPES and Brazilian Ministry of Science, Technology and Innovation, and contributed to the National Institute of Science and Technology Antarctic Environmental Research (INCT-APA) .</t>
  </si>
  <si>
    <t>NOV 15</t>
  </si>
  <si>
    <t>10.1016/j.scitotenv.2021.148881</t>
  </si>
  <si>
    <t>UP2MT</t>
  </si>
  <si>
    <t>WOS:000695219600006</t>
  </si>
  <si>
    <t>Panaretos, P; Albert, PG; Thomas, ZA; Turney, CSM; Stern, CR; Jones, G; Williams, AN; Smith, VC; Hogg, AG; Manning, CJ</t>
  </si>
  <si>
    <t>Panaretos, Panayiotis; Albert, Paul G.; Thomas, Zoe A.; Turney, Chris S. M.; Stern, Charles R.; Jones, Gwydion; Williams, Alan N.; Smith, Victoria C.; Hogg, Alan G.; Manning, Christina J.</t>
  </si>
  <si>
    <t>Distal ash fall from the mid-Holocene eruption of Mount Hudson (H2) discovered in the Falkland Islands: New possibilities for Southern Hemisphere archive synchronisation</t>
  </si>
  <si>
    <t>South America; Cryptotephra; Tephrochronology; Patagonia; Southern volcanic zone; Hudson; South Atlantic; Southern Ocean; Antarctic</t>
  </si>
  <si>
    <t>HOLOCENE TEPHROCHRONOLOGY; EXPLOSIVE ERUPTIONS; VOLCANIC-ROCKS; TEPHRA; PATAGONIA; CHILE; AGE; RADIOCARBON; RECORD; TEPHROSTRATIGRAPHY</t>
  </si>
  <si>
    <t>Cryptotephra deposits (microscopic volcanic ash) are important geochronological tools that can be used to synchronize records of past environmental change. Here we report a distal cryptotephra from a Holocene peat sequence (Canopus Hill) in the Falkland Islands, in the South Atlantic. Using geochemical analysis (major- and trace-element) of individual volcanic glass shards, we provide a robust correlation between this cryptotephra and the large mid-Holocene explosive eruption of Mt. Hudson in Patagonia, Chile (H2; similar to 3.9 ka cal BP). The occurrence of H2 as a cryptotephra in the Falkland Islands significantly increases the known distribution of this marker horizon to more than 1200 km from the volcano, a threefold increase of its previous known extent. A high-resolution radiocarbon chronology, based on terrestrial plant macrofossils, dates the H2 tephra to 4265 +/- 65 cal yr BP, suggesting that the eruption may have occurred slightly earlier than previously reported. The refined age and new geochemical reference dataset will facilitate the identification of the H2 tephra in other distal locations. The high concentration of glass shards in our peat sequence indicates that the H2 tephra may extend well beyond the Falkland Islands and we recommend future studies search for its presence across the sub-Antarctic islands and Antarctic Peninsula as a potentially useful chronological marker. Crown Copyright (C) 2021 Published by Elsevier Ltd. All rights reserved.</t>
  </si>
  <si>
    <t>[Panaretos, Panayiotis; Thomas, Zoe A.; Turney, Chris S. M.] Univ New South Wales, Mark Wainwright Analyt Ctr, Chronos 14 Carbon Cycle Facil, Sydney, NSW 2052, Australia; [Panaretos, Panayiotis; Thomas, Zoe A.; Turney, Chris S. M.] Univ New South Wales, Earth &amp; Sustainabil Sci Res Ctr ESSRC, Sch Biol Earth &amp; Environm Sci, Sydney, NSW 2052, Australia; [Albert, Paul G.; Jones, Gwydion] Swansea Univ, Fac Sci &amp; Engn, Dept Geog, Swansea SA2 8PP, W Glam, Wales; [Stern, Charles R.] Univ Colorado, Dept Geol Sci, Boulder, CO 80309 USA; [Williams, Alan N.] EMM Consulting Pty Ltd, 20 Chandos St, St Leonards, NSW 2065, Australia; [Williams, Alan N.] Univ New South Wales, ARC Ctr Excellence Australian Biodivers &amp; Heritag, Sch Biol Earth &amp; Environm Sci, Sydney, NSW 2052, Australia; [Smith, Victoria C.] Univ Oxford, Res Lab Archaeol &amp; Hist Art RLAHA, Oxford OX1 3TG, England; [Hogg, Alan G.] Univ Waikato, Sch Sci, Carbon Dating Lab, Hamilton, New Zealand; [Manning, Christina J.] Royal Holloway Univ London, Dept Earth Sci, Egham TW20 0EX, Surrey, England</t>
  </si>
  <si>
    <t>University of New South Wales Sydney; University of New South Wales Sydney; Swansea University; University of Colorado System; University of Colorado Boulder; University of New South Wales Sydney; University of Oxford; University of Waikato; University of London; Royal Holloway University London</t>
  </si>
  <si>
    <t>Panaretos, P; Thomas, ZA (corresponding author), Univ New South Wales, Mark Wainwright Analyt Ctr, Chronos 14 Carbon Cycle Facil, Sydney, NSW 2052, Australia.</t>
  </si>
  <si>
    <t>pana.panaretos@gmail.com; z.thomas@unsw.edu.au</t>
  </si>
  <si>
    <t>Manning, Christina J/C-1135-2013; Hogg, Alan G/M-8427-2014; Thomas, Zoë A/D-1656-2016; Turney, Chris S M/P-8701-2018; Smith, Victoria C/P-6317-2016</t>
  </si>
  <si>
    <t>Smith, Victoria/0000-0003-0878-5060; Williams, Alan/0000-0003-4133-4229; Panaretos, Panayiotis/0000-0001-5734-0741; Albert, Paul/0000-0002-6757-1452</t>
  </si>
  <si>
    <t>Australian Research Council [DE200100907, DP130104156]; UNSW Summer Vacation Research Scholarship; UK Research and Innovation Future Leaders Fellowship [MR/S035478/1]; Australian Research Council [DE200100907] Funding Source: Australian Research Council; FLF [MR/S035478/1] Funding Source: UKRI</t>
  </si>
  <si>
    <t>Australian Research Council(Australian Research Council); UNSW Summer Vacation Research Scholarship; UK Research and Innovation Future Leaders Fellowship(UK Research &amp; Innovation (UKRI)); Australian Research Council(Australian Research Council); FLF</t>
  </si>
  <si>
    <t>This project was supported by the Australian Research Council (grant no. DE200100907 and DP130104156). P. Panaretos was supported by a UNSW Summer Vacation Research Scholarship. P.G.A and G.J are funded through a UK Research and Innovation Future Leaders Fellowship (MR/S035478/1). We thank Rebecca Smith for providing constructive comments on an earlier version of this manuscript. We thank the Falkland Islands Government for permission to undertake sampling on the island (permit number: R07/2011).</t>
  </si>
  <si>
    <t>10.1016/j.quascirev.2021.107074</t>
  </si>
  <si>
    <t>WOS:000694899400011</t>
  </si>
  <si>
    <t>Minowa, M; Sugiyama, S; Ito, M; Yamane, S; Aoki, S</t>
  </si>
  <si>
    <t>Minowa, Masahiro; Sugiyama, Shin; Ito, Masato; Yamane, Shiori; Aoki, Shigeru</t>
  </si>
  <si>
    <t>Thermohaline structure and circulation beneath the Langhovde Glacier ice shelf in East Antarctica</t>
  </si>
  <si>
    <t>SURFACE-WATER BENEATH; PINE ISLAND GLACIER; LUTZOW-HOLM BAY; MELT RATES; SEA-ICE; OCEAN; DRIVEN; ELEVATION</t>
  </si>
  <si>
    <t>Basal melting of ice shelves is considered to be the principal driver of recent ice mass loss in Antarctica. Nevertheless, in-situ oceanic data covering the extensive areas of a subshelf cavity are sparse. Here we show comprehensive structures of temperature, salinity and current measured in January 2018 through four boreholes drilled at a similar to 3-km-long ice shelf of Langhovde Glacier in East Antarctica. The measurements were performed in 302-12m-thick ocean cavity beneath 234-412m-thick ice shelf. The data indicate that Modified Warm Deep Water is transported into the grounding zone beneath a stratified buoyant plume. Water at the ice-ocean interface was warmer than the in-situ freezing point by 0.65-0.95 degrees C, leading to a mean basal melt rate estimate of 1.42ma(-1). Our measurements indicate the existence of a density-driven water circulation in the cavity beneath the ice shelf of Langhovde Glacier, similar to that proposed for warm-ocean cavities of larger Antarctic ice shelves. Basal melting of ice shelves is the principal driver of recent ice mass loss in Antarctica. The study reports comprehensive structures of temperature, salinity and current under an ice shelf in East Antarctica obtained by borehole measurements.</t>
  </si>
  <si>
    <t>[Minowa, Masahiro; Sugiyama, Shin; Ito, Masato; Yamane, Shiori; Aoki, Shigeru] Hokkaido Univ, Inst Low Temp Sci, Sapporo, Hokkaido, Japan; [Ito, Masato] Japan Agcy Marine Earth Sci &amp; Technol, Yokosuka, Kanagawa, Japan</t>
  </si>
  <si>
    <t>Hokkaido University; Japan Agency for Marine-Earth Science &amp; Technology (JAMSTEC)</t>
  </si>
  <si>
    <t>Minowa, M (corresponding author), Hokkaido Univ, Inst Low Temp Sci, Sapporo, Hokkaido, Japan.</t>
  </si>
  <si>
    <t>minowa.masahiro@gmail.com</t>
  </si>
  <si>
    <t>Minowa, Masahiro/AAX-1280-2021; Sugiyama, Shin/C-2511-2012</t>
  </si>
  <si>
    <t>Minowa, Masahiro/0000-0003-2667-9798;</t>
  </si>
  <si>
    <t>Research of Ocean-ice BOundary InTeraction and Change around Antarctica (ROBOTICA) project under the JARE framework; JSPS [JP17H06316, 201860152, JP20J00526]; Grants-in-Aid for Scientific Research [20H00186] Funding Source: KAKEN</t>
  </si>
  <si>
    <t>Research of Ocean-ice BOundary InTeraction and Change around Antarctica (ROBOTICA) project under the JARE framework;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</si>
  <si>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Takeshi Tamura for logistical support and Daisuke Hirano for data discussion. Thanks are also due to the 58th and 59th Japanese Antarctic Research Expedition (JARE) members for their support of the field activities. Drilling equipment was constructed in the Institute of Low Temperature Science workshop at Hokkaido University. This research was supported by the Research of Ocean-ice BOundary InTeraction and Change around Antarctica (ROBOTICA) project under the JARE framework, and by JSPS Grant-in-Aid for Scientific Research on Innovative Areas (JP17H06316). M.M. was supported by JSPS as an Overseas Research Fellow (#201860152) and by Grant-in-Aid for JSPS Fellows (JP20J00526). CTD data were processed with the Gibbs SeaWater Oceanographic Toolbox of TEOS-10 (http://www.teos-10.org). The Pleiades stereo-pair used in this study was provided by the Pleiades Glacier Observatory initiative of the French Space Agency (CNES).</t>
  </si>
  <si>
    <t>JUL 9</t>
  </si>
  <si>
    <t>10.1038/s41467-021-23534-w</t>
  </si>
  <si>
    <t>TK9PO</t>
  </si>
  <si>
    <t>WOS:000674487100008</t>
  </si>
  <si>
    <t>Kida, M; Fujitake, N; Kojima, T; Tanabe, Y; Hayashi, K; Kudoh, S; Dittmar, T</t>
  </si>
  <si>
    <t>Kida, Morimaru; Fujitake, Nobuhide; Kojima, Taichi; Tanabe, Yukiko; Hayashi, Kentaro; Kudoh, Sakae; Dittmar, Thorsten</t>
  </si>
  <si>
    <t>Dissolved Organic Matter Processing in Pristine Antarctic Streams</t>
  </si>
  <si>
    <t>DOM; microbial processing; glacial; stream; FT-ICR MS; NMR; EEM; PARAFAC</t>
  </si>
  <si>
    <t>GLOBAL DISTRIBUTION; NATURAL-ABUNDANCE; MOLECULAR-WEIGHT; GLACIAL ICE; SOYA COAST; SPECTROSCOPY; H-1-NMR; CARBON; ACIDS; LAKES</t>
  </si>
  <si>
    <t>Accelerated glacier melt and runoff may lead to inputs of labile dissolved organic matter (DOM) to downstream ecosystems and stimulate the associated biogeochemical processes. However, still little is known about glacial DOM composition and its downstream processing before entering the ocean, although the function of DOM in food webs and ecosystems largely depends on its composition. Here, we employ a set of molecular and optical techniques (UV-vis absorption and fluorescence spectroscopy, H-1 NMR, and ultrahigh-resolution mass spectrometry) to elucidate the composition of DOM in Antarctic glacial streams and its downstream change. Glacial DOM consisted largely of a mixture of small microbial-derived biomolecules. H-1 NMR analysis of bulk water revealed that these small molecules were processed downstream into more complex, structurally unrecognizable molecules. The extent of processing varied between streams. By applying multivariate statistical (compositional data) analysis of the DOM molecular data, we identified molecular compounds that were tightly associated and moved in parallel in the glacial streams. Lakes in the middle of the flow paths enhanced water residence time and allowed for both more DOM processing and production. In conclusion, downstream processing of glacial DOM is substantial in Antarctica and affects the amounts of biologically labile substrates that enter the ocean.</t>
  </si>
  <si>
    <t>[Fujitake, Nobuhide; Kojima, Taichi] Kobe Univ, Grad Sch Agr Sci, Soil Sci Lab, Kobe, Hyogo 6578501, Japan; [Tanabe, Yukiko; Kudoh, Sakae] Res Org Informat &amp; Syst, Natl Inst Polar Res, Tokyo 1908518, Japan; [Tanabe, Yukiko; Kudoh, Sakae] SOKENDAI Grad Univ Adv Studies, Dept Polar Sci, Tokyo 1908518, Japan; [Hayashi, Kentaro] NARO, Inst Agroenvironm Sci, Tsukuba, Ibaraki 3058604, Japan; [Kida, Morimaru; Dittmar, Thorsten] Carl von Ossietzky Univ Oldenburg, Inst Chem &amp; Biol Marine Environm ICBM, ICBM MPI Bridging Grp, Res Grp Marine Geochem, D-26129 Oldenburg, Germany; [Kida, Morimaru] Kobe Univ, Grad Sch Agr Sci, Soil Sci Lab, Nada Ku, Kobe, Hyogo 6578501, Japan; [Dittmar, Thorsten] Carl von Ossietzky Univ Oldenburg, Helmholtz Inst Funct Marine Biodivers HIFMB, D-26129 Oldenburg, Germany</t>
  </si>
  <si>
    <t>Kobe University; Research Organization of Information &amp; Systems (ROIS); National Institute of Polar Research (NIPR) - Japan; Graduate University for Advanced Studies - Japan; National Agriculture &amp; Food Research Organization - Japan; Carl von Ossietzky Universitat Oldenburg; Kobe University; Carl von Ossietzky Universitat Oldenburg</t>
  </si>
  <si>
    <t>Fujitake, N (corresponding author), Kobe Univ, Grad Sch Agr Sci, Soil Sci Lab, Kobe, Hyogo 6578501, Japan.;Kida, M; Dittmar, T (corresponding author), Carl von Ossietzky Univ Oldenburg, Inst Chem &amp; Biol Marine Environm ICBM, ICBM MPI Bridging Grp, Res Grp Marine Geochem, D-26129 Oldenburg, Germany.;Kida, M (corresponding author), Kobe Univ, Grad Sch Agr Sci, Soil Sci Lab, Nada Ku, Kobe, Hyogo 6578501, Japan.;Dittmar, T (corresponding author), Carl von Ossietzky Univ Oldenburg, Helmholtz Inst Funct Marine Biodivers HIFMB, D-26129 Oldenburg, Germany.</t>
  </si>
  <si>
    <t>morimaru.kida@uni-oldenburg.de; fujitake@kobe-u.ac.jp; thorsten.dittmar@uni-oldenburg.de</t>
  </si>
  <si>
    <t>Dittmar, Thorsten/L-7796-2013</t>
  </si>
  <si>
    <t>Dittmar, Thorsten/0000-0002-3462-0107; Kida, Morimaru/0000-0002-9908-2012</t>
  </si>
  <si>
    <t>JSPS KAKENHI [16H05885]; [201960090]; Grants-in-Aid for Scientific Research [16H05885, 20H04307] Funding Source: KAKEN</t>
  </si>
  <si>
    <t>JSPS KAKENHI(Ministry of Education, Culture, Sports, Science and Technology, Japan (MEXT)Japan Society for the Promotion of ScienceGrants-in-Aid for Scientific Research (KAKENHI)); ; Grants-in-Aid for Scientific Research(Ministry of Education, Culture, Sports, Science and Technology, Japan (MEXT)Japan Society for the Promotion of ScienceGrants-in-Aid for Scientific Research (KAKENHI))</t>
  </si>
  <si>
    <t>We are indebted to all those who provided essential logistical support in the field during the 58th Japanese Antarctic Research Expedition. Discussion with Juan Jose Egozcue (Universitat Polite`cnica de Catalunya) and Vera PawlowskyGlahn (Universitat de Girona) greatly helped our understanding of compositional data analysis. We are also thankful to Matthias Friebe, Katrin Klaproth, and Ina Ulber (University of Oldenburg) for technical assistance. This study was financially supported by JSPS KAKENHI 16H05885 and grant-in-aid for JSPS Overseas Research Fellow (201960090). The authors declare no competing financial interest. DOM molecular composition data by FT-ICR MS are available at PANGAEA (https://doi.org/10.1594/PANGAEA.931814).</t>
  </si>
  <si>
    <t>10.1021/acs.est.1c03163</t>
  </si>
  <si>
    <t>TP3GS</t>
  </si>
  <si>
    <t>WOS:000677482500076</t>
  </si>
  <si>
    <t>Michael, SA; Hayman, DTS; Gray, R; Roe, WD</t>
  </si>
  <si>
    <t>Michael, Sarah A.; Hayman, David T. S.; Gray, Rachael; Roe, Wendi D.</t>
  </si>
  <si>
    <t>Risk Factors for New Zealand Sea Lion (Phocarctos hookeri) Pup Mortality: Ivermectin Improves Survival for Conservation Management</t>
  </si>
  <si>
    <t>case-control study; ivermectin; Klebsiella pneumoniae; pinniped; risk factor; hypervirulent</t>
  </si>
  <si>
    <t>KLEBSIELLA-PNEUMONIAE EPIDEMICS; AUCKLAND ISLANDS; CALLORHINUS-URSINUS; HOOKWORM INFECTION; UNCINARIA SPP.; ENDERBY ISLAND; SANDY BAY; CALIFORNIA; GROWTH</t>
  </si>
  <si>
    <t>Septicaemia due to hypervirulent (HV) Klebsiella pneumoniae is the leading cause of neonatal pup mortality in endangered New Zealand sea lions (Phocarctos hookeri) at Enderby Island, in the New Zealand sub-Antarctic. Accounting for approximately 60% of annual pup mortality at this site following an epizootic event in 2001-02, HV K. pneumoniae is also emerging worldwide as a significant community-acquired human pathogen. To facilitate efficient direct mitigation to reduce pup mortality, a case-control study and prospective cohort study were conducted to identify risk factors amenable to active management. Additionally, to investigate impacts of hookworm (Uncinaria spp.), a nested treatment trial with the anthelmintic ivermectin was undertaken concurrently. During two austral summer field seasons (2016-2018), 698 pups were captured for treatment trial recruitment and the collection of morphometric measurements, biological samples and risk factor data. Gastrointestinal carriage of the virulent phenotype of K. pneumoniae was a consistent risk factor, while ivermectin treatment and higher body condition index consistently reduced risk of HV K. pneumoniae mortality. Significantly fewer ivermectin-treated pups were found dead (24.1% control, 11.1% treatment), with a trend towards a higher proportion of HV K. pneumoniae deaths amongst the control group. This study provides evidence to support ivermectin treatment as a pup mortality mitigation strategy in New Zealand sea lions at Enderby Island. If applied to larger colonies where HV K. pneumoniae and hookworm impact pup survival, this intervention could have population-scale benefits for this endangered species. Further work is required to understand how ivermectin prevents HV K. pneumoniae septicaemia, but removal of hookworms before intestinal mucosal damage occurs could limit systemic spread of virulent bacteria from the gastrointestinal tract.</t>
  </si>
  <si>
    <t>[Michael, Sarah A.; Gray, Rachael] Univ Sydney, Fac Sci, Sydney Sch Vet Sci, Camperdown, NSW, Australia; [Michael, Sarah A.; Roe, Wendi D.] Massey Univ, Sch Vet Sci, Palmerston North, New Zealand; [Hayman, David T. S.] Massey Univ, Hopkirk Res Inst, Mol Epidemiol &amp; Publ Hlth Lab, Palmerston North, New Zealand; [Michael, Sarah A.] Dept Primary Ind Pk Water &amp; Environm, Hobart, Tas, Australia</t>
  </si>
  <si>
    <t>University of Sydney; Massey University; Massey University</t>
  </si>
  <si>
    <t>Michael, SA (corresponding author), Univ Sydney, Fac Sci, Sydney Sch Vet Sci, Camperdown, NSW, Australia.;Michael, SA (corresponding author), Massey Univ, Sch Vet Sci, Palmerston North, New Zealand.;Michael, SA (corresponding author), Dept Primary Ind Pk Water &amp; Environm, Hobart, Tas, Australia.</t>
  </si>
  <si>
    <t>sarah.a.michael@gmail.com</t>
  </si>
  <si>
    <t>roe, wendi d/K-4110-2012; Fuentes, José/JZT-9323-2024</t>
  </si>
  <si>
    <t>Michael, Sarah/0000-0002-7176-0774</t>
  </si>
  <si>
    <t>Massey University; New Zealand Department of Conservation, New Zealand Sea Lion Threat Management Plan [SC1999]; University of Sydney [SC0912]; Royal Society Te Aparangi Rutherford Discovery Fellowship [RDF-MAU1701]; Wildlife Disease Association Student Scholarship Award</t>
  </si>
  <si>
    <t>Massey University; New Zealand Department of Conservation, New Zealand Sea Lion Threat Management Plan; University of Sydney(University of Sydney); Royal Society Te Aparangi Rutherford Discovery Fellowship(Royal Society of New Zealand); Wildlife Disease Association Student Scholarship Award</t>
  </si>
  <si>
    <t>This work was supported by Massey University and the New Zealand Department of Conservation as part of the New Zealand Sea Lion Threat Management Plan. SM was supported by a Research Training Program Stipend (SC1999) and a University of Sydney Vice-Chancellor's Research Scholarship (SC0912). DH was supported by the Royal Society Te Aparangi Rutherford Discovery Fellowship (RDF-MAU1701). Open access publication fees were contributed by SSVS, The University of Sydney; Massey University and the Wildlife Disease Association Student Scholarship Award received by SM. The funders had no role in collection, analysis or interpretation of data, in the writing of the report or the decision to submit the article for publication.</t>
  </si>
  <si>
    <t>10.3389/fmars.2021.680678</t>
  </si>
  <si>
    <t>TP5QD</t>
  </si>
  <si>
    <t>WOS:000677653200001</t>
  </si>
  <si>
    <t>Richardson, K; Hardesty, BD; Vince, JZ; Wilcox, C</t>
  </si>
  <si>
    <t>Richardson, Kelsey; Hardesty, Britta Denise; Vince, Joanna Zofia; Wilcox, Chris</t>
  </si>
  <si>
    <t>Global Causes, Drivers, and Prevention Measures for Lost Fishing Gear</t>
  </si>
  <si>
    <t>abandoned lost or otherwise discarded fishing gear; derelict fishing gear; fisheries management; ghostfishing; marine debris; marine litter; plastic pollution; sustainable fisheries</t>
  </si>
  <si>
    <t>GHOST; LITTER; ENTANGLEMENT; DISPERSAL; FISHERIES; LOSSES; FUTURE; NETS</t>
  </si>
  <si>
    <t>Abandoned, Lost or otherwise discarded fishing gear (ALDFG) comprises a significant part of global marine plastic pollution, with adverse consequences for fishers, the seafood industry, and marine wildlife and habitats. To effectively prevent and reduce ALDFG at source, an understanding of the major causes of and drivers behind fishing gear losses is required. We interviewed 451 fishers from seven countries around the world (Belize, Iceland, Indonesia, Morocco, New Zealand, Peru, and the United States of America) representing five key fishing gear types (gillnets, purse seine nets, trawl nets, longlines, and pots and traps) about why and under what circumstances they lose their gear. We also asked them their views on the most effective interventions to reduce gear losses. Across all major gear types and countries where interviews were undertaken, bad weather was the most common cause of gear loss, followed by interactions with wildlife (identified as a cause for loss by 81% and 65% of all fishers interviewed, respectively). Snagging gear on a bottom obstruction was a major cause of loss for gears that contact the seafloor, along with conflicts with other fishers, often via gear and vessel interactions, for gillnet and pot and trap fishers. Operational and behavioral characteristics such as gear type, trip length, and the party responsible to pay for gear repairs and replacements all significantly influenced gear losses. Gear maintenance was the most effective gear loss prevention measure across all gear types and countries reported by fishers, followed by training crew in gear management (identified as an effective prevention measure by 95% and 82% of all fishers interviewed, respectively). Actions available to fishers, managers and port operators to effectively prevent fishing gear losses include: gear maintenance; reducing active gear interactions with wildlife; reducing financial and administrative burdens for port reception facilities; reducing trip lengths; and targeting education and gear stewardship programs to fishers with limited ALDFG awareness, particularly those in low income fisheries and countries.</t>
  </si>
  <si>
    <t>[Richardson, Kelsey; Hardesty, Britta Denise; Wilcox, Chris] CSIRO, Hobart, Tas, Australia; [Richardson, Kelsey; Hardesty, Britta Denise; Vince, Joanna Zofia; Wilcox, Chris] Univ Tasmania, Coll Sci &amp; Engn, Ctr Marine Socioecol, Inst Marine &amp; Antarctic Sndies, Hobart, Tas, Australia; [Richardson, Kelsey; Vince, Joanna Zofia] Univ Tasmania, Coll Arts Law &amp; Educ, Sch Social Sci, Hobart, Tas, Australia</t>
  </si>
  <si>
    <t>Commonwealth Scientific &amp; Industrial Research Organisation (CSIRO); University of Tasmania; University of Tasmania</t>
  </si>
  <si>
    <t>Richardson, K (corresponding author), CSIRO, Hobart, Tas, Australia.;Richardson, K (corresponding author), Univ Tasmania, Coll Sci &amp; Engn, Ctr Marine Socioecol, Inst Marine &amp; Antarctic Sndies, Hobart, Tas, Australia.</t>
  </si>
  <si>
    <t>kelsey.richardson@csiro.au</t>
  </si>
  <si>
    <t>Vince, Joanna Zofia/J-7465-2014; Hardesty, Britta Denise/A-3189-2011</t>
  </si>
  <si>
    <t>Vince, Joanna Zofia/0000-0002-4469-7634;</t>
  </si>
  <si>
    <t>CSIRO Oceans and Atmosphere and University of Tasmania</t>
  </si>
  <si>
    <t>This work was funded by CSIRO Oceans and Atmosphere and University of Tasmania.</t>
  </si>
  <si>
    <t>10.3389/fmars.2021.690447</t>
  </si>
  <si>
    <t>TP5PH</t>
  </si>
  <si>
    <t>WOS:000677651000001</t>
  </si>
  <si>
    <t>Priestley, RK; Heine, Z; Milfont, TL</t>
  </si>
  <si>
    <t>Priestley, Rebecca K.; Heine, Zoe; Milfont, Taciano L.</t>
  </si>
  <si>
    <t>Public understanding of climate change-related sea-level rise</t>
  </si>
  <si>
    <t>SCIENCE; KNOWLEDGE; ATTITUDES; DYNAMICS; BELIEFS; DEFICIT</t>
  </si>
  <si>
    <t>Sea-level rise resulting from climate change is impacting coasts around the planet. There is strong scientific consensus about the amount of sea-level rise to 2050 (0.24-0.32 m) and a range of projections to 2100, which vary depending on the approach used and the mitigation measures taken to reduce carbon emissions. Despite this strong scientific consensus regarding the reality of climate change-related sea-level rise, and the associated need to engage publics in adaptation and mitigation efforts, there is a lack of empirical evidence regarding people's understanding of the issue. Here we investigate public understanding of the amount, rate and causes of sea-level rise. Data from a representative sample of New Zealand adults showed a suprising tendency for the public to overestimate the scientifically plausible amount of sea-level rise by 2100 and to identify melting sea ice as its primary causal mechanism. These findings will be valuable for scientists communicating about sea-level rise, communicators seeking to engage publics on the issue of sea-level rise, and media reporting on sea-level rise.</t>
  </si>
  <si>
    <t>[Priestley, Rebecca K.; Heine, Zoe] Victoria Univ Wellington, Ctr Sci Soc, Wellington, New Zealand; [Milfont, Taciano L.] Univ Waikato, Sch Psychol, Tauranga, New Zealand</t>
  </si>
  <si>
    <t>Victoria University Wellington; University of Waikato</t>
  </si>
  <si>
    <t>Priestley, RK (corresponding author), Victoria Univ Wellington, Ctr Sci Soc, Wellington, New Zealand.</t>
  </si>
  <si>
    <t>rebecca.priestley@vuw.ac.nz</t>
  </si>
  <si>
    <t>Milfont, Taciano L/GCA-0840-2022</t>
  </si>
  <si>
    <t>Milfont, Taciano L/0000-0001-6838-6307; Priestley, Rebecca/0000-0001-6390-5059</t>
  </si>
  <si>
    <t>New Zealand Ministry of Business, Innovation, and Employment Grant through Victoria University of Wellington [RTUV1705]; Victoria University of Wellington sabbatical [222992]</t>
  </si>
  <si>
    <t>New Zealand Ministry of Business, Innovation, and Employment Grant through Victoria University of Wellington; Victoria University of Wellington sabbatical</t>
  </si>
  <si>
    <t>RKP and ZH: Supported by New Zealand Ministry of Business, Innovation, and Employment Grant through Victoria University of Wellington (RTUV1705), NZ SeaRise Programme administered by the Antarctic Research Centre. LM: Victoria University of Wellington sabbatical (222992). The funders had no role in study design, data collection and analysis, decision to publish, or preparation of the manuscript.</t>
  </si>
  <si>
    <t>e0254348</t>
  </si>
  <si>
    <t>10.1371/journal.pone.0254348</t>
  </si>
  <si>
    <t>TK6YI</t>
  </si>
  <si>
    <t>WOS:000674301400142</t>
  </si>
  <si>
    <t>López-López, L; Genner, MJ; Tarling, GA; Saunders, RA; O'Gorman, EJ</t>
  </si>
  <si>
    <t>Lopez-Lopez, Lucia; Genner, Martin J.; Tarling, Geraint A.; Saunders, Ryan A.; O'Gorman, Eoin J.</t>
  </si>
  <si>
    <t>Ecological Networks in the Scotia Sea: Structural Changes Across Latitude and Depth</t>
  </si>
  <si>
    <t>ECOSYSTEMS</t>
  </si>
  <si>
    <t>Ecological network; Food web; Ecosystem structure; Pelagic; Southern Ocean; Scotia Sea</t>
  </si>
  <si>
    <t>FOOD-WEB STRUCTURE; ANTARCTIC CIRCUMPOLAR CURRENT; SOUTHERN-OCEAN; CLIMATE-CHANGE; ROBUSTNESS; PATTERNS; TROPHODYNAMICS; MYCTOPHIDAE; CONNECTANCE; ECOSYSTEM</t>
  </si>
  <si>
    <t>The Scotia Sea is a productive pelagic ecosystem in the Southern Ocean, which is rapidly changing as a consequence of global warming. Species range shifts are particularly evident, as sub-Antarctic species expand their range from North to South, potentially rearranging the structure of this ecosystem. Thus, studies are needed to determine the current extent of variation in food web structure between these two biogeographic regions of the Scotia Sea and to investigate whether the observed patterns are consistent among depth zones. We compiled a database of 10,888 feeding interactions among 228 pelagic taxa, underpinned by surveys and dietary studies conducted in the Scotia Sea. Network analysis indicated that the Northern Scotia Sea (NSS), relative to the Southern Scotia Sea (SSS), is more complex: with higher species richness (more nodes) and trophic interactions (more links) is more connected overall (greater connectance and linkage density). Moreover, the NSS is characterised by more groups of strongly interacting organisms (greater node clustering) than the SSS, suggesting a higher trophic specialisation of Antarctic compared to sub-Antarctic species. Depth also played a key role in structuring these networks, with higher mean trophic position and more dietary generalism in the mesopelagic and bathypelagic zones relative to the epipelagic zones. This suggests that direct access to primary producers is a key factor influencing the trophic structure of these communities. Our results suggest that under current levels of warming the SSS ecosystem will likely become more connected and less modular, resembling the current structure of the NSS.</t>
  </si>
  <si>
    <t>[Lopez-Lopez, Lucia] CSIC, Spanish Inst Oceanog IEO, Oceanog Ctr Balearic Isl, Ecosyst Oceanog Grp GRECO, Palma De Mallorca, Spain; [Lopez-Lopez, Lucia] Imperial Coll London, Dept Life Sci, Ascot, Berks, England; [Genner, Martin J.] Univ Bristol, Sch Biol Sci, Bristol BS8 1TQ, Avon, England; [Tarling, Geraint A.; Saunders, Ryan A.] British Antarctic Survey, Cambridge, England; [O'Gorman, Eoin J.] Univ Essex, Sch Life Sci, Colchester, Essex, England</t>
  </si>
  <si>
    <t>Consejo Superior de Investigaciones Cientificas (CSIC); Imperial College London; University of Bristol; UK Research &amp; Innovation (UKRI); Natural Environment Research Council (NERC); NERC British Antarctic Survey; University of Essex</t>
  </si>
  <si>
    <t>López-López, L (corresponding author), CSIC, Spanish Inst Oceanog IEO, Oceanog Ctr Balearic Isl, Ecosyst Oceanog Grp GRECO, Palma De Mallorca, Spain.;López-López, L (corresponding author), Imperial Coll London, Dept Life Sci, Ascot, Berks, England.</t>
  </si>
  <si>
    <t>lucia.lopez@ieo.es</t>
  </si>
  <si>
    <t>O'Gorman, Eoin J/I-6744-2012</t>
  </si>
  <si>
    <t>O'Gorman, Eoin J/0000-0003-4507-5690</t>
  </si>
  <si>
    <t>NERC Highlight Topic Grant [NE/N005937/1]; NERC Fellowship [NE/L011840/1]; NERC [NE/N005996/1, NE/N005937/1, NE/N00616X/1, NE/L011840/1, bas0100035] Funding Source: UKRI</t>
  </si>
  <si>
    <t>NERC Highlight Topic Grant; NERC Fellowship(UK Research &amp; Innovation (UKRI)Natural Environment Research Council (NERC)); NERC(UK Research &amp; Innovation (UKRI)Natural Environment Research Council (NERC))</t>
  </si>
  <si>
    <t>We are grateful to the SeaDNA project team for the fruitful discussions during the development of this work, particularly to Laura Balcells and Stefano Mariani. We are also thankful to Jennifer Dunne, Susanne Kortsch, Lawrence N. Hudson, and Richard J. Williams, who kindly responded to our queries regarding methods for network analyses. We also acknowledge the work of the British Antarctic Survey during the Discovery project and, generally, the work of marine polar ecologists over recent decades; without their dedicated research, studies like ours would simply not be possible. The work was supported by NERC Highlight Topic Grant NE/N005937/1, awarded to M.J.G. and E.J.O.G. and a NERC Fellowship (NE/L011840/1) awarded to E.J.O.G.</t>
  </si>
  <si>
    <t>1432-9840</t>
  </si>
  <si>
    <t>1435-0629</t>
  </si>
  <si>
    <t>Ecosystems</t>
  </si>
  <si>
    <t>10.1007/s10021-021-00665-1</t>
  </si>
  <si>
    <t>0L3LD</t>
  </si>
  <si>
    <t>Green Accepted, Green Submitted</t>
  </si>
  <si>
    <t>WOS:000672115000002</t>
  </si>
  <si>
    <t>Will, M; Krapp, M; Stock, JT; Manica, A</t>
  </si>
  <si>
    <t>Will, Manuel; Krapp, Mario; Stock, Jay T.; Manica, Andrea</t>
  </si>
  <si>
    <t>Different environmental variables predict body and brain size evolution in Homo</t>
  </si>
  <si>
    <t>CLIMATE; MASS; PROPORTIONS; ADAPTATIONS; HYPOTHESIS; LANGUAGE; DRIVERS</t>
  </si>
  <si>
    <t>Increasing body and brain size constitutes a key pattern in human evolution, but the mechanisms driving these changes remain debated. Using a large fossil dataset combined with global paleoclimatic reconstructions, the authors show that different environmental variables influenced the evolution of brain and body size in Homo. Increasing body and brain size constitutes a key macro-evolutionary pattern in the hominin lineage, yet the mechanisms behind these changes remain debated. Hypothesized drivers include environmental, demographic, social, dietary, and technological factors. Here we test the influence of environmental factors on the evolution of body and brain size in the genus Homo over the last one million years using a large fossil dataset combined with global paleoclimatic reconstructions and formalized hypotheses tested in a quantitative statistical framework. We identify temperature as a major predictor of body size variation within Homo, in accordance with Bergmann's rule. In contrast, net primary productivity of environments and long-term variability in precipitation correlate with brain size but explain low amounts of the observed variation. These associations are likely due to an indirect environmental influence on cognitive abilities and extinction probabilities. Most environmental factors that we test do not correspond with body and brain size evolution, pointing towards complex scenarios which underlie the evolution of key biological characteristics in later Homo.</t>
  </si>
  <si>
    <t>[Will, Manuel] Univ Tubingen, Dept Early Prehist &amp; Quaternary Ecol, Tubingen, Germany; [Krapp, Mario; Manica, Andrea] Univ Cambridge, Dept Zool, Evolutionary Ecol Grp, Cambridge, England; [Krapp, Mario] GNS Sci, Lower Hutt, New Zealand; [Stock, Jay T.] Western Univ, Dept Anthropol, London, ON, Canada; [Stock, Jay T.] Max Planck Inst Sci Human Hist, Dept Archaeol, Jena, Germany</t>
  </si>
  <si>
    <t>Eberhard Karls University of Tubingen; University of Cambridge; GNS Science - New Zealand; Western University (University of Western Ontario)</t>
  </si>
  <si>
    <t>Will, M (corresponding author), Univ Tubingen, Dept Early Prehist &amp; Quaternary Ecol, Tubingen, Germany.</t>
  </si>
  <si>
    <t>manuel.will@uni-tuebingen.de</t>
  </si>
  <si>
    <t>Krapp, Mario/AAB-9229-2020; Manica, Andrea/N-9013-2019; Stock, Jay/B-6453-2011</t>
  </si>
  <si>
    <t>Krapp, Mario/0000-0002-2599-0683; Manica, Andrea/0000-0003-1895-450X; Stock, Jay/0000-0003-0147-8631; Will, Manuel/0000-0001-8116-2543</t>
  </si>
  <si>
    <t>European Research Council (ERC) Consolidator Grant [647787]; ERC Consolidator Grant [617627]; Antarctic Science Platform [ANTA1801]; Open Access Publishing Fund of University of Tubingen; Projekt DEAL; European Research Council (ERC) [617627] Funding Source: European Research Council (ERC)</t>
  </si>
  <si>
    <t>European Research Council (ERC) Consolidator Grant(European Research Council (ERC)); ERC Consolidator Grant(European Research Council (ERC)); Antarctic Science Platform; Open Access Publishing Fund of University of Tubingen; Projekt DEAL; European Research Council (ERC)(European Research Council (ERC)Spanish Government)</t>
  </si>
  <si>
    <t>We thank C. Sommer and H. Pehnert for creating the interactive webmap of fossil specimens. J. Beier gave access to her literature database of (Upper) Paleolithic human remains that helped greatly in assigning chronometric ages for all fossils included in this study. This study was supported by a European Research Council (ERC) Consolidator Grant to AM (Local Adaptation, grant nr. 647787), an ERC Consolidator Grant to JTS (ADaPt, grant nr. 617627) and by funding of the Antarctic Science Platform to MK (ANTA1801). We acknowledge support by the Open Access Publishing Fund of University of Tubingen and by Projekt DEAL.</t>
  </si>
  <si>
    <t>JUL 8</t>
  </si>
  <si>
    <t>10.1038/s41467-021-24290-7</t>
  </si>
  <si>
    <t>UD6KB</t>
  </si>
  <si>
    <t>WOS:000687313000001</t>
  </si>
  <si>
    <t>Djoumna, G; Holland, DM</t>
  </si>
  <si>
    <t>Djoumna, G.; Holland, D. M.</t>
  </si>
  <si>
    <t>Atmospheric Rivers, Warm Air Intrusions, and Surface Radiation Balance in the Amundsen Sea Embayment</t>
  </si>
  <si>
    <t>atmospheric river; meteorological observations; numerical model; surface melting; surface radiation; warm air intrusion</t>
  </si>
  <si>
    <t>POLAR WEATHER RESEARCH; PINE ISLAND GLACIER; BOUNDARY-LAYER SIMULATIONS; FORECASTING WRF MODEL; MCMURDO DRY VALLEYS; ROSS ICE SHELF; GREENLAND ICE; WEST ANTARCTICA; CLIMATE VARIABILITY; LONGWAVE RADIATION</t>
  </si>
  <si>
    <t>Over recent decades the primary climatic forcing on the ice shelves in the Amundsen Sea Embayment (ASE) has been the influx of warm water into sub-ice-shelf ocean cavities. By contrast, the contribution of a globally warming atmosphere has been negligible but may play a more significant role in the future. Warm, moist air intrusions from the ocean onto the ice sheet surface play an essential role in the surface energy budget and constitute the primary driver for surface melting in West Antarctica. This study employs observations from automatic weather stations deployed on the Pine Island Glacier and numerical model outputs from the Antarctic Mesoscale Prediction System to investigate warm air intrusion (WAI) events and examine their impacts on surface glacier melt in the ASE. A deep low-pressure center over the Amundsen/Ross Seas and a blocking ridge over the southeast Pacific created favorable conditions for developing an atmospheric river that directs warm and moist air toward the ASE. An analysis of meteorological observations through 2013-2014 shows that 2013 received two times higher frequency WAI events than 2014. 2013 year coincides with more substantial pressure gradients in the western Ross Sea and the eastern Amundsen Sea. The February and March 2013 WAI events induce about 3 days of surface melting over the Pine Island Glacier and the Thurston Island area. A continued increase in the large-scale advection of warm air from the midlatitudes toward the ASE could lead to an increased surface melting frequency with implications for ice shelves in the study area. Key Points Warm air intrusion events over the Amundsen Sea Embayment are shown to be caused by the large-scale moisture advection associated with an atmospheric river 2013 experienced two times as higher frequency warm air intrusion events than 2014 due in part to stronger pressure gradients in the study area Warm air intrusion events cause about 3 days of surface melting over the Pine Island Glacier</t>
  </si>
  <si>
    <t>[Djoumna, G.; Holland, D. M.] New York Univ Abu Dhabi, Abu Dhabi, U Arab Emirates; [Holland, D. M.] NYU, Courant Inst Math Sci, New York, NY USA</t>
  </si>
  <si>
    <t>New York University Abu Dhabi; New York University</t>
  </si>
  <si>
    <t>Djoumna, G (corresponding author), New York Univ Abu Dhabi, Abu Dhabi, U Arab Emirates.</t>
  </si>
  <si>
    <t>gdjoumna@gmail.com</t>
  </si>
  <si>
    <t>Djoumna, Georges/0000-0002-1780-7543</t>
  </si>
  <si>
    <t>National Science Foundation Office of Polar Programs Grant [PLR-1739003]; NASA Polar Programs Grant [NNX08AN52G]; NYU Abu Dhabi Center for Global Sea Level Change Grant [G1204]; NASA [97611, NNX08AN52G] Funding Source: Federal RePORTER</t>
  </si>
  <si>
    <t>National Science Foundation Office of Polar Programs Grant; NASA Polar Programs Grant; NYU Abu Dhabi Center for Global Sea Level Change Grant; NASA(National Aeronautics &amp; Space Administration (NASA))</t>
  </si>
  <si>
    <t>This study was supported by grants from the National Science Foundation Office of Polar Programs Grant PLR-1739003, NASA Polar Programs Grant NNX08AN52G, and the NYU Abu Dhabi Center for Global Sea Level Change Grant G1204.</t>
  </si>
  <si>
    <t>e2020JD034119</t>
  </si>
  <si>
    <t>10.1029/2020JD034119</t>
  </si>
  <si>
    <t>WC3WD</t>
  </si>
  <si>
    <t>WOS:000704189400008</t>
  </si>
  <si>
    <t>Kahle, EC; Steig, EJ; Jones, TR; Fudge, TJ; Koutnik, MR; Morris, VA; Vaughn, BH; Schauer, AJ; Stevens, CM; Conway, H; Waddington, ED; Buizert, C; Epifanio, J; White, JWC</t>
  </si>
  <si>
    <t>Kahle, Emma C.; Steig, Eric J.; Jones, Tyler R.; Fudge, T. J.; Koutnik, Michelle R.; Morris, Valerie A.; Vaughn, Bruce H.; Schauer, Andrew J.; Stevens, C. Max; Conway, Howard; Waddington, Edwin D.; Buizert, Christo; Epifanio, Jenna; White, James W. C.</t>
  </si>
  <si>
    <t>Reconstruction of Temperature, Accumulation Rate, and Layer Thinning From an Ice Core at South Pole, Using a Statistical Inverse Method</t>
  </si>
  <si>
    <t>STABLE WATER ISOTOPES; DIFFUSION LENGTH; SP19 CHRONOLOGY; WEST ANTARCTICA; CLIMATE-CHANGE; GAS-TRANSPORT; SIPLE DOME; FIRN; MODEL; GREENLAND</t>
  </si>
  <si>
    <t>Data from the South Pole ice core (SPC14) are used to constrain climate conditions and ice-flow-induced layer thinning for the last 54,000 years. Empirical constraints are obtained from the SPC14 ice and gas timescales, used to calculate annual-layer thickness and the gas-ice age difference (Delta age), and from high-resolution measurements of water isotopes, used to calculate the water-isotope diffusion length. Both Delta age and diffusion length depend on firn properties and therefore contain information about past temperature and snow-accumulation rate. A statistical inverse approach is used to obtain an ensemble of reconstructions of temperature, accumulation-rate, and thinning of annual layers in the ice sheet at the SPC14 site. The traditional water-isotope/temperature relationship is not used as a constraint; the results therefore provide an independent calibration of that relationship. The temperature reconstruction yields a glacial-interglacial temperature change of 6.7 1.0 degrees C at the South Pole. The sensitivity of delta O-18 to temperature is 0.99 0.03 degrees C-1, significantly greater than the spatial slope of 0.8 degrees C-1 that has been used previously to determine temperature changes from East Antarctic ice core records. The reconstructions of accumulation rate and ice thinning show millennial-scale variations in the thinning function as well as decreased thinning at depth compared to the results of a 1-D ice flow model, suggesting influence of bedrock topography on ice flow. Key Points An inverse method using a firn model with isotope diffusion provides self-consistent temperature, accumulation rate, and thinning histories Glacial-interglacial temperature change at the South Pole was 6.7 +/- 1.0 K. The delta O-18/T sensitivity is 0.99 +/- 0.03 permille/K Reconstruction of ice thinning shows millennial-scale variations in thinning function and decreased thinning at depth compared to 1-D model</t>
  </si>
  <si>
    <t>[Kahle, Emma C.; Steig, Eric J.; Fudge, T. J.; Koutnik, Michelle R.; Schauer, Andrew J.; Stevens, C. Max; Conway, Howard; Waddington, Edwin D.] Univ Washington, Dept Earth &amp; Space Sci, Seattle, WA 98195 USA; [Jones, Tyler R.; Morris, Valerie A.; Vaughn, Bruce H.; White, James W. C.] Univ Colorado, Inst Arctic &amp; Alpine Res, Boulder, CO 80309 USA; [Buizert, Christo; Epifanio, Jenna] Oregon State Univ, Coll Earth Ocean &amp; Atmospher Sci, Corvallis, OR 97331 USA</t>
  </si>
  <si>
    <t>University of Washington; University of Washington Seattle; University of Colorado System; University of Colorado Boulder; Oregon State University</t>
  </si>
  <si>
    <t>Kahle, EC (corresponding author), Univ Washington, Dept Earth &amp; Space Sci, Seattle, WA 98195 USA.</t>
  </si>
  <si>
    <t>eckahle@uw.edu</t>
  </si>
  <si>
    <t>White, James W.C./A-7845-2009; Steig, Eric J/G-9088-2015</t>
  </si>
  <si>
    <t>Fudge, Tyler/0000-0002-6818-7479; VAUGHN, BRUCE/0000-0001-6503-957X; Kahle, Emma/0000-0001-8216-564X; Conway, Howard/0000-0003-4634-3474; Stevens, Christopher Max/0000-0003-2005-0876</t>
  </si>
  <si>
    <t>US National Science Foundation [1443105, 1141839, 1643394, 1443472, 1443471]; NSF [1443710]; Directorate For Geosciences; Office of Polar Programs (OPP) [1443710] Funding Source: National Science Foundation</t>
  </si>
  <si>
    <t>US National Science Foundation(National Science Foundation (NSF)); NSF(National Science Foundation (NSF)); Directorate For Geosciences; Office of Polar Programs (OPP)(National Science Foundation (NSF)NSF - Directorate for Geosciences (GEO))</t>
  </si>
  <si>
    <t>This work was funded through Grants from the US National Science Foundation (E.J.S. (1443105 and 1141839), C.B. (1643394 and 1443472), M.R.K. and others (1443471)). We thank J.P. Severinghaus for providing 15N data collected under Grant NSF1443710. We thank G.H. Roe, B.R. Markle, and D. Shapero for suggestions on this work, and M. Twickler and J. Souney for their work administering the SPICEcore project. We thank the SPICEcore field team, the 109th New York Air National Guard, and the National Science Foundation Ice Core Facility, for the collection, transport, processing, and storage of the core. Finally, we thank the two reviewers of this manuscript for their very thorough comments and suggestions, which helped considerably in compiling the final publication.</t>
  </si>
  <si>
    <t>e2020JD033300</t>
  </si>
  <si>
    <t>10.1029/2020JD033300</t>
  </si>
  <si>
    <t>WOS:000704189400003</t>
  </si>
  <si>
    <t>Lee, YH; Lee, MC; Han, J; Park, JC; Kim, MS; Kim, DH; Byeon, E; Kim, S; Yim, JH; Lee, JS</t>
  </si>
  <si>
    <t>Lee, Young Hwan; Lee, Min-Chul; Han, Jeonghoon; Park, Jun Chul; Kim, Min-Sub; Kim, Duck-Hyun; Byeon, Eunjin; Kim, Sanghee; Yim, Joung Han; Lee, Jae-Seong</t>
  </si>
  <si>
    <t>iTRAQ-based proteomic profiling, pathway analyses, and apoptotic mechanism in the Antarctic copepod Tigriopus kingsejongensis in response to ultraviolet B radiation</t>
  </si>
  <si>
    <t>COMPARATIVE BIOCHEMISTRY AND PHYSIOLOGY C-TOXICOLOGY &amp; PHARMACOLOGY</t>
  </si>
  <si>
    <t>iTRAQ; Antarctic copepod; Proteome; UVB radiation; Tigriopus kingsejongensis</t>
  </si>
  <si>
    <t>INDUCED DNA-DAMAGE; OXIDATIVE STRESS; OZONE DEPLETION; RISK-ASSESSMENT; UV-RADIATION; EXPRESSION; LARVAE; HARPACTICOIDA; GENOME; IMPACT</t>
  </si>
  <si>
    <t>iTRAQ proteomic profiling was conducted to examine the proteomic responses of the Antarctic copepod Tigriopus kingsejongensis under ultraviolet B (UVB) exposure. Of the 5507 proteins identified, 3479 proteins were annotated and classified into 25 groups using clusters of orthologous genes analysis. After exposing the T. kingsejongensis to 12 kJ/m(2) UVB radiation, 77 biological processes were modulated over different time periods (0, 6, 12, 24, and 48 h) compared with the control. A Kyoto Encyclopedia of Genes and Genomes pathway enrichment analysis showed that UVB exposure in T. kingsejongensis downregulated ribosome and glyoxylate and dicarboxylate metabolism at all time points. Furthermore, antioxidant and chaperone proteins were highly downregulated in response to UVB exposure, causing protein damage and activating apoptotic processes in the 48 h UVB exposure group. These proteomic changes show the mechanisms that underlie the detrimental effects of UVB on the cellular defense systems of the Antarctic copepod T. kingsejongensis.</t>
  </si>
  <si>
    <t>[Lee, Young Hwan; Lee, Min-Chul; Han, Jeonghoon; Park, Jun Chul; Kim, Min-Sub; Kim, Duck-Hyun; Byeon, Eunjin; Lee, Jae-Seong] Sungkyunkwan Univ, Dept Biol Sci, Coll Sci, Suwon 16419, South Korea; [Kim, Sanghee; Yim, Joung Han] Korea Polar Res Inst, Div Polar Life Sci, Incheon 21990, South Korea</t>
  </si>
  <si>
    <t>Sungkyunkwan University (SKKU); Korea Polar Research Institute (KOPRI)</t>
  </si>
  <si>
    <t>Lee, JS (corresponding author), Sungkyunkwan Univ, Dept Biol Sci, Coll Sci, Suwon 16419, South Korea.</t>
  </si>
  <si>
    <t>jslee2@skku.edu</t>
  </si>
  <si>
    <t>Lee, Young Hwan/HSG-6487-2023; Lee, Jae-Seong/H-6013-2015; Kim, Min-Sub/ABI-5936-2020; Park, Jordan Jun Chul/ABI-6276-2020</t>
  </si>
  <si>
    <t>Lee, Young Hwan/0000-0003-1579-0263; Lee, Jae-Seong/0000-0003-0944-5172; Kim, Min-Sub/0000-0001-9297-4432; Byeon, Eunjin/0000-0003-1705-7014</t>
  </si>
  <si>
    <t>Korea Polar Research Institute [PE21150]</t>
  </si>
  <si>
    <t>This work was supported by a grant from the Korea Polar Research Institute (PE21150) to Jae-Seong Lee.</t>
  </si>
  <si>
    <t>1532-0456</t>
  </si>
  <si>
    <t>1878-1659</t>
  </si>
  <si>
    <t>COMP BIOCHEM PHYS C</t>
  </si>
  <si>
    <t>Comp. Biochem. Physiol. C-Toxicol. Pharmacol.</t>
  </si>
  <si>
    <t>10.1016/j.cbpc.2021.109120</t>
  </si>
  <si>
    <t>Biochemistry &amp; Molecular Biology; Endocrinology &amp; Metabolism; Toxicology; Zoology</t>
  </si>
  <si>
    <t>TZ1YO</t>
  </si>
  <si>
    <t>WOS:000684272700001</t>
  </si>
  <si>
    <t>Jahan, S; Wang, Y; Burnett, WC; Means, GH; Sun, FJ</t>
  </si>
  <si>
    <t>Jahan, Shakura; Wang, Yang; Burnett, William C.; Means, Guy H.; Sun, Fajun</t>
  </si>
  <si>
    <t>Evaluating organic geochemical proxies for application to coastal lake sediments along the Gulf Coast of Florida for paleotempestology</t>
  </si>
  <si>
    <t>Paleo-storm; Hurricane; Paleotempestology; Coastal lakes; Stable isotopes; Geochemical proxy; Gulf of Mexico</t>
  </si>
  <si>
    <t>INTENSE-HURRICANE ACTIVITY; SOUTH-CAROLINA COAST; TROPICAL CYCLONES; CLIMATE-CHANGE; RECORD; HOLOCENE; HISTORY; CARBON; FREQUENCY; EVOLUTION</t>
  </si>
  <si>
    <t>Organic geochemical proxies (OGPs) preserved in coastal lake sediments have recently been used to reconstruct millennia-long hurricane records. Although OGPs (delta C-13, delta N-15 and C/N) appear to be a more sensitive indicator of past storm events than traditional proxies used in paleotempestology, the method has not been tested in many lakes with modern data. In this study, we measured the delta C-13, delta N-15 and C/N values of particulate organic matter (POM), along with the salinities and stable isotopic compositions of water (delta O-18 and delta D), in two coastal lakes on seasonal or much shorter time scales throughout a 3-year period. This work was intended to develop a better understanding of the dynamics of OGPs in these lakes. The time-series data not only show that geochemical properties of these lakes varied seasonally, reflecting variations in lake biological and environmental conditions, but displayed unique variation patterns in response to storms that caused either seawater flooding or freshwater flooding of the lakes. The data show that seawater flooding led to higher delta C-13 and delta N-15 values, with either lower or no change in the C/N ratios of the POM, generally consistent with a previously proposed conceptual model for detecting seawater flooding events. The data also show that freshwater flooding reduces delta N-15 and increases the C/N values of POM, in addition to lowering the salinity, delta O-18 and delta D of lake water. These time series modern data demonstrate the feasibility of detecting past storm events that were large enough to cause either seawater or freshwater flooding by examining variation patterns of multiple OGPs in coastal lake sediments. Applying this understanding to a sediment core from one of the study lakes (Mullet Pond, Florida), we reconstructed a centuries-long record of storms based on the variation patterns in OGPs together with Pb-210 ages. The OGP-based storm record suggests that 30 flooding events, including 15 seawater flooding and 15 freshwater flooding incidents, occurred over the last 165 years. Almost all of these flooding events can be matched (within the dating uncertainty) to the historic hurricanes that are known to have passed within 150 km of the study site. This further confirms that OGPs preserved in sediments in coastal lakes of Florida or similar regions may be used as reliable recorders of past storm activity. (C) 2021 Elsevier Ltd. All rights reserved.</t>
  </si>
  <si>
    <t>[Jahan, Shakura; Wang, Yang; Burnett, William C.; Sun, Fajun] Florida State Univ, Dept Earth Ocean &amp; Atmospher Sci, Tallahassee, FL 32306 USA; [Jahan, Shakura; Wang, Yang; Sun, Fajun] Natl High Magnet Field Lab, Tallahassee, FL 32310 USA; [Means, Guy H.] Florida Dept Environm Protect, Florida Geol Survey, Tallahassee, FL 32303 USA</t>
  </si>
  <si>
    <t>State University System of Florida; Florida State University; State University System of Florida; Florida State University</t>
  </si>
  <si>
    <t>Wang, Y (corresponding author), Florida State Univ, Dept Earth Ocean &amp; Atmospher Sci, Tallahassee, FL 32306 USA.;Wang, Y (corresponding author), Natl High Magnet Field Lab, Tallahassee, FL 32310 USA.</t>
  </si>
  <si>
    <t>ywang@magnet.fsu.edu</t>
  </si>
  <si>
    <t>Sun, Fajun/ITR-8749-2023; Sun, Fajun/AAS-1483-2021</t>
  </si>
  <si>
    <t>Wang, Yang/0000-0002-8232-3289; Means, Guy/0000-0003-3401-0891; Jahan, Shakura/0000-0003-0803-4929</t>
  </si>
  <si>
    <t>U.S. National Science Foundation [EAR1566134]; National Science Foundation Cooperative Agreement [DMR-1157490]; State of Florida</t>
  </si>
  <si>
    <t>U.S. National Science Foundation(National Science Foundation (NSF)); National Science Foundation Cooperative Agreement(National Science Foundation (NSF)); State of Florida</t>
  </si>
  <si>
    <t>This study was supported by a grant from the U.S. National Science Foundation (EAR1566134) . Fieldwork was carried out with the cooperation of the Florida Geological Survey and the Florida Park Service. We thank Steve Petrushak at the Antarctic Marine Geology Research Facility at Florida State University for assistance with obtaining core imagery and xradiography, Beth Huettel for assistance with 210Pb sample preparation and analysis, Rupsa Roy, Jin Liu and Burt Wolff for assistance with sample preparation and stable isotope analyses. We also thank Mustuque A. Munim, un-dergraduate students Emily Benayoun and Nicholas Bentley, Dan Phelps of the Florida Geological Survey, Chris Horkman and Patrick Hartsford at the Grayton Beach State Park, and Bill Wilkinson at Bald Point State Park for their invaluable assistance with fieldwork. We are grateful to the editor Dr. Ingrid Hendy and four anonymous reviewers for helpful comments on earlier versions of this paper. Sample preparation and stable isotope analyses were performed at the National High Magnetic Field Laboratory, which is supported by National Science Foundation Cooperative Agreement No. DMR-1157490 and the State of Florida.</t>
  </si>
  <si>
    <t>10.1016/j.quascirev.2021.107077</t>
  </si>
  <si>
    <t>WOS:000684295900001</t>
  </si>
  <si>
    <t>Malles, JH; Marzeion, B</t>
  </si>
  <si>
    <t>Malles, Jan-Hendrik; Marzeion, Ben</t>
  </si>
  <si>
    <t>Twentieth century global glacier mass change: an ensemble-based model reconstruction</t>
  </si>
  <si>
    <t>SEA-LEVEL RISE; CLIMATE-CHANGE; ICE CAPS; MOUNTAIN GLACIERS; BALANCE; PERFORMANCE; REANALYSIS; LENGTH</t>
  </si>
  <si>
    <t>Negative glacier mass balances in most of Earth's glacierized regions contribute roughly one-quarter to currently observed rates of sea-level rise and have likely contributed an even larger fraction during the 20th century. The distant past and future of glaciers' mass balances, and hence their contribution to sea-level rise, can only be estimated using numerical models. Since, independent of complexity, models always rely on some form of parameterizations and a choice of boundary conditions, a need for optimization arises. In this work, a model for computing monthly mass balances of glaciers on the global scale was forced with nine different data sets of near-surface air temperature and precipitation anomalies, as well as with their mean and median, leading to a total of 11 different forcing data sets. The goal is to better constrain the glaciers' 20th century sea-level budget contribution and its uncertainty. Therefore, five global parameters of the model's mass balance equations were varied systematically, within physically plausible ranges, for each forcing data set. We then identified optimal parameter combinations by cross-validating the model results against in situ annual specific mass balance observations, using three criteria: model bias, temporal correlation, and the ratio between the observed and modeled temporal standard deviation of specific mass balances. These criteria were chosen in order not to trade lower error estimates by means of the root mean squared error (RMSE) for an unrealistic interannual variability. We find that the disagreement between the different optimized model setups (i.e., ensemble members) is often larger than the uncertainties obtained via the leave-one-glacier-out cross-validation, particularly in times and places where few or no validation data are available, such as the first half of the 20th century. We show that the reason for this is that in regions where mass balance observations are abundant, the meteorological data are also better constrained, such that the cross-validation procedure only partly captures the uncertainty of the glacier model. For this reason, ensemble spread is introduced as an additional estimate of reconstruction uncertainty, increasing the total uncertainty compared to the model uncertainty merely obtained by the cross-validation. Our ensemble mean estimate indicates a sea-level contribution by global glaciers (outside of the ice sheets; including the Greenland periphery but excluding the Antarctic periphery) for 1901-2018 of 69.2 +/- 24.3 mm sea-level equivalent (SLE), or 0.59 +/- 0.21 mm SLE yr(-1). While our estimates lie within the uncertainty range of most of the previously published global estimates, they agree less with those derived from GRACE data, which only cover the years 2002-2018.</t>
  </si>
  <si>
    <t>[Malles, Jan-Hendrik; Marzeion, Ben] Univ Bremen, Inst Geog, Climate Lab, Bremen, Germany; [Malles, Jan-Hendrik; Marzeion, Ben] Univ Bremen, MARUM Ctr Marine Environm Sci, Bremen, Germany</t>
  </si>
  <si>
    <t>University of Bremen; University of Bremen</t>
  </si>
  <si>
    <t>Malles, JH (corresponding author), Univ Bremen, Inst Geog, Climate Lab, Bremen, Germany.;Malles, JH (corresponding author), Univ Bremen, MARUM Ctr Marine Environm Sci, Bremen, Germany.</t>
  </si>
  <si>
    <t>jmalles@uni-bremen.de</t>
  </si>
  <si>
    <t>; Marzeion, Ben/G-6514-2013</t>
  </si>
  <si>
    <t>Malles, Jan-Hendrik/0000-0002-4208-704X; Marzeion, Ben/0000-0002-6185-3539</t>
  </si>
  <si>
    <t>Deutsche Forschungsgemeinschaft (DFG) [IRTG 1904/3, MA6966/4-1]</t>
  </si>
  <si>
    <t>Deutsche Forschungsgemeinschaft (DFG)(German Research Foundation (DFG))</t>
  </si>
  <si>
    <t>This research has been supported by the Deutsche Forschungsgemeinschaft (DFG, grant nos. IRTG 1904/3 ArcTrain and MA6966/4-1).</t>
  </si>
  <si>
    <t>10.5194/tc-15-3135-2021</t>
  </si>
  <si>
    <t>TH8OZ</t>
  </si>
  <si>
    <t>WOS:000672344300001</t>
  </si>
  <si>
    <t>Friedlaender, AS; Joyce, T; Johnston, DW; Read, AJ; Nowacek, DP; Goldbogen, JA; Gales, N; Durban, JW</t>
  </si>
  <si>
    <t>Friedlaender, Ari S.; Joyce, Trevor; Johnston, David W.; Read, Andrew J.; Nowacek, Douglas P.; Goldbogen, Jeremy A.; Gales, Nick; Durban, John W.</t>
  </si>
  <si>
    <t>Sympatry and resource partitioning between the largest krill consumers around the Antarctic Peninsula</t>
  </si>
  <si>
    <t>MARINE ECOLOGY PROGRESS SERIES</t>
  </si>
  <si>
    <t>Antarctic whales; Humpback whale; Megaptera novaeangliae; Antarctic minke whale; Balaenoptera bonaerensis; Distribution; Satellite telemetry; Animal-movement models; Sympatry</t>
  </si>
  <si>
    <t>BODY-SIZE; SEA-ICE; EUPHAUSIA-SUPERBA; HUMPBACK WHALES; SOUTHERN-OCEAN; BALEEN WHALES; KILLER WHALES; MINKE WHALES; WEST; VARIABILITY</t>
  </si>
  <si>
    <t>Understanding how closely related, sympatric species distribute themselves relative to their environment is critical to understanding ecosystem structure and function and predicting effects of environmental variation. The Antarctic Peninsula supports high densities of krill and krill consumers; however, the region is warming rapidly, with unknown consequences. Humpback whales Megaptera novaeangliae and Antarctic minke whales Balaenoptera bonaerensis are the largest krill consumers here, yet key data gaps remain about their distribution, behavior, and interactions and how these will be impacted by changing conditions. Using satellite telemetry and novel spatial point-process modeling techniques, we quantified habitat use of each species relative to dynamic environmental variables and determined overlap in core habitat areas during summer months when sea ice is at a minimum. We found that humpback whales ranged broadly over continental shelf waters, utilizing nearshore bays, while minke whales restricted their movements to sheltered bays and areas where ice is present. This presents a scenario where minke whale core habitat overlaps substantially with the broader home ranges of humpback whales. While there is no indication that prey is limiting in this ecosystem, increased overlap between these species may arise as climate-driven changes that affect the extent, timing, and duration of seasonal sea ice decrease the amount of preferred foraging habitat for minke whales while concurrently increasing it for humpback whales. Our results provide the first quantitative assessment of behaviorally based habitat use and sympatry between these 2 krill consumers and offers insight into the potential effects of a rapidly changing environment on the structure and function of a polar ecosystem.</t>
  </si>
  <si>
    <t>[Friedlaender, Ari S.] Univ Calif Santa Cruz, Inst Marine Sci, 115 McAllister Way, Santa Cruz, CA 95060 USA; [Friedlaender, Ari S.; Joyce, Trevor; Durban, John W.] Oregon State Univ, Marine Mammal Inst, 2030 Marine Sci Dr, Newport, OR 97365 USA; [Johnston, David W.; Read, Andrew J.; Nowacek, Douglas P.] Duke Univ, Nicholas Sch Environm, Div Marine Sci &amp; Conservat, Marine Lab, 135 Duke Marine Lab Rd, Beaufort, NC 28516 USA; [Nowacek, Douglas P.] Duke Univ, Pratt Sch Engn, Durham, NC 27708 USA; [Goldbogen, Jeremy A.] Stanford Univ, Hopkins Marine Stn, 120 Oceanview Blvd, Pacific Grove, CA 93950 USA; [Gales, Nick] Australian Antarctic Div, 203 Channel Highway, Kingston, Tas 7050, Australia</t>
  </si>
  <si>
    <t>University of California System; University of California Santa Cruz; Oregon State University; Duke University; Duke University; Stanford University; Australian Antarctic Division</t>
  </si>
  <si>
    <t>Friedlaender, AS (corresponding author), Univ Calif Santa Cruz, Inst Marine Sci, 115 McAllister Way, Santa Cruz, CA 95060 USA.;Friedlaender, AS (corresponding author), Oregon State Univ, Marine Mammal Inst, 2030 Marine Sci Dr, Newport, OR 97365 USA.</t>
  </si>
  <si>
    <t>ari.friedlaender@ucsc.edu</t>
  </si>
  <si>
    <t>Goldbogen, Jeremy/0000-0002-4170-7294; Johnston, David/0000-0003-2424-036X</t>
  </si>
  <si>
    <t>National Science Foundation Office of Polar Programs RAPID award [1250208]; Lindblad Expeditions-National Geographic Fund; Office of Polar Programs (OPP); Directorate For Geosciences [1250208] Funding Source: National Science Foundation</t>
  </si>
  <si>
    <t>National Science Foundation Office of Polar Programs RAPID award; Lindblad Expeditions-National Geographic Fund; Office of Polar Programs (OPP); Directorate For Geosciences(National Science Foundation (NSF)NSF - Directorate for Geosciences (GEO))</t>
  </si>
  <si>
    <t>We thank the Captain and crew of the RV 'Point Sur' for their support and efforts in helping to collect these data. We also thank Bob Pitman, Matt Bowers, and Reny Tyson for their contributions to data collection in the field. For their support of the project, we are grateful to Diana Nemergut, Alex Isern, and Tim McGovern of the National Science Foundation, and to Caroline Casey for her helpful comments on the manuscript. We are also grateful to colleagues at the Australian Antarctic Division, including Mike Double, Virginia Andrews Goff, and Elanor Bell, for their support of this research as part of the Southern Ocean Research Partnership. Research was conducted under ACA Permit 2009-013, NMFS Permit 14907, and Duke University IACUC protocol A49-12-02. This research was supported by a National Science Foundation Office of Polar Programs RAPID award 1250208 and by the Lindblad Expeditions-National Geographic Fund.</t>
  </si>
  <si>
    <t>INTER-RESEARCH</t>
  </si>
  <si>
    <t>OLDENDORF LUHE</t>
  </si>
  <si>
    <t>NORDBUNTE 23, D-21385 OLDENDORF LUHE, GERMANY</t>
  </si>
  <si>
    <t>0171-8630</t>
  </si>
  <si>
    <t>1616-1599</t>
  </si>
  <si>
    <t>MAR ECOL PROG SER</t>
  </si>
  <si>
    <t>Mar. Ecol.-Prog. Ser.</t>
  </si>
  <si>
    <t>10.3354/meps13771</t>
  </si>
  <si>
    <t>Ecology; Marine &amp; Freshwater Biology; Oceanography</t>
  </si>
  <si>
    <t>Environmental Sciences &amp; Ecology; Marine &amp; Freshwater Biology; Oceanography</t>
  </si>
  <si>
    <t>TI4MR</t>
  </si>
  <si>
    <t>WOS:000672774400001</t>
  </si>
  <si>
    <t>Steinke, LKB; Bernardi, KS; Ross, RM; Quetin, LB</t>
  </si>
  <si>
    <t>Steinke, K. B. L.; Bernardi, K. S.; Ross, R. M.; Quetin, L. B.</t>
  </si>
  <si>
    <t>Environmental drivers of the physiological condition of mature female Antarctic krill during the spawning season: implications for krill recruitment</t>
  </si>
  <si>
    <t>Antarctic krill; Physiological condition; Recruitment; Reproduction; Climate drivers</t>
  </si>
  <si>
    <t>EUPHAUSIA-SUPERBA DANA; CIRCUMPOLAR DEEP-WATER; PENINSULA REGION; MARGUERITE BAY; FATTY-ACIDS; ICE COVER; INTERANNUAL VARIABILITY; CLIMATE-CHANGE; SOUTH GEORGIA; AUSTRAL FALL</t>
  </si>
  <si>
    <t>Southern Ocean pelagic productivity relies on the abundance of Antarctic krill Euphausia superba, which fluctuates on a 5-7 yr cycle and is driven by interannual variability in recruitment. The western Antarctic Peninsula (wAP) is home to a significant proportion of the circum-Antarctic krill biomass and is the focus of the krill fishery. The wAP is warming at a rate quicker than most other places on Earth, with notable regional changes in the pelagic ecosystem. There is a major gap in our understanding of how environmental variability affects the reproductive success of krill. We used historical krill population data collected at the wAP (January 1993-2008, Palmer Antarctica Long Term Ecological Research) to assess the effects of environmental variability on the condition of mature female krill during the spawning season and its relationship with krill recruitment. Mature female krill condition during the spawning season was positively correlated with recruitment the subsequent year. Results of generalized additive models indicated that the predominant drivers of krill condition during the spawning season were climatological (Southern Annular Mode and Multivariate El Nino Southern Oscillation Index), though the timing of sea ice advance and retreat, and diatom concentrations were also important Gaining a better understanding of the oceanographic and climatological factors that affect the physiological condition of mature female krill is critical for predicting future demographic patterns and responses to change. Results from our study emphasize the importance of including the effects of climate change in the management models for the Antarctic krill fishery.</t>
  </si>
  <si>
    <t>[Steinke, K. B. L.; Bernardi, K. S.] Oregon State Univ, Coll Earth Ocean &amp; Atmospher Sci, Corvallis, OR 97330 USA; [Ross, R. M.; Quetin, L. B.] Univ Calif Santa Barbara, Santa Barbara, CA 93106 USA</t>
  </si>
  <si>
    <t>Oregon State University; University of California System; University of California Santa Barbara</t>
  </si>
  <si>
    <t>Steinke, LKB (corresponding author), Oregon State Univ, Coll Earth Ocean &amp; Atmospher Sci, Corvallis, OR 97330 USA.</t>
  </si>
  <si>
    <t>steinkki@oregonstate.edu</t>
  </si>
  <si>
    <t>US National Science Foundation [9011927, 9632763, 0217282]</t>
  </si>
  <si>
    <t>US National Science Foundation(National Science Foundation (NSF))</t>
  </si>
  <si>
    <t>We thank M. Vernet for providing data on sample collection depth for our fucoxanthin measurements. L. Ciannelli provided valuable insight on statistical analyses and model selection used in this study. C. Reiss, L. Ciannelli, and L. Copeman contributed constructive comments on methodological procedures. SAM data were obtained from the Natural Environmental Research Council (NERC) British Antarctic Survey and MEI data from NOAA's Earth System Research Laboratory (ESRL) in the Physical Sciences Division. Collection of the Palmer LTER data used in this study was funded by the US National Science Foundation, OPP award nos. 9011927, 9632763, and 0217282.</t>
  </si>
  <si>
    <t>10.3354/meps13720</t>
  </si>
  <si>
    <t>WOS:000672774400005</t>
  </si>
  <si>
    <t>Queiroz, N; Humphries, NE; Couto, A; Vedor, M; da Costa, I; Sequeira, AMM; Mucientes, G; Santos, AM; Abascal, FJ; Abercrombie, DL; Abrantes, K; Acuña-Marrero, D; Afonso, AS; Afonso, P; Anders, D; Araujo, G; Arauz, R; Bach, P; Barnett, A; Bernal, D; Berumen, ML; Lion, SB; Bezerra, NPA; Blaison, AV; Block, BA; Bond, ME; Bonfil, R; Bradford, RW; Braun, CD; Brooks, EJ; Brooks, A; Brown, J; Bruce, BD; Byrne, ME; Campana, SE; Carlisle, AB; Chapman, DD; Chapple, TK; Chisholm, J; Clarke, CR; Clua, EG; Cochran, JEM; Crochelet, EC; Dagorn, L; Daly, R; Cortes, DD; Doyle, TK; Drew, M; Duffy, CAJ; Erikson, T; Espinoza, E; Ferreira, LC; Ferretti, F; Filmalter, JD; Fischer, GC; Fitzpatrick, R; Fontes, J; Forget, F; Fowler, M; Francis, MP; Gallagher, AJ; Gennari, E; Goldsworthy, SD; Gollock, MJ; Green, JR; Gustafson, JA; Guttridge, TL; Guzman, HM; Hammerschlag, N; Harman, L; Hazin, FHV; Heard, M; Hearn, AR; Holdsworth, JC; Holmes, BJ; Howey, LA; Hoyos, M; Hueter, RE; Hussey, NE; Huveneers, C; Irion, DT; Jacoby, DMP; Jewell, OJD; Johnson, R; Jordan, LKB; Joyce, W; Daly, CAK; Ketchum, JT; Klimley, AP; Kock, AA; Koen, P; Ladino, F; Lana, FO; Lea, JSE; Llewellyn, F; Lyon, WS; MacDonnell, A; Macena, BCL; Marshall, H; McAllister, JD; Meyer, MA; Morris, JJ; Nelson, ER; Papastamatiou, YP; Peñaherrera-Palma, C; Pierce, SJ; Poisson, F; Quintero, LM; Richardson, AJ; Rogers, PJ; Rohner, CA; Rowat, DRL; Samoilys, M; Semmens, JM; Sheaves, M; Shillinger, G; Shivji, M; Singh, S; Skomal, GB; Smale, MJ; Snyders, LB; Soler, G; Soria, M; Stehfest, KM; Thorrold, SR; Tolotti, MT; Towner, A; Travassos, P; Tyminski, JP; Vandeperre, F; Vaudo, JJ; Watanabe, YY; Weber, SB; Wetherbee, BM; White, TD; Williams, S; Zárate, PM; Harcourt, R; Hays, GC; Meekan, MG; Thums, M; Irigoien, X; Eguiluz, VM; Duarte, CM; Sousa, LL; Simpson, SJ; Southall, EJ; Sims, DW</t>
  </si>
  <si>
    <t>Queiroz, Nuno; Humphries, Nicolas E.; Couto, Ana; Vedor, Marisa; da Costa, Ivo; Sequeira, Ana M. M.; Mucientes, Gonzalo; Santos, Antonio M.; Abascal, Francisco J.; Abercrombie, Debra L.; Abrantes, Katya; Acuna-Marrero, David; Afonso, Andre S.; Afonso, Pedro; Anders, Darrell; Araujo, Gonzalo; Arauz, Randall; Bach, Pascal; Barnett, Adam; Bernal, Diego; Berumen, Michael L.; Bessudo Lion, Sandra; Bezerra, Natalia P. A.; Blaison, Antonin V.; Block, Barbara A.; Bond, Mark E.; Bonfil, Ramon; Bradford, Russell W.; Braun, Camrin D.; Brooks, Edward J.; Brooks, Annabelle; Brown, Judith; Bruce, Barry D.; Byrne, Michael E.; Campana, Steven E.; Carlisle, Aaron B.; Chapman, Demian D.; Chapple, Taylor K.; Chisholm, John; Clarke, Christopher R.; Clua, Eric G.; Cochran, Jesse E. M.; Crochelet, Estelle C.; Dagorn, Laurent; Daly, Ryan; Devia Cortes, Daniel; Doyle, Thomas K.; Drew, Michael; Duffy, Clinton A. J.; Erikson, Thor; Espinoza, Eduardo; Ferreira, Luciana C.; Ferretti, Francesco; Filmalter, John D.; Fischer, G. Chris; Fitzpatrick, Richard; Fontes, Jorge; Forget, Fabien; Fowler, Mark; Francis, Malcolm P.; Gallagher, Austin J.; Gennari, Enrico; Goldsworthy, Simon D.; Gollock, Matthew J.; Green, Jonathan R.; Gustafson, Johan A.; Guttridge, Tristan L.; Guzman, Hector M.; Hammerschlag, Neil; Harman, Luke; Hazin, Fabio H. V.; Heard, Matthew; Hearn, Alex R.; Holdsworth, John C.; Holmes, Bonnie J.; Howey, Lucy A.; Hoyos, Mauricio; Hueter, Robert E.; Hussey, Nigel E.; Huveneers, Charlie; Irion, Dylan T.; Jacoby, David M. P.; Jewell, Oliver J. D.; Johnson, Ryan; Jordan, Lance K. B.; Joyce, Warren; Daly, Clare A. Keating; Ketchum, James T.; Klimley, A. Peter; Kock, Alison A.; Koen, Pieter; Ladino, Felipe; Lana, Fernanda O.; Lea, James S. E.; Llewellyn, Fiona; Lyon, Warrick S.; MacDonnell, Anna; Macena, Bruno C. L.; Marshall, Heather; McAllister, Jaime D.; Meyer, Michael A.; Morris, John J.; Nelson, Emily R.; Papastamatiou, Yannis P.; Penaherrera-Palma, Cesar; Pierce, Simon J.; Poisson, Francois; Maria Quintero, Lina; Richardson, Andrew J.; Rogers, Paul J.; Rohner, Christoph A.; Rowat, David R. L.; Samoilys, Melita; Semmens, Jayson M.; Sheaves, Marcus; Shillinger, George; Shivji, Mahmood; Singh, Sarika; Skomal, Gregory B.; Smale, Malcolm J.; Snyders, Laurenne B.; Soler, German; Soria, Marc; Stehfest, Kilian M.; Thorrold, Simon R.; Tolotti, Mariana T.; Towner, Alison; Travassos, Paulo; Tyminski, John P.; Vandeperre, Frederic; Vaudo, Jeremy J.; Watanabe, Yuuki Y.; Weber, Sam B.; Wetherbee, Bradley M.; White, Timothy D.; Williams, Sean; Zarate, Patricia M.; Harcourt, Robert; Hays, Graeme C.; Meekan, Mark G.; Thums, Michele; Irigoien, Xabier; Eguiluz, Victor M.; Duarte, Carlos M.; Sousa, Lara L.; Simpson, Samantha J.; Southall, Emily J.; Sims, David W.</t>
  </si>
  <si>
    <t>Reply to: Shark mortality cannot be assessed by fishery overlap alone</t>
  </si>
  <si>
    <t>NATURE</t>
  </si>
  <si>
    <t>Letter</t>
  </si>
  <si>
    <t>ECOLOGICAL RISK-ASSESSMENT; CAUGHT; SURVIVAL</t>
  </si>
  <si>
    <t>[Queiroz, Nuno; Couto, Ana; Vedor, Marisa; da Costa, Ivo; Mucientes, Gonzalo; Santos, Antonio M.] Univ Porto, Ctr Invest Biodivers &amp; Recursos Genet, Res Network Biodivers &amp; Evolutionary Biol, Campus Agr Vairao, Vairao, Portugal; [Queiroz, Nuno; Humphries, Nicolas E.; Sousa, Lara L.; Simpson, Samantha J.; Southall, Emily J.; Sims, David W.] Marine Biol Assoc UK, Plymouth, Devon, England; [Vedor, Marisa; Santos, Antonio M.] Univ Porto, Dept Biol, Fac Ciencias, Porto, Portugal; [Sequeira, Ana M. M.; Devia Cortes, Daniel] Univ Western Australia, UWA Oceans Inst, Indian Ocean Marine Res Ctr, Crawley, WA, Australia; [Sequeira, Ana M. M.] Univ Western Australia, Sch Biol Sci, Crawley, WA, Australia; [Abascal, Francisco J.] Spanish Inst Oceanog, Santa Cruz De Tenerife, Spain; [Abercrombie, Debra L.] Abercrombie &amp; Fish, Port Jefferson Stn, NY USA; [Abrantes, Katya; Barnett, Adam; Fitzpatrick, Richard; Sheaves, Marcus] James Cook Univ, Coll Sci &amp; Engn, Marine Biol &amp; Aquaculture Unit, Cairns, Qld, Australia; [Acuna-Marrero, David] Massey Univ, Inst Nat &amp; Math Sci, Palmerston North, New Zealand; [Afonso, Andre S.; Bezerra, Natalia P. A.; Hazin, Fabio H. V.; Lana, Fernanda O.; Macena, Bruno C. L.; Travassos, Paulo] Univ Fed Rural Pernambuco UFRPE, Dept Pesca &amp; Aquicultura, Recife, PE, Brazil; [Afonso, Andre S.] Inst Politecn Leiria, Marine &amp; Environm Sci Ctr, MARE, Peniche, Portugal; [Afonso, Pedro; Fontes, Jorge; Vandeperre, Frederic] Univ Lisbon, Lab Maritimo Guia, MARE, Fac Ciencias, Cascais, Portugal; [Afonso, Pedro; Fontes, Jorge; Macena, Bruno C. L.; Vandeperre, Frederic] Univ Acores, Dept Oceanog &amp; Pescas, Inst Marine Res IMAR, Horta, Portugal; [Afonso, Pedro; Fontes, Jorge; Vandeperre, Frederic] Univ Acores, Okeanos Dept Oceanog &amp; Pescas, Horta, Portugal; [Anders, Darrell; Meyer, Michael A.; Singh, Sarika; Snyders, Laurenne B.] Dept Environm Affairs Oceans &amp; Coasts Res, Cape Town, South Africa; [Araujo, Gonzalo] Large Marine Vertebrates Res Inst Philippines, Jagna, Philippines; [Arauz, Randall] Fins Attached Marine Res &amp; Conservat, Colorado Springs, CO USA; [Arauz, Randall] Programa Restaurac Tortugas Marinas PRETOMA, San Jose, Costa Rica; [Arauz, Randall; Bessudo Lion, Sandra; Espinoza, Eduardo; Hearn, Alex R.; Hoyos, Mauricio; Ketchum, James T.; Klimley, A. Peter; Penaherrera-Palma, Cesar; Shillinger, George; Soler, German] MigraMar, Olema, CA USA; [Bach, Pascal; Blaison, Antonin V.; Dagorn, Laurent; Filmalter, John D.; Forget, Fabien; Poisson, Francois; Soria, Marc; Tolotti, Mariana T.] Univ Montpellier, IFREMER, Inst Rech Dev, CNRS,UMR,MARBEC,IRD, Sete, France; [Bernal, Diego; Marshall, Heather] Univ Massachusetts, Dept Biol, Dartmouth, MA USA; [Berumen, Michael L.; Cochran, Jesse E. M.; Duarte, Carlos M.] King Abdullah Univ Sci &amp; Technol, Div Biol &amp; Environm Sci &amp; Engn, Red Sea Res Ctr, Thuwal, Saudi Arabia; [Bessudo Lion, Sandra; Ladino, Felipe; Maria Quintero, Lina; Soler, German] Fdn Malpelo &amp; Otros Ecosistemas Marinos, Bogota, Colombia; [Block, Barbara A.; Chapple, Taylor K.; Shillinger, George; White, Timothy D.] Stanford Univ, Hopkins Marine Stn, Pacific Grove, CA 93950 USA; [Bond, Mark E.; Chapman, Demian D.; Papastamatiou, Yannis P.] Florida Int Univ, Dept Biol Sci, North Miami, FL USA; [Bonfil, Ramon] Univ Fed Ceara, Inst Ciencias Mar, Fortaleza, Ceara, Brazil; [Bradford, Russell W.; Bruce, Barry D.] CSIRO Oceans &amp; Atmosphere, Hobart, Tas, Australia; [Braun, Camrin D.] Univ Washington, Sch Aquat &amp; Fishery Sci, Seattle, WA 98195 USA; [Braun, Camrin D.; Thorrold, Simon R.] Woods Hole Oceanog Inst, Dept Biol, Woods Hole, MA 02543 USA; [Brooks, Edward J.; Brooks, Annabelle; Williams, Sean] Cape Eleuthera Inst, Shark Res &amp; Conservat Program, Eleuthera, Bahamas; [Brooks, Annabelle] Univ Exeter, Exeter, Devon, England; [Brown, Judith] South Atlantic Environm Res Inst, Stanley, Falkland Island; [Byrne, Michael E.; Shivji, Mahmood; Vaudo, Jeremy J.; Wetherbee, Bradley M.] Nova Southeastern Univ, Dept Biol Sci, Guy Harvey Res Inst, Dania, FL USA; [Byrne, Michael E.] Univ Missouri, Sch Nat Resources, Columbia, MO USA; [Campana, Steven E.] Univ Iceland, Life &amp; Environm Sci, Reykjavik, Iceland; [Carlisle, Aaron B.; Skomal, Gregory B.] Univ Delaware, Sch Marine Sci &amp; Policy, Lewes, DE 19958 USA; [Chisholm, John] Massachusetts Div Marine Fisheries, New Bedford, MA USA; [Clarke, Christopher R.; Lea, James S. E.] Marine Res Facil, Jeddah, Saudi Arabia; [Clua, Eric G.] CNRS, EPHE, UPVD, PSL,Labex CORAIL,CRIOBE,USR3278, Papetoai, French Polynesi, France; [Crochelet, Estelle C.] Agence Rech Biodivers Reunion ARBRE, Marseille, Reunion, France; [Crochelet, Estelle C.] Inst Rech Dev, ESPACE DEV, UMR 228, Marseille, Reunion, France; [Daly, Ryan; Daly, Clare A. Keating] Save Our Seas Fdn, Arros Res Ctr SOSF DRC, Geneva, Switzerland; [Daly, Ryan; Filmalter, John D.; Gennari, Enrico; Kock, Alison A.] South African Inst Aquat Biodivers SAIAB, Grahamstown, South Africa; Inst Fomento Pesquero IFOP, Fisheries Res Div, Dept Fisheries Evaluat, Valparaiso, Chile; [Doyle, Thomas K.; Harman, Luke] Univ Coll Cork, Sch Biol Earth &amp; Environm Sci, Cork, Ireland; [Doyle, Thomas K.] Univ Coll Cork, Environm Res Inst, MaREI Ctr, Cork, Ireland; [Drew, Michael; Heard, Matthew; Huveneers, Charlie] Flinders Univ S Australia, Coll Sci &amp; Engn, Adelaide, SA, Australia; [Duffy, Clinton A. J.] Dept Conservat, Auckland, New Zealand; [Erikson, Thor] UKZN, South African Inst Aquat Biodivers, Geol Sci, Durban, South Africa; [Espinoza, Eduardo] Direcc Parque Nacl Galapagos, Puerto Ayora, Galapagos, Ecuador; [Ferreira, Luciana C.; Meekan, Mark G.; Thums, Michele] Indian Ocean Marine Res Ctr UWA, Australian Inst Marine Sci, Crawley, WA, Australia; [Ferretti, Francesco] Virginia Tech, Dept Fish &amp; Wildlife Conservat, Blacksburg, VA USA; [Fischer, G. Chris] OCEARCH, Park City, UT USA; [Fowler, Mark; Joyce, Warren; MacDonnell, Anna] Bedford Inst Oceanog, Dartmouth, NS, Canada; [Francis, Malcolm P.; Lyon, Warrick S.] Natl Inst Water &amp; Atmospher Res, Wellington, New Zealand; [Gallagher, Austin J.] Beneath Waves, Herndon, VA USA; [Gallagher, Austin J.; Hammerschlag, Neil; Nelson, Emily R.] Univ Miami, Rosenstiel Sch Marine &amp; Atmospher Sci, 4600 Rickenbacker Causeway, Miami, FL 33149 USA; [Gennari, Enrico] Oceans Res Inst, Mossel Bay, South Africa; [Gennari, Enrico; Towner, Alison] Rhodes Univ, Dept Ichthyol &amp; Fisheries Sci, Grahamstown, South Africa; [Goldsworthy, Simon D.; Rogers, Paul J.] SARDI Aquat Sci, Adelaide, SA, Australia; [Gollock, Matthew J.; Llewellyn, Fiona] Zool Soc London, London, England; [Green, Jonathan R.] Galapagos Whale Shark Project, Puerto Ayora, Galapagos, Ecuador; [Gustafson, Johan A.] Griffith Univ, Sch Engn, Griffith Ctr Coastal Management, Gold Coast, Qld, Australia; [Guttridge, Tristan L.] Saving Blue, Cooper City, FL USA; [Guzman, Hector M.] Smithsonian Trop Res Inst, Panama City, Panama; [Hammerschlag, Neil] Univ Miami, Leonard &amp; Jayne Abess Ctr Ecosyst Sci &amp; Policy, Coral Gables, FL 33124 USA; [Hearn, Alex R.] Galapagos Sci Ctr, San Cristobal, Galapagos, Ecuador; [Hearn, Alex R.] Univ San Francisco Quito, Quito, Ecuador; [Holdsworth, John C.; Penaherrera-Palma, Cesar] Blue Water Marine Res, Tutukaka, New Zealand; [Holmes, Bonnie J.] Univ Queensland, Brisbane, Qld, Australia; [Howey, Lucy A.; Jordan, Lance K. B.] Microwave Telemetry, Columbia, MD USA; [Hoyos, Mauricio; Ketchum, James T.] Pelagios Kakunja, La Paz, Mexico; [Hueter, Robert E.; Morris, John J.; Tyminski, John P.] Ctr Shark Res, Mote Marine Lab, Sarasota, FL USA; [Hussey, Nigel E.] Univ Windsor, Biol Sci, Windsor, ON, Canada; [Irion, Dylan T.] Cape Res &amp; Diver Dev, Simonstown, South Africa; Zool Soc London, Inst Zool, London, England; [Jewell, Oliver J. D.] Murdoch Univ, Harry Butler Inst, Ctr Sustainable Aquat Ecosyst, Perth, WA, Australia; [Jacoby, David M. P.; Jewell, Oliver J. D.; Towner, Alison] Dyer Isl Conservat Trust, Western Cape, South Africa; [Johnson, Ryan] Blue Wilderness Res Unit, Scottburgh, South Africa; [Klimley, A. Peter] Univ Calif Davis, Davis, CA 95616 USA; [Kock, Alison A.] South African Natl Pk, Cape Res Ctr, Steenberg, South Africa; [Kock, Alison A.] Shark Spotters, Fish Hoek, South Africa; [Kock, Alison A.] Univ Cape Town, Dept Biol Sci, Inst Communities &amp; Wildlife Africa, Rondebosch, South Africa; [Koen, Pieter] Western Cape Dept Agr, Vet Serv, Elsenburg, South Africa; [Lana, Fernanda O.] Univ Fed Fluminense UFF, Dept Biol Marinha, Niteroi, RJ, Brazil; [Lea, James S. E.] Univ Cambridge, Dept Zool, Cambridge, England; [Marshall, Heather] Atlantic White Shark Conservancy, Chatham, MA USA; [McAllister, Jaime D.; Semmens, Jayson M.; Soler, German; Stehfest, Kilian M.] Univ Tasmania, Inst Marine &amp; Antarctic Studies, Fisheries &amp; Aquaculture Ctr, Hobart, Tas, Australia; Pontificia Univ Catolica Ecuador Sede Manabi, Portoviejo, Ecuador; [Pierce, Simon J.; Rohner, Christoph A.] Marine Megafauna Fdn, Truckee, CA USA; [Richardson, Andrew J.] Ascens Isl Govt, Conservat &amp; Fisheries Dept, Georgetown, Ascension Isl; [Rowat, David R. L.] Marine Conservat Soc Seychelles, Victoria, Seychelles; [Samoilys, Melita] CORDIO, Mombasa, Kenya; [Shillinger, George] Upwell, Monterey, CA USA; [Smale, Malcolm J.] Nelson Mandela Univ, Dept Zool, Port Elizabeth, South Africa; [Smale, Malcolm J.] Nelson Mandela Univ, Inst Coastal &amp; Marine Res, Port Elizabeth, South Africa; [Watanabe, Yuuki Y.] Natl Inst Polar Res, Tachikawa, Tokyo, Japan; [Watanabe, Yuuki Y.] SOKENDAI Grad Univ Adv Studies, Tachikawa, Tokyo, Japan; [Weber, Sam B.] Univ Exeter, Ctr Ecol &amp; Conservat, Penryn, England; [Wetherbee, Bradley M.] Univ Rhode Isl, Dept Biol Sci, Kingston, RI 02881 USA; [Zarate, Patricia M.] Inst Fomento Pesquero IFOP, Fisheries Res Div, Dept Oceanog &amp; Environm, Valparaiso, Chile; [Harcourt, Robert] Macquarie Univ, Dept Biol Sci, Sydney, NSW, Australia; [Hays, Graeme C.] Deakin Univ, Sch Life &amp; Environm Sci, Geelong, Vic, Australia; [Irigoien, Xabier] AZTI BRTA, Pasaia, Spain; [Irigoien, Xabier] Basque Fdn Sci, Ikerbasque, Bilbao, Spain; [Eguiluz, Victor M.] Univ Balear Isl, Inst Fis Interdisciplinar &amp; Sistemas Complejos, CSIC, Palma De Mallorca, Spain; [Sousa, Lara L.] Univ Oxford, Dept Zool, Wildlife Conservat Res Unit, Tubney, England; [Simpson, Samantha J.; Sims, David W.] Univ Southampton, Natl Oceanog Ctr Southampton, Ocean &amp; Earth Sci, Southampton, Hants, England; [Sims, David W.] Univ Southampton, Ctr Biol Sci, Southampton, Hants, England; [Chapple, Taylor K.] Oregon State Univ, Hatfield Marine Sci Ctr, Newport, OR USA; [Holmes, Bonnie J.] Univ Sunshine Coast, Sippy Downs, Qld, Australia</t>
  </si>
  <si>
    <t>Universidade do Porto; Marine Biological Association United Kingdom; Universidade do Porto; University of Western Australia; University of Western Australia; Spanish Institute of Oceanography; James Cook University; Massey University; Universidade Federal Rural de Pernambuco (UFRPE); Polytechnic Institute of Leiria; Universidade de Lisboa; Universidade dos Acores; Universidade dos Acores; Ifremer; Universite de Montpellier; Centre National de la Recherche Scientifique (CNRS); Institut de Recherche pour le Developpement (IRD); University of Massachusetts System; University Massachusetts Dartmouth; King Abdullah University of Science &amp; Technology; Stanford University; State University System of Florida; Florida International University; Universidade Federal do Ceara; Commonwealth Scientific &amp; Industrial Research Organisation (CSIRO); University of Washington; University of Washington Seattle; Woods Hole Oceanographic Institution; University of Exeter; Nova Southeastern University; University of Missouri System; University of Missouri Columbia; University of Iceland; University of Delaware; Massachusetts Division of Marine Fisheries; Universite PSL; Ecole Pratique des Hautes Etudes (EPHE); Centre National de la Recherche Scientifique (CNRS); CNRS - Institute of Ecology &amp; Environment (INEE); Institut de Recherche pour le Developpement (IRD); National Research Foundation - South Africa; South African Institute for Aquatic Biodiversity; Instituto de Fomento Pesquero (Valparaiso); University College Cork; University College Cork; Flinders University South Australia; University of Kwazulu Natal; National Research Foundation - South Africa; South African Institute for Aquatic Biodiversity; Australian Institute of Marine Science; University of Western Australia; Virginia Polytechnic Institute &amp; State University; Bedford Institute of Oceanography; National Institute of Water &amp; Atmospheric Research (NIWA) - New Zealand; University of Miami; Rhodes University; Zoological Society of London; Griffith University; Griffith University - Gold Coast Campus; Smithsonian Institution; Smithsonian Tropical Research Institute; University of Miami; Universidad San Francisco de Quito; Universidad San Francisco de Quito; University of Queensland; Mote Marine Laboratory &amp; Aquarium; University of Windsor; Zoological Society of London; Murdoch University; University of California System; University of California Davis; University of Cape Town; Universidade Federal Fluminense; University of Cambridge; University of Tasmania; Nelson Mandela University; Nelson Mandela University; Research Organization of Information &amp; Systems (ROIS); National Institute of Polar Research (NIPR) - Japan; Graduate University for Advanced Studies - Japan; University of Exeter; University of Rhode Island; Instituto de Fomento Pesquero (Valparaiso); Macquarie University; Deakin University; Basque Foundation for Science; Consejo Superior de Investigaciones Cientificas (CSIC); Universitat de les Illes Balears; CSIC-UIB - Instituto de Fisica Interdisciplinar y Sistemas Complejos (IFISC); University of Oxford; NERC National Oceanography Centre; University of Southampton; University of Southampton; Oregon State University; University of the Sunshine Coast</t>
  </si>
  <si>
    <t>Sims, DW (corresponding author), Marine Biol Assoc UK, Plymouth, Devon, England.;Sims, DW (corresponding author), Univ Southampton, Natl Oceanog Ctr Southampton, Ocean &amp; Earth Sci, Southampton, Hants, England.;Sims, DW (corresponding author), Univ Southampton, Ctr Biol Sci, Southampton, Hants, England.</t>
  </si>
  <si>
    <t>dws@mba.ac.uk</t>
  </si>
  <si>
    <t>Hussey, Nigel E/F-9699-2015; Holmes, Bonnie/AAZ-5413-2021; Dagorn, Laurent/K-1002-2016; Duarte Quesada, Carlos Manuel/ABD-6208-2021; Afonso, André Sucena/AFL-1497-2022; Campana, Steven/L-7918-2019; SOUTHALL, EMILY J/AGP-5395-2022; Eguíluz, Víctor M./B-9655-2008; Santos, António M/M-3515-2013; Macena, Bruno/ABD-2959-2021; Clua, Eric EG/D-7820-2013; Thorrold, Simon R/B-7565-2012; Vedor, Marisa/D-9038-2015; Braun, Camrin D/G-8718-2012; Ferretti, Francesco/AAR-2545-2020; Lyon, Warrick/JTS-3460-2023; Sandoval, Gonzalo Mucientes/A-1057-2009; Rohner, Chris/AAJ-1661-2020; Duarte, Carlos M/A-7670-2013; Thums, Michele/A-3850-2013; Queiroz, Nuno/G-3850-2010; Sousa, Lara/L-7774-2013; Pierce, Simon J./A-7621-2010; Sequeira, Ana M M/AAE-9741-2021; Afonso, Pedro/B-7815-2013; Berumen, Michael/F-7745-2011; Bach, Pascal/E-9370-2013</t>
  </si>
  <si>
    <t>Holmes, Bonnie/0000-0002-8559-9950; Afonso, André Sucena/0000-0001-9129-278X; Campana, Steven/0000-0002-7453-3761; SOUTHALL, EMILY J/0000-0001-7246-278X; Eguíluz, Víctor M./0000-0003-1133-1289; Santos, António M/0000-0002-0417-8813; Macena, Bruno/0000-0001-5010-8560; Clua, Eric EG/0000-0001-7629-2685; Vedor, Marisa/0000-0001-7336-3732; Ferretti, Francesco/0000-0001-9510-3552; Sandoval, Gonzalo Mucientes/0000-0001-6650-3020; Rohner, Chris/0000-0001-8760-8972; Duarte, Carlos M/0000-0002-1213-1361; Sousa, Lara/0000-0002-4392-3572; Pierce, Simon J./0000-0002-9375-5175; Sequeira, Ana M M/0000-0001-6906-799X; Bonfil, Ramon/0000-0002-5753-464X; Hoyos, Edgar/0000-0002-4318-2655; Vandeperre, Frederic/0000-0002-3947-6917; Meekan, Mark/0000-0002-3067-9427; Afonso, Pedro/0000-0002-4618-2589; Jewell, Oliver/0000-0001-7680-8960; Berumen, Michael/0000-0003-2463-2742; de Oliveira Lana, Fernanda/0000-0001-7235-069X; Semmens, Jayson/0000-0003-1742-6692; Hearn, Alex/0000-0002-4986-098X; Bach, Pascal/0000-0003-0804-8466; abrantes, katya/0000-0001-8648-8817; Harcourt, Robert/0000-0003-4666-2934; Goldsworthy, Simon/0000-0003-4988-9085; Huveneers, Charlie/0000-0001-8937-1358</t>
  </si>
  <si>
    <t>Natural Environment Research Council (NERC) [NE/R00997/X/1]; European Research Council (ERC) [883583]; Australian Research Council (ARC) [DP210103091]; Fundacao para a Ciencia e a Tecnologia [CEECIND/02857/2018, PTDC/BIA-COM/28855/2017]; 2020 Pew Fellowship in Marine Conservation; European Research Council (ERC) [883583] Funding Source: European Research Council (ERC); Fundação para a Ciência e a Tecnologia [PTDC/BIA-COM/28855/2017] Funding Source: FCT; NERC [NE/R00997X/1] Funding Source: UKRI</t>
  </si>
  <si>
    <t>Natural Environment Research Council (NERC)(UK Research &amp; Innovation (UKRI)Natural Environment Research Council (NERC)); European Research Council (ERC)(European Research Council (ERC)Spanish Government); Australian Research Council (ARC)(Australian Research Council); Fundacao para a Ciencia e a Tecnologia(Fundacao para a Ciencia e a Tecnologia (FCT)); 2020 Pew Fellowship in Marine Conservation; European Research Council (ERC)(European Research Council (ERC)Spanish Government); Fundação para a Ciência e a Tecnologia(Fundacao para a Ciencia e a Tecnologia (FCT)); NERC(UK Research &amp; Innovation (UKRI)Natural Environment Research Council (NERC))</t>
  </si>
  <si>
    <t>Funding support was provided by the Natural Environment Research Council (NERC) (NE/R00997/X/1), European Research Council (ERC-AdG-2019 883583 OCEAN DEOXYFISH) (D.W.S.), Australian Research Council (ARC DP210103091) (A.M.M.S. and D.W.S.), Fundacao para a Ciencia e a Tecnologia CEECIND/02857/2018 (N.Q.), PTDC/BIA-COM/28855/2017 (M.V.) and a 2020 Pew Fellowship in Marine Conservation (A.M.M.S.). This research is part of the Global Shark Movement Project (https://www.globalsharkmovement.org/).</t>
  </si>
  <si>
    <t>0028-0836</t>
  </si>
  <si>
    <t>1476-4687</t>
  </si>
  <si>
    <t>Nature</t>
  </si>
  <si>
    <t>E8</t>
  </si>
  <si>
    <t>E16</t>
  </si>
  <si>
    <t>10.1038/s41586-021-03397-3</t>
  </si>
  <si>
    <t>TG4LI</t>
  </si>
  <si>
    <t>WOS:000671377900016</t>
  </si>
  <si>
    <t>Queiroz, N; Humphries, NE; Couto, A; Vedor, M; da Costa, I; Sequeira, AMM; Mucientes, G; Santos, AM; Abascal, FJ; Abercrombie, DL; Abrantes, K; Acuña-Marrero, D; Afonso, AS; Afonso, P; Anders, D; Araujo, G; Arauz, R; Bach, P; Barnett, A; Bernal, D; Berumen, ML; Lion, SB; Bezerra, NPA; Blaison, AV; Block, BA; Bond, ME; Bonfil, R; Braun, CD; Brooks, EJ; Brooks, A; Brown, J; Byrne, ME; Campana, SE; Carlisle, AB; Chapman, DD; Chapple, TK; Chisholm, J; Clarke, CR; Clua, EG; Cochran, JEM; Crochelet, EC; Dagorn, L; Daly, R; Cortés, DD; Doyle, TK; Drew, M; Duffy, CAJ; Erikson, T; Espinoza, E; Ferreira, LC; Ferretti, F; Filmalter, JD; Fischer, GC; Fitzpatrick, R; Fontes, J; Forget, F; Fowler, M; Francis, MP; Gallagher, AJ; Gennari, E; Goldsworthy, SD; Gollock, MJ; Green, JR; Gustafson, JA; Guttridge, TL; Guzman, HM; Hammerschlag, N; Harman, L; Hazin, FHV; Heard, M; Hearn, AR; Holdsworth, JC; Holmes, BJ; Howey, LA; Hoyos, M; Hueter, RE; Hussey, NE; Huveneers, C; Irion, DT; Jacoby, DMP; Jewell, OJD; Johnson, R; Jordan, LKB; Joyce, W; Daly, CAK; Ketchum, JT; Klimley, AP; Kock, AA; Koen, P; Ladino, F; Lana, FO; Lea, JSE; Llewellyn, F; Lyon, WS; MacDonnell, A; Macena, BCL; Marshall, H; McAllister, JD; Meyer, MA; Morris, JJ; Nelson, ER; Papastamatiou, YP; Peñaherrera-Palma, C; Pierce, SJ; Poisson, F; Quintero, LM; Richardson, AJ; Rogers, PJ; Rohner, CA; Rowat, DRL; Samoilys, M; Semmens, JM; Sheaves, M; Shillinger, G; Shivji, M; Singh, S; Skomal, GB; Smale, MJ; Snyders, LB; Soler, G; Soria, M; Stehfest, KM; Thorrold, SR; Tolotti, MT; Towner, A; Travassos, P; Tyminski, JP; Vandeperre, F; Vaudo, JJ; Watanabe, YY; Weber, SB; Wetherbee, BM; White, TD; Williams, S; Zárate, PM; Harcourt, R; Hays, GC; Meekan, MG; Thums, M; Irigoien, X; Eguiluz, VM; Duarte, CM; Sousa, LL; Simpson, SJ; Southall, EJ; Sims, DW</t>
  </si>
  <si>
    <t>Queiroz, Nuno; Humphries, Nicolas E.; Couto, Ana; Vedor, Marisa; da Costa, Ivo; Sequeira, Ana M. M.; Mucientes, Gonzalo; Santos, Antonio M.; Abascal, Francisco J.; Abercrombie, Debra L.; Abrantes, Katya; Acuna-Marrero, David; Afonso, Andre S.; Afonso, Pedro; Anders, Darrell; Araujo, Gonzalo; Arauz, Randall; Bach, Pascal; Barnett, Adam; Bernal, Diego; Berumen, Michael L.; Bessudo Lion, Sandra; Bezerra, Natalia P. A.; Blaison, Antonin V.; Block, Barbara A.; Bond, Mark E.; Bonfil, Ramon; Braun, Camrin D.; Brooks, Edward J.; Brooks, Annabelle; Brown, Judith; Byrne, Michael E.; Campana, Steven E.; Carlisle, Aaron B.; Chapman, Demian D.; Chapple, Taylor K.; Chisholm, John; Clarke, Christopher R.; Clua, Eric G.; Cochran, Jesse E. M.; Crochelet, Estelle C.; Dagorn, Laurent; Daly, Ryan; Devia Cortes, Daniel; Doyle, Thomas K.; Drew, Michael; Duffy, Clinton A. J.; Erikson, Thor; Espinoza, Eduardo; Ferreira, Luciana C.; Ferretti, Francesco; Filmalter, John D.; Fischer, G. Chris; Fitzpatrick, Richard; Fontes, Jorge; Forget, Fabien; Fowler, Mark; Francis, Malcolm P.; Gallagher, Austin J.; Gennari, Enrico; Goldsworthy, Simon D.; Gollock, Matthew J.; Green, Jonathan R.; Gustafson, Johan A.; Guttridge, Tristan L.; Guzman, Hector M.; Hammerschlag, Neil; Harman, Luke; Hazin, Fabio H. V.; Heard, Matthew; Hearn, Alex R.; Holdsworth, John C.; Holmes, Bonnie J.; Howey, Lucy A.; Hoyos, Mauricio; Hueter, Robert E.; Hussey, Nigel E.; Huveneers, Charlie; Irion, Dylan T.; Jacoby, David M. P.; Jewell, Oliver J. D.; Johnson, Ryan; Jordan, Lance K. B.; Joyce, Warren; Daly, Clare A. Keating; Ketchum, James T.; Klimley, A. Peter; Kock, Alison A.; Koen, Pieter; Ladino, Felipe; Lana, Fernanda O.; Lea, James S. E.; Llewellyn, Fiona; Lyon, Warrick S.; MacDonnell, Anna; Macena, Bruno C. L.; Marshall, Heather; McAllister, Jaime D.; Meyer, Michael A.; Morris, John J.; Nelson, Emily R.; Papastamatiou, Yannis P.; Penaherrera-Palma, Cesar; Pierce, Simon J.; Poisson, Francois; Maria Quintero, Lina; Richardson, Andrew J.; Rogers, Paul J.; Rohner, Christoph A.; Rowat, David R. L.; Samoilys, Melita; Semmens, Jayson M.; Sheaves, Marcus; Shillinger, George; Shivji, Mahmood; Singh, Sarika; Skomal, Gregory B.; Smale, Malcolm J.; Snyders, Laurenne B.; Soler, German; Soria, Marc; Stehfest, Kilian M.; Thorrold, Simon R.; Tolotti, Mariana T.; Towner, Alison; Travassos, Paulo; Tyminski, John P.; Vandeperre, Frederic; Vaudo, Jeremy J.; Watanabe, Yuuki Y.; Weber, Sam B.; Wetherbee, Bradley M.; White, Timothy D.; Williams, Sean; Zarate, Patricia M.; Harcourt, Robert; Hays, Graeme C.; Meekan, Mark G.; Thums, Michele; Irigoien, Xabier; Eguiluz, Victor M.; Duarte, Carlos M.; Sousa, Lara L.; Simpson, Samantha J.; Southall, Emily J.; Sims, David W.</t>
  </si>
  <si>
    <t>Reply to: Caution over the use of ecological big data for conservation</t>
  </si>
  <si>
    <t>[Queiroz, Nuno; Couto, Ana; Vedor, Marisa; da Costa, Ivo; Mucientes, Gonzalo; Santos, Antonio M.] Univ Porto, Ctr Invest Biodivers &amp; Recursos Genet, Res Network Biodivers &amp; Evolutionary Biol, Campus Agr Vairao, Vairao, Portugal; [Queiroz, Nuno; Humphries, Nicolas E.; Sousa, Lara L.; Simpson, Samantha J.; Southall, Emily J.; Sims, David W.] Marine Biol Assoc UK, Plymouth, Devon, England; [Vedor, Marisa; Santos, Antonio M.] Univ Porto, Dept Biol, Fac Ciencias, Porto, Portugal; [Sequeira, Ana M. M.] Univ Western Australia, UWA Oceans Inst, Indian Ocean Marine Res Ctr, Crawley, WA, Australia; [Sequeira, Ana M. M.] Univ Western Australia, Sch Biol Sci, Crawley, WA, Australia; [Abascal, Francisco J.] Spanish Inst Oceanog, Santa Cruz De Tenerife, Spain; [Abercrombie, Debra L.] Abercrombie &amp; Fish, Port Jefferson Stn, NY USA; [Abrantes, Katya; Barnett, Adam; Fitzpatrick, Richard; Sheaves, Marcus] James Cook Univ, Coll Sci &amp; Engn, Marine Biol &amp; Aquaculture Unit, Cairns, Qld, Australia; [Acuna-Marrero, David] Massey Univ, Inst Nat &amp; Math Sci, Palmerston North, New Zealand; [Afonso, Andre S.; Bezerra, Natalia P. A.; Hazin, Fabio H. V.; Lana, Fernanda O.; Macena, Bruno C. L.; Travassos, Paulo] Univ Fed Rural Pernambuco UFRPE, Dept Pesca &amp; Aquicultura, Recife, PE, Brazil; [Afonso, Andre S.] Inst Politecn Leiria, Marine &amp; Environm Sci Ctr, MARE, Peniche, Portugal; [Afonso, Pedro; Fontes, Jorge; Vandeperre, Frederic] Univ Lisbon, Lab Maritimo Guia, MARE, Fac Ciencias, Cascais, Portugal; [Afonso, Pedro; Fontes, Jorge; Macena, Bruno C. L.; Vandeperre, Frederic] Univ Acores, Dept Oceanog &amp; Pescas, Inst Marine Res IMAR, Horta, Portugal; [Afonso, Pedro; Fontes, Jorge; Vandeperre, Frederic] Univ Acores, Okeanos Dept Oceanog &amp; Pescas, Horta, Portugal; [Anders, Darrell; Meyer, Michael A.; Singh, Sarika; Snyders, Laurenne B.] Dept Environm Affairs Oceans &amp; Coasts Res, Cape Town, South Africa; [Araujo, Gonzalo] Large Marine Vertebrates Res Inst Philippines, Jagna, Philippines; [Arauz, Randall] Fins Attached Marine Res &amp; Conservat, Colorado Springs, CO USA; [Arauz, Randall] Programa Restaurac Tortugas Marinas PRETOMA, San Jose, Costa Rica; [Arauz, Randall; Bessudo Lion, Sandra; Espinoza, Eduardo; Hearn, Alex R.; Hoyos, Mauricio; Ketchum, James T.; Klimley, A. Peter; Penaherrera-Palma, Cesar; Shillinger, George; Soler, German; Zarate, Patricia M.] MigraMar, Olema, CA USA; [Bach, Pascal; Blaison, Antonin V.; Dagorn, Laurent; Filmalter, John D.; Forget, Fabien; Poisson, Francois; Soria, Marc; Tolotti, Mariana T.] Univ Montpellier, IFREMER, Inst Rech Dev, CNRS,UMR,MARBEC,IRD, Sete, France; [Bernal, Diego; Marshall, Heather] Univ Massachusetts, Dept Biol, Dartmouth, MA USA; [Berumen, Michael L.; Cochran, Jesse E. M.; Duarte, Carlos M.] King Abdullah Univ Sci &amp; Technol, Div Biol &amp; Environm Sci &amp; Engn, Red Sea Res Ctr, Thuwal, Saudi Arabia; [Bessudo Lion, Sandra; Ladino, Felipe; Maria Quintero, Lina; Soler, German] Fdn Malpelo &amp; Otros Ecosistemas Marinos, Bogota, Colombia; [Block, Barbara A.; Chapple, Taylor K.; Shillinger, George; White, Timothy D.] Stanford Univ, Hopkins Marine Stn, Pacific Grove, CA 93950 USA; [Bond, Mark E.; Chapman, Demian D.; Papastamatiou, Yannis P.] Florida Int Univ, Dept Biol Sci, North Miami, FL USA; [Bonfil, Ramon] Univ Fed Ceara, Inst Ciencias Mar, Fortaleza, Ceara, Brazil; [Braun, Camrin D.] Univ Washington, Sch Fishery &amp; Aquat Sci, Seattle, WA 98195 USA; [Braun, Camrin D.; Thorrold, Simon R.] Woods Hole Oceanog Inst, Dept Biol, Woods Hole, MA 02543 USA; [Brooks, Edward J.; Brooks, Annabelle; Williams, Sean] Cape Eleuthera Inst, Shark Res &amp; Conservat Program, Eleuthera, Bahamas; [Brooks, Annabelle] Univ Exeter, Exeter, Devon, England; [Brown, Judith] South Atlantic Environm Res Inst, Stanley, Falkland Island; [Byrne, Michael E.; Shivji, Mahmood; Vaudo, Jeremy J.; Wetherbee, Bradley M.] Nova Southeastern Univ, Guy Harvey Res Inst, Dept Biol Sci, Dania, FL USA; [Byrne, Michael E.] Univ Missouri, Sch Nat Resources, Columbia, MO USA; [Campana, Steven E.] Univ Iceland, Life &amp; Environm Sci, Reykjavik, Iceland; [Carlisle, Aaron B.] Univ Delaware, Sch Marine Sci &amp; Policy, Lewes, DE 19958 USA; [Chisholm, John; Skomal, Gregory B.] Massachusetts Div Marine Fisheries, New Bedford, MA USA; [Clarke, Christopher R.; Lea, James S. E.] Marine Res Facil, Jeddah, Saudi Arabia; [Clua, Eric G.] CNRS, EPHE, UPVD, PSL,Labex CORAIL,CRIOBE,USR3278, Papetoai, French Polynesi, France; [Crochelet, Estelle C.] Agence Rech Biodivers Reunion ARBRE, Marseille, Reunion, France; [Crochelet, Estelle C.] Inst Rech Dev, ESPACE DEV, UMR 228, Marseille, Reunion, France; [Daly, Ryan; Daly, Clare A. Keating] Save Our Seas Fdn, Arros Res Ctr SOSF DRC, Geneva, Switzerland; [Daly, Ryan; Filmalter, John D.; Gennari, Enrico; Kock, Alison A.] South African Inst Aquat Biodivers SAIAB, Grahamstown, South Africa; [Devia Cortes, Daniel] Inst Fomento Pesquero IFOP, Fisheries Res Div, Dept Fisheries Evaluat, Valparaiso, Chile; [Doyle, Thomas K.; Harman, Luke] Univ Coll Cork, Sch Biol Earth &amp; Environm Sci, Cork, Ireland; [Doyle, Thomas K.] Univ Coll Cork, Environm Res Inst, MaREI Ctr, Cork, Ireland; [Drew, Michael; Heard, Matthew; Huveneers, Charlie] Flinders Univ S Australia, Coll Sci &amp; Engn, Adelaide, SA, Australia; [Duffy, Clinton A. J.] Dept Conservat, Auckland, New Zealand; [Erikson, Thor] UKZN, South African Inst Aquat Biodivers, Geol Sci, Durban, South Africa; [Espinoza, Eduardo] Direcc Parque Nacl Galapagos, Puerto Ayora, Galapagos, Ecuador; [Ferreira, Luciana C.; Meekan, Mark G.; Thums, Michele] Indian Ocean Marine Res Ctr UWA, Australian Inst Marine Sci, Crawley, WA, Australia; [Ferretti, Francesco] Virginia Tech, Dept Fish &amp; Wildlife Conservat, Blacksburg, VA USA; [Fischer, G. Chris] OCEARCH, Park City, UT USA; [Fowler, Mark; Joyce, Warren; MacDonnell, Anna] Bedford Inst Oceanog, Dartmouth, NS, Canada; [Francis, Malcolm P.; Lyon, Warrick S.] Natl Inst Water &amp; Atmospher Res, Wellington, New Zealand; [Gallagher, Austin J.] Beneath Waves, Herndon, VA USA; [Gallagher, Austin J.; Hammerschlag, Neil; Nelson, Emily R.] Univ Miami, Rosenstiel Sch Marine &amp; Atmospher Sci, 4600 Rickenbacker Causeway, Miami, FL 33149 USA; [Gennari, Enrico] Oceans Res Inst, Mossel Bay, South Africa; [Gennari, Enrico; Towner, Alison] Rhodes Univ, Dept Ichthyol &amp; Fisheries Sci, Grahamstown, South Africa; [Goldsworthy, Simon D.; Rogers, Paul J.] SARDI Aquat Sci, Adelaide, SA, Australia; [Gollock, Matthew J.; Llewellyn, Fiona] Zool Soc London, London, England; [Green, Jonathan R.] Galapagos Whale Shark Project, Puerto Ayora, Galapagos, Ecuador; [Gustafson, Johan A.] Griffith Univ, Sch Engn, Griffith Ctr Coastal Management, Gold Coast, Qld, Australia; [Guttridge, Tristan L.] Saving Blue, Cooper City, FL USA; [Guzman, Hector M.] Smithsonian Trop Res Inst, Panama City, Panama; [Hammerschlag, Neil] Univ Miami, Leonard &amp; Jayne Abess Ctr Ecosyst Sci &amp; Policy, Coral Gables, FL 33124 USA; [Hearn, Alex R.] Galapagos Sci Ctr, San Cristobal, Galapagos, Ecuador; [Hearn, Alex R.] Univ San Francisco Quito, Quito, Ecuador; [Holdsworth, John C.] Blue Water Marine Res, Tutukaka, New Zealand; [Holmes, Bonnie J.] Univ Queensland, Brisbane, Qld, Australia; [Howey, Lucy A.; Jordan, Lance K. B.] Microwave Telemetry, Columbia, MD USA; [Hoyos, Mauricio; Ketchum, James T.] Pelagios Kakunja, La Paz, Mexico; [Hueter, Robert E.; Morris, John J.; Tyminski, John P.] Ctr Shark Res, Mote Marine Lab, Sarasota, FL USA; [Hussey, Nigel E.] Univ Windsor, Biol Sci, Windsor, ON, Canada; [Irion, Dylan T.] Cape Res &amp; Diver Dev, Simonstown, South Africa; [Jacoby, David M. P.] Zool Soc London, Inst Zool, London, England; [Jewell, Oliver J. D.] Murdoch Univ, Harry Butler Inst, Ctr Sustainable Aquat Ecosyst, Perth, WA, Australia; [Jewell, Oliver J. D.; Towner, Alison] Dyer Isl Conservat Trust, Western Cape, South Africa; [Johnson, Ryan] Blue Wilderness Res Unit, Scottburgh, South Africa; [Klimley, A. Peter] Univ Calif Davis, Davis, CA 95616 USA; [Kock, Alison A.] South African Natl Parks, Cape Res Ctr, Steenberg, South Africa; [Kock, Alison A.] Shark Spotters, Fish Hoek, South Africa; [Kock, Alison A.] Univ Cape Town, Dept Biol Sci, Inst Communities &amp; Wildlife Africa, Rondebosch, South Africa; [Koen, Pieter] Western Cape Dept Agr, Vet Serv, Elsenburg, South Africa; [Lana, Fernanda O.] Univ Fed Fluminense UFF, Dept Biol Marinha, Niteroi, RJ, Brazil; [Lea, James S. E.] Univ Cambridge, Dept Zool, Cambridge, England; [Marshall, Heather] Atlantic White Shark Conservancy, Chatham, MA USA; [McAllister, Jaime D.; Semmens, Jayson M.; Soler, German; Stehfest, Kilian M.] Univ Tasmania, Inst Marine &amp; Antarctic Studies, Fisheries &amp; Aquaculture Ctr, Hobart, Tas, Australia; [Penaherrera-Palma, Cesar] Pontificia Univ Catolica Ecuador Sede Manabi, Portoviejo, Ecuador; [Pierce, Simon J.; Rohner, Christoph A.] Marine Megafauna Fdn, Truckee, CA USA; [Richardson, Andrew J.] Ascens Isl Govt, Conservat &amp; Fisheries Dept, Georgetown, Ascension Isl; [Rowat, David R. L.] Marine Conservat Soc Seychelles, Victoria, Seychelles; [Samoilys, Melita] CORDIO, Mombasa, Kenya; [Shillinger, George] Upwell, Monterey, CA USA; [Smale, Malcolm J.] Nelson Mandela Univ, Dept Zool, Port Elizabeth, South Africa; [Smale, Malcolm J.] Nelson Mandela Univ, Inst Coastal &amp; Marine Res, Port Elizabeth, South Africa; [Watanabe, Yuuki Y.] Natl Inst Polar Res, Tachikawa, Tokyo, Japan; [Watanabe, Yuuki Y.] SOKENDAI Grad Univ Adv Studies, Tachikawa, Tokyo, Japan; [Weber, Sam B.] Univ Exeter, Ctr Ecol &amp; Conservat, Penryn, England; [Wetherbee, Bradley M.] Univ Rhode Isl, Dept Biol Sci, Kingston, RI 02881 USA; [Zarate, Patricia M.] Inst Fomento Pesquero IFOP, Fisheries Res Div, Dept Oceanog &amp; Environm, Valparaiso, Chile; [Harcourt, Robert] Macquarie Univ, Dept Biol Sci, Sydney, NSW, Australia; [Hays, Graeme C.] Deakin Univ, Sch Life &amp; Environm Sci, Geelong, Vic, Australia; [Irigoien, Xabier] AZTI BRTA, Pasaia, Spain; [Irigoien, Xabier] Basque Fdn Sci, Ikerbasque, Bilbao, Spain; [Eguiluz, Victor M.] Univ Balear Isl, Inst Fis Interdisciplinar &amp; Sistemas Complejos, CSIC, Palma De Mallorca, Spain; [Sousa, Lara L.] Univ Oxford, Dept Zool, Wildlife Conservat Res Unit, Tubney, England; [Simpson, Samantha J.; Sims, David W.] Univ Southampton, Natl Oceanog Ctr Southampton, Ocean &amp; Earth Sci, Southampton, Hants, England; [Sims, David W.] Univ Southampton, Ctr Biol Sci, Southampton, Hants, England; [Chapple, Taylor K.] Oregon State Univ, Hatfield Marine Sci Ctr, Newport, OR USA; [Holmes, Bonnie J.] Univ Sunshine Coast, Sippy Downs, Qld, Australia</t>
  </si>
  <si>
    <t>Universidade do Porto; Marine Biological Association United Kingdom; Universidade do Porto; University of Western Australia; University of Western Australia; Spanish Institute of Oceanography; James Cook University; Massey University; Universidade Federal Rural de Pernambuco (UFRPE); Polytechnic Institute of Leiria; Universidade de Lisboa; Universidade dos Acores; Universidade dos Acores; Institut de Recherche pour le Developpement (IRD); Centre National de la Recherche Scientifique (CNRS); Universite de Montpellier; Ifremer; University of Massachusetts System; University Massachusetts Dartmouth; King Abdullah University of Science &amp; Technology; Stanford University; State University System of Florida; Florida International University; Universidade Federal do Ceara; University of Washington; University of Washington Seattle; Woods Hole Oceanographic Institution; University of Exeter; Nova Southeastern University; University of Missouri System; University of Missouri Columbia; University of Iceland; University of Delaware; Massachusetts Division of Marine Fisheries; Centre National de la Recherche Scientifique (CNRS); CNRS - Institute of Ecology &amp; Environment (INEE); Universite PSL; Ecole Pratique des Hautes Etudes (EPHE); Institut de Recherche pour le Developpement (IRD); National Research Foundation - South Africa; South African Institute for Aquatic Biodiversity; Instituto de Fomento Pesquero (Valparaiso); University College Cork; University College Cork; Flinders University South Australia; National Research Foundation - South Africa; South African Institute for Aquatic Biodiversity; University of Kwazulu Natal; Australian Institute of Marine Science; University of Western Australia; Virginia Polytechnic Institute &amp; State University; Bedford Institute of Oceanography; National Institute of Water &amp; Atmospheric Research (NIWA) - New Zealand; University of Miami; Rhodes University; Zoological Society of London; Griffith University; Griffith University - Gold Coast Campus; Smithsonian Institution; Smithsonian Tropical Research Institute; University of Miami; Universidad San Francisco de Quito; Universidad San Francisco de Quito; University of Queensland; Mote Marine Laboratory &amp; Aquarium; University of Windsor; Zoological Society of London; Murdoch University; University of California System; University of California Davis; University of Cape Town; Universidade Federal Fluminense; University of Cambridge; University of Tasmania; Nelson Mandela University; Nelson Mandela University; Research Organization of Information &amp; Systems (ROIS); National Institute of Polar Research (NIPR) - Japan; Graduate University for Advanced Studies - Japan; University of Exeter; University of Rhode Island; Instituto de Fomento Pesquero (Valparaiso); Macquarie University; Deakin University; Basque Foundation for Science; Consejo Superior de Investigaciones Cientificas (CSIC); Universitat de les Illes Balears; CSIC-UIB - Instituto de Fisica Interdisciplinar y Sistemas Complejos (IFISC); University of Oxford; University of Southampton; NERC National Oceanography Centre; University of Southampton; Oregon State University; University of the Sunshine Coast</t>
  </si>
  <si>
    <t>Eguíluz, Víctor M./B-9655-2008; Vedor, Marisa/D-9038-2015; SOUTHALL, EMILY J/AGP-5395-2022; Dagorn, Laurent/K-1002-2016; Duarte Quesada, Carlos Manuel/ABD-6208-2021; Queiroz, Nuno/G-3850-2010; Braun, Camrin D/G-8718-2012; Lyon, Warrick/JTS-3460-2023; Duarte, Carlos M/A-7670-2013; Holmes, Bonnie/AAZ-5413-2021; Thums, Michele/A-3850-2013; Hussey, Nigel E/F-9699-2015; Sandoval, Gonzalo Mucientes/A-1057-2009; Sequeira, Ana M M/AAE-9741-2021; Santos, António M/M-3515-2013; Clua, Eric EG/D-7820-2013; Thorrold, Simon R/B-7565-2012; Sousa, Lara/L-7774-2013; Campana, Steven/L-7918-2019; Rohner, Chris/AAJ-1661-2020; Afonso, André Sucena/AFL-1497-2022; Macena, Bruno/ABD-2959-2021; Ferretti, Francesco/AAR-2545-2020; Pierce, Simon J./A-7621-2010; Afonso, Pedro/B-7815-2013; Bach, Pascal/E-9370-2013; Berumen, Michael/F-7745-2011</t>
  </si>
  <si>
    <t>Eguíluz, Víctor M./0000-0003-1133-1289; Vedor, Marisa/0000-0001-7336-3732; SOUTHALL, EMILY J/0000-0001-7246-278X; Duarte, Carlos M/0000-0002-1213-1361; Holmes, Bonnie/0000-0002-8559-9950; Sandoval, Gonzalo Mucientes/0000-0001-6650-3020; Sequeira, Ana M M/0000-0001-6906-799X; Santos, António M/0000-0002-0417-8813; Clua, Eric EG/0000-0001-7629-2685; Sousa, Lara/0000-0002-4392-3572; Campana, Steven/0000-0002-7453-3761; Rohner, Chris/0000-0001-8760-8972; Afonso, André Sucena/0000-0001-9129-278X; Macena, Bruno/0000-0001-5010-8560; Ferretti, Francesco/0000-0001-9510-3552; Pierce, Simon J./0000-0002-9375-5175; de Oliveira Lana, Fernanda/0000-0001-7235-069X; Goldsworthy, Simon/0000-0003-4988-9085; Cerqueira Ferreira, Luciana/0000-0001-6755-2799; Vandeperre, Frederic/0000-0002-3947-6917; Afonso, Pedro/0000-0002-4618-2589; Hoyos, Edgar/0000-0002-4318-2655; Hearn, Alex/0000-0002-4986-098X; Huveneers, Charlie/0000-0001-8937-1358; Semmens, Jayson/0000-0003-1742-6692; Harcourt, Robert/0000-0003-4666-2934; Meekan, Mark/0000-0002-3067-9427; abrantes, katya/0000-0001-8648-8817; Jewell, Oliver/0000-0001-7680-8960; Bonfil, Ramon/0000-0002-5753-464X; Bach, Pascal/0000-0003-0804-8466; Berumen, Michael/0000-0003-2463-2742</t>
  </si>
  <si>
    <t>Natural Environment Research Council (NERC) [NE/R00997/X/1]; European Research Council (ERC) [883583]; Australian Research Council (ARC) [DP210103091]; Fundacao para a Ciencia e a Tecnologia [CEECIND/02857/2018, PTDC/BIA-COM/28855/2017]; 2020 Pew Fellowship in Marine Conservation; Fundação para a Ciência e a Tecnologia [PTDC/BIA-COM/28855/2017] Funding Source: FCT; NERC [NE/R00997X/1] Funding Source: UKRI; European Research Council (ERC) [883583] Funding Source: European Research Council (ERC)</t>
  </si>
  <si>
    <t>Natural Environment Research Council (NERC)(UK Research &amp; Innovation (UKRI)Natural Environment Research Council (NERC)); European Research Council (ERC)(European Research Council (ERC)Spanish Government); Australian Research Council (ARC)(Australian Research Council); Fundacao para a Ciencia e a Tecnologia(Fundacao para a Ciencia e a Tecnologia (FCT)); 2020 Pew Fellowship in Marine Conservation; Fundação para a Ciência e a Tecnologia(Fundacao para a Ciencia e a Tecnologia (FCT)); NERC(UK Research &amp; Innovation (UKRI)Natural Environment Research Council (NERC)); European Research Council (ERC)(European Research Council (ERC)Spanish Government)</t>
  </si>
  <si>
    <t>Funding support was provided by the Natural Environment Research Council (NERC) (NE/R00997/X/1), European Research Council (ERC-AdG-2019 883583 OCEAN DEOXYFISH) (D.W.S.), Australian Research Council (ARC DP210103091) (A.M.M.S. and D.W.S.), Fundacao para a Ciencia e a Tecnologia CEECIND/02857/2018 (N.Q.), PTDC/BIA-COM/28855/2017 (M.V.) and a 2020 Pew Fellowship in Marine Conservation (A.M.M.S.). This research is part of the Global Shark Movement Project (http://globalsharkmovement.org/).</t>
  </si>
  <si>
    <t>E20</t>
  </si>
  <si>
    <t>E28</t>
  </si>
  <si>
    <t>10.1038/s41586-021-03464-9</t>
  </si>
  <si>
    <t>WOS:000671377900017</t>
  </si>
  <si>
    <t>Li, GH; Yao, Y; Ashok, N; Ning, X</t>
  </si>
  <si>
    <t>Li, Guanghui; Yao, Yao; Ashok, Nikhil; Ning, Xin</t>
  </si>
  <si>
    <t>Ultra-Flexible Visible-Blind Optoelectronics for Wired and Wireless UV Sensing in Harsh Environments</t>
  </si>
  <si>
    <t>ADVANCED MATERIALS TECHNOLOGIES</t>
  </si>
  <si>
    <t>battery-free; harsh environments; ultra-flexible UV sensors; visible-blind; wireless</t>
  </si>
  <si>
    <t>TEMPERATURE-DEPENDENCE; ULTRAVIOLET-RADIATION; BATTERY-FREE; PHOTODETECTORS; SYSTEMS; SURFACE; SENSOR</t>
  </si>
  <si>
    <t>Exploring remote destinations on Earth and in space such as the Antarctic and Mars is of great significance to science and technology. Ultraviolet (UV) irradiation at those locations is usually strong due to the depletion or absence of ozone, which is often accompanied by strong visible light interference and harsh environments with extreme temperatures. Those exploration missions extensively utilize flexible and foldable membranes and shells to meet the extreme requirements on structural size and weight. Ultra-flexible UV photodetectors (PDs) capable of surviving harsh environments with additional ability to integrate on flexible and foldable structures for in situ visible-blind UV sensing are critical to the protection of human explorers and engineering materials. However, the development of such UV PDs remains challenging. Here, this work introduces wired and wireless optoelectronic devices based on visible-blind, ultra-flexible, sub-micron nanocomposites of zinc oxide nanoparticles and single-walled carbon nanotubes. In-depth studies demonstrate their operation at cold and hot temperatures and low air pressure. Those PDs can employ flexible near-field communication circuits for wireless, battery-free data acquisition. Their ultra-flexibility allows folding into a sharp crease and conformal integration to flexible and origami structures, bringing further opportunities for UV detection in demanding missions on Earth and in space.</t>
  </si>
  <si>
    <t>[Li, Guanghui; Yao, Yao; Ashok, Nikhil; Ning, Xin] Penn State Univ, Dept Aerosp Engn, University Pk, PA 16802 USA</t>
  </si>
  <si>
    <t>Pennsylvania Commonwealth System of Higher Education (PCSHE); Pennsylvania State University; Pennsylvania State University - University Park</t>
  </si>
  <si>
    <t>Ning, X (corresponding author), Penn State Univ, Dept Aerosp Engn, University Pk, PA 16802 USA.</t>
  </si>
  <si>
    <t>xzn12@psu.edu</t>
  </si>
  <si>
    <t>Ning, Xin/0000-0002-9432-3665</t>
  </si>
  <si>
    <t>Pennsylvania State University; Haythornthwaite Research Initiation Grant; National Science Foundation [ECCS 2030579]</t>
  </si>
  <si>
    <t>Pennsylvania State University; Haythornthwaite Research Initiation Grant; National Science Foundation(National Science Foundation (NSF))</t>
  </si>
  <si>
    <t>The authors acknowledge the startup grant from The Pennsylvania State University and the Haythornthwaite Research Initiation Grant. Y.Y. and X.N. acknowledge the support from the National Science Foundation (Award number: ECCS 2030579). The authors thank Mitansh Doshi for ordering Nitrogen Liquid for low-temperature measurement. The authors thank Dr. Sven Bilen at the Penn State University for providing access to the miniVNA.</t>
  </si>
  <si>
    <t>2365-709X</t>
  </si>
  <si>
    <t>ADV MATER TECHNOL-US</t>
  </si>
  <si>
    <t>Adv. Mater. Technol.</t>
  </si>
  <si>
    <t>10.1002/admt.202001125</t>
  </si>
  <si>
    <t>Materials Science, Multidisciplinary</t>
  </si>
  <si>
    <t>Materials Science</t>
  </si>
  <si>
    <t>UO6UJ</t>
  </si>
  <si>
    <t>WOS:000670799800001</t>
  </si>
  <si>
    <t>Kang, JH; Xie, YY; Lin, YL; Wang, Y</t>
  </si>
  <si>
    <t>Kang, Jianhua; Xie, Yuyuan; Lin, Yili; Wang, Yu</t>
  </si>
  <si>
    <t>Algal Bloom, Succession, and Drawdown of Silicate in the Chukchi Sea in Summer 2010</t>
  </si>
  <si>
    <t>Chukchi Sea; Chlorophyll a; Algal succession; Silicate; Ice melting; Anticyclonic eddy; Ice algae; Size structure</t>
  </si>
  <si>
    <t>PHYTOPLANKTON COMMUNITY STRUCTURE; MESOSCALE EDDY; BERING STRAIT; EXPORT FLUXES; N RATIO; ICE; OCEAN; NUTRIENTS; GROWTH; TEMPERATURE</t>
  </si>
  <si>
    <t>The Chukchi Sea is the inflow shelf between the Arctic and the Pacific. A comprehensive research on algal dynamics, physical-biological interactions, and impacts on nutrient drawdown was conducted in summer 2010. The study found a phytoplankton bloom with chlorophyll a (Chla) &gt; 10 mg m(-3) at ice edge in July. There were 36 shared algal species in both sea ice and open water, and those species dominated numerically both environments highlighting the seeding role of ice algae for the phytoplankton bloom. The succession pattern of diatom genera at three phases from sea-ice to open-water bloom and post-bloom conditions was revealed, and the phytoplankton abundance was positively correlated with the concentration of &gt; 20 mu m fractionated Chla. An anticyclonic eddy was detected in July and significantly reduced nutrient inventories in the impacted area relative to historical values. Phytoplankton composition was an important factor for both variable drawdown ratios of silicate to dissolved inorganic nitrogen (1.31-3.37) and dissolved inorganic nitrogen to dissolved inorganic phosphorus (7.62-12.32); however, both ratios also changed between July and August. The results indicated highly dynamic biogeochemical processes during the summer. In addition, the lower bound of silicate drawdown was comparable to the amount imported through the Bering Strait, indicating the Chukchi Sea is a significant silicate sink.</t>
  </si>
  <si>
    <t>[Kang, Jianhua; Lin, Yili; Wang, Yu] Minist Nat Resources, Inst Oceanog 3, Lab Marine Biol &amp; Ecol, Univ Rd 178, Xiamen 361005, Fujian, Peoples R China; [Xie, Yuyuan] Xiamen Univ, State Key Lab Marine Environm Sci, Xiamen 361005, Fujian, Peoples R China; [Xie, Yuyuan] Univ S Florida, Coll Marine Sci, St Petersburg, FL 33701 USA</t>
  </si>
  <si>
    <t>Ministry of Natural Resources of the People's Republic of China; Third Institute of Oceanography, Ministry of Natural Resources; Xiamen University; State University System of Florida; University of South Florida</t>
  </si>
  <si>
    <t>Wang, Y (corresponding author), Minist Nat Resources, Inst Oceanog 3, Lab Marine Biol &amp; Ecol, Univ Rd 178, Xiamen 361005, Fujian, Peoples R China.</t>
  </si>
  <si>
    <t>wangyu@tio.org.cn</t>
  </si>
  <si>
    <t>Wang, Yu/HLP-6716-2023; Kang, Jianhua/HJY-4662-2023; Lin, Yi/KEH-1784-2024; Xie, Yuyuan/CAF-6420-2022</t>
  </si>
  <si>
    <t>Kang, Jianhua/0000-0001-8105-3195;</t>
  </si>
  <si>
    <t>Chinese Arctic and Antarctic Administration; National Key Research and Development Program of China [2019YFE0124700]; National Natural Science Foundation of China [41876176, 41806154]; Public Science and Technology Research Funds Projects of Ocean [201105022-2]; Outstanding Postdoctoral Scholarship, State Key Laboratory of Marine Environmental Science at Xiamen University</t>
  </si>
  <si>
    <t>Chinese Arctic and Antarctic Administration; National Key Research and Development Program of China; National Natural Science Foundation of China(National Natural Science Foundation of China (NSFC)); Public Science and Technology Research Funds Projects of Ocean; Outstanding Postdoctoral Scholarship, State Key Laboratory of Marine Environmental Science at Xiamen University</t>
  </si>
  <si>
    <t>This study was supported by the Chinese Arctic and Antarctic Administration and the crews of the R/V Xue Long for the 4th CHINARE. The authors thank Professor Zhao Jinping and Shi Jiuxin of The Ocean University of China for providing the temperature and salinity data, Li Hongliang of the Second Institute of Oceanography, Ministry of Natural Resources for the nutrient data. The CTD and nutrient data can be accessed through the Chinese National Antarctic and Arctic Data Center. The Chla and algal species data will be accessed by searching the article's DOI in the PANGAEA data repository upon approval. This work was funded by the National Key Research and Development Program of China (2019YFE0124700), National Natural Science Foundation of China (41876176, 41806154), the Public Science and Technology Research Funds Projects of Ocean (201105022-2). YX was separately supported by the Outstanding Postdoctoral Scholarship, State Key Laboratory of Marine Environmental Science at Xiamen University.</t>
  </si>
  <si>
    <t>10.1007/s10021-021-00657-1</t>
  </si>
  <si>
    <t>WOS:000670845000002</t>
  </si>
  <si>
    <t>Fearnbach, H; Durban, JW; Ellifrit, DK; Paredes, A; Hickmott, LS; Pitman, RL</t>
  </si>
  <si>
    <t>Fearnbach, Holly; Durban, John W.; Ellifrit, David K.; Paredes, Alyssa; Hickmott, Leigh S.; Pitman, Robert L.</t>
  </si>
  <si>
    <t>A decade of photo-identification reveals contrasting abundance and trends of Type B killer whales in the coastal waters of the Antarctic Peninsula</t>
  </si>
  <si>
    <t>MARINE MAMMAL SCIENCE</t>
  </si>
  <si>
    <t>Antarctica; mark-recapture; Orcinus orca; population dynamics</t>
  </si>
  <si>
    <t>PRINCE-WILLIAM-SOUND; ORCINUS-ORCA; CLIMATE-CHANGE; POPULATION; DYNAMICS; PATTERNS; IMPACTS</t>
  </si>
  <si>
    <t>The Antarctic Peninsula (AP) is rapidly warming and empirical data on abundance trends of marine organisms are required to understand the impact of these physical changes, and interacting anthropogenic impacts, on the ecosystem. Recent estimates inferred increasing abundance of Type A killer whales at the top of this food chain, and here we provide new data on the abundance of Type B1 and B2 killer whales using photographic mark-recaptures collected during austral summers from 2008/2009 to 2017/2018. Both ecotypes were regularly photographed around the AP coastline, particularly off the west side, and individuals of both showed site fidelity across years. B1s had a higher re-identification rate (58% photographed in multiple years, range: 1-7 years) compared to B2s (31%, 1-4 years). We fit mark-recapture models that allowed temporary emigration beyond the study area, to effectively monitor the size of wide-ranging populations and documented contrasting trends for B1s and B2s. A smaller population size (similar to 102) of B1s was estimated to use the area, with a declining trend in abundance (similar to 4.7% per year) and reduced apparent survival in recent years. In contrast, a much larger population size (similar to 740) of B2s was estimated to be generally stable in abundance and apparent survival over the past decade.</t>
  </si>
  <si>
    <t>[Fearnbach, Holly; Paredes, Alyssa] SR3 SeaLife Response Rehabil &amp; Res, Des Moines, WA USA; [Durban, John W.] Natl Marine Fisheries Serv, Southwest Fisheries Sci Ctr, Marine Mammal &amp; Turtle Div, La Jolla, CA 92038 USA; [Durban, John W.] Southall Environm Associates Inc, Aptos, CA USA; [Ellifrit, David K.] Ctr Whale Res, Friday Harbor, WA USA; [Hickmott, Leigh S.] Open Ocean Consulting, Petersfield, Hampshire, England; [Hickmott, Leigh S.] Univ St Andrews, Scottish Oceans Inst, Sch Biol, Sea Mammal Res Unit, St Andrews, Fife, Scotland; [Pitman, Robert L.] Natl Marine Fisheries Serv, Southwest Fisheries Sci Ctr, Antarctic Ecosyst Res Div, La Jolla, CA 92038 USA; [Pitman, Robert L.] Oregon State Univ, Marine Mammal Inst, Hatfield Marine Ctr, Newport, OR USA</t>
  </si>
  <si>
    <t>National Oceanic Atmospheric Admin (NOAA) - USA; University of St Andrews; National Oceanic Atmospheric Admin (NOAA) - USA; Oregon State University</t>
  </si>
  <si>
    <t>Fearnbach, H (corresponding author), 2003 S 216th St 98811, Des Moines, WA 98198 USA.</t>
  </si>
  <si>
    <t>hfearnbach@sealifer3.org</t>
  </si>
  <si>
    <t>Pitman, Robert/0000-0002-8713-1219; Hickmott, Leigh/0000-0002-6140-1866</t>
  </si>
  <si>
    <t>E. R. Johnson; Lindblad Expeditions- National Geographic Conservation Fund [LX07-15, LX07-16, LX07-17, LX07R-18]; National Oceanic and Atmospheric Administration; Pew Charitable Trusts [32659]</t>
  </si>
  <si>
    <t>E. R. Johnson; Lindblad Expeditions- National Geographic Conservation Fund; National Oceanic and Atmospheric Administration(National Oceanic Atmospheric Admin (NOAA) - USA); Pew Charitable Trusts</t>
  </si>
  <si>
    <t>E. R. Johnson; Lindblad Expeditions- National Geographic Conservation Fund, Grant/Award Numbers: LX07-15, LX07-16, LX07-17, LX07R-18; National Oceanic and Atmospheric Administration; Pew Charitable Trusts, Grant/ Award Number: 32659; SR3</t>
  </si>
  <si>
    <t>0824-0469</t>
  </si>
  <si>
    <t>1748-7692</t>
  </si>
  <si>
    <t>MAR MAMMAL SCI</t>
  </si>
  <si>
    <t>Mar. Mamm. Sci.</t>
  </si>
  <si>
    <t>10.1111/mms.12846</t>
  </si>
  <si>
    <t>YD0DC</t>
  </si>
  <si>
    <t>WOS:000670625800001</t>
  </si>
  <si>
    <t>A Class II CPD Photolyase and a 6-4 Photolyase with Photorepair Activity from the Antarctic Moss Pohlia nutans M211</t>
  </si>
  <si>
    <t>PHOTOCHEMISTRY AND PHOTOBIOLOGY</t>
  </si>
  <si>
    <t>DNA PHOTOLYASE; REPAIR; EXPRESSION; TOLERANCE; DYNAMICS</t>
  </si>
  <si>
    <t>Antarctic mosses are the dominant vegetation in the Antarctic continent. Because of stratospheric ozone depletion, they can withstand physiological extreme UV. The formation of CPD and 6-4PP is one of the most harmful damages of UV to DNA. DNA damage can interfere with replication and transcription, resulting in mutation and death. Two types of photolyase, CPD photolyase and 6-4 photolyase, are capable of specific binding CPD or 6-4PP and repairing these lesions. However, there is little research on photolyase in Antarctic moss. Here, we isolated a gene encoding class II CPD photolyase (PnCPDPhr) and a gene encoding 6-4 photolyase (Pn6-4Phr) from Antarctic moss P. nutans M211. When exposed to UVB, CPDs accumulated in gametophytes and the gene expressions of PnCPDPhr and Pn6-4Phr were both up-regulated. In addition, the in vitro expression and photoreactivation assays of PnCPDPhr and Pn6-4Phr were performed. Our results demonstrated that PnCPDPhr and Pn6-4Phr have an effective activity of DNA repair. This is the first study to determine the CPD accumulation in Antarctic moss as well as the first report isolating CPD photolyase and 6-4 photolyase from Antarctic moss. These results will enrich the knowledge of photolyase family and benefit the exploitation of functioning gene in Antarctic moss.</t>
  </si>
  <si>
    <t>[An, Meiling; Sha, Zhenxia] Qingdao Univ, Coll Life Sci, Qingdao, Peoples R China; [An, Meiling; Qu, Changfeng; Miao, Jinlai] Minist Nat Resource, Inst Oceanog 1, Qingdao, Peoples R China; [Qu, Changfeng; Miao, Jinlai] Qingdao Natl Lab Marine Sci &amp; Technol, Lab Marine Drugs &amp; Bioprod, Qingdao, Peoples R China</t>
  </si>
  <si>
    <t>Sha, ZX (corresponding author), Qingdao Univ, Coll Life Sci, Qingdao, Peoples R China.</t>
  </si>
  <si>
    <t>miaojinlai@fio.org.cn; shazhenxia@163.com</t>
  </si>
  <si>
    <t>0031-8655</t>
  </si>
  <si>
    <t>1751-1097</t>
  </si>
  <si>
    <t>PHOTOCHEM PHOTOBIOL</t>
  </si>
  <si>
    <t>Photochem. Photobiol.</t>
  </si>
  <si>
    <t>10.1111/php.13478</t>
  </si>
  <si>
    <t>Biochemistry &amp; Molecular Biology; Biophysics</t>
  </si>
  <si>
    <t>XP6NI</t>
  </si>
  <si>
    <t>WOS:000670622100001</t>
  </si>
  <si>
    <t>Fu, L; Guo, JX; Chen, XF</t>
  </si>
  <si>
    <t>Fu, Lei; Guo, Jingxue; Chen, Xiaofei</t>
  </si>
  <si>
    <t>Measurement of ice flow velocities from GPS positions logged by short-period seismographs in East Antarctica</t>
  </si>
  <si>
    <t>Short-period seismograph; Antarctic ice sheet; Ice flow velocity; GPS</t>
  </si>
  <si>
    <t>MASS-BALANCE; GREENLAND; GLACIER; SHEET; STABILITY</t>
  </si>
  <si>
    <t>The ice flow velocity is a basic feature of glaciers and ice sheets. Measuring ice flow velocities is very important for estimating the mass balance of ice sheets in the Arctic and Antarctic. Traditional methods for measuring ice flow velocity include the use of stakes, snow pits and on-site geodetic GPS and remote sensing measurement methods. Geodetic GPS measurements have high accuracy, but geodetic GPS monitoring points only sparsely cover the Antarctic ice sheets. Moreover, the resolution and accuracy of ice flow velocities based on remote sensing measurements are low. Although the accuracy of the location data recorded by the navigation-grade GPS receivers embedded in short-period seismographs is not as good as that of geodetic GPS, the ice flow velocity can be accurately measured by these navigation-grade GPS data collected over a sufficiently long period. In this paper, navigation-grade GPS location data obtained by passive seismic observations during the 36th Chinese National Antarctic Research Expedition were used to accurately track the movement characteristics of the ice sheet in the Larsemann Hills of East Antarctica and the Taishan Station area. The results showed that the ice sheet in the two study areas is basically moving northwestward with an average ice flow velocity of approximately 1 m mon(-1). The results in the Taishan Station area are basically consistent with the geodetic GPS results, indicating that it is feasible to use the embedded GPS location data from short-period seismographs to track the movement characteristics of ice sheets. The ice flow characteristics in the Larsemann Hills are more complex. The measured ice flow velocities in the Larsemann Hills with a resolution of 200 m help to understand its characteristics. In summary, the ice flow velocities derived from GPS location data are of great significance for studying ice sheet dynamics and glacier mass balance and for evaluating the systematic errors caused by ice sheet movements in seismic imaging.</t>
  </si>
  <si>
    <t>[Fu, Lei; Chen, Xiaofei] Southern Univ Sci &amp; Technol, Shenzhen Key Lab Deep Offshore Oil &amp; Gas Explorat, Shenzhen 518055, Peoples R China; [Fu, Lei; Chen, Xiaofei] Southern Univ Sci &amp; Technol, Dept Earth &amp; Space Sci, Shenzhen 518055, Peoples R China; [Fu, Lei; Chen, Xiaofei] Southern Marine Sci &amp; Engn Guangdong Lab Guangzho, Guangzhou 511458, Peoples R China; [Guo, Jingxue] Polar Res Inst China, Key Lab Polar Sci, MNR, Shanghai 200136, Peoples R China</t>
  </si>
  <si>
    <t>Southern University of Science &amp; Technology; Southern University of Science &amp; Technology; Hong Kong Branch of the Southern Marine Science &amp; Engineering Guangdong Laboratory (Guangzhou); Polar Research Institute of China</t>
  </si>
  <si>
    <t>Chen, XF (corresponding author), Southern Univ Sci &amp; Technol, Shenzhen Key Lab Deep Offshore Oil &amp; Gas Explorat, Shenzhen 518055, Peoples R China.;Chen, XF (corresponding author), Southern Univ Sci &amp; Technol, Dept Earth &amp; Space Sci, Shenzhen 518055, Peoples R China.;Chen, XF (corresponding author), Southern Marine Sci &amp; Engn Guangdong Lab Guangzho, Guangzhou 511458, Peoples R China.</t>
  </si>
  <si>
    <t>chenxf@sustech.edu.cn</t>
  </si>
  <si>
    <t>Chen, Xiaofei/AAB-4648-2019; Fu, Lei/JVE-2289-2024</t>
  </si>
  <si>
    <t>Chen, Xiaofei/0000-0003-3305-8498; Fu, Lei/0000-0001-9709-520X</t>
  </si>
  <si>
    <t>National Natural Science Foundation of China [41974044, U1901602, 41790465, 41876227]; Science and Technology Project of Shenzhen [KQTD2017081011725321]</t>
  </si>
  <si>
    <t>National Natural Science Foundation of China(National Natural Science Foundation of China (NSFC)); Science and Technology Project of Shenzhen</t>
  </si>
  <si>
    <t>We acknowledge the Polar Expedition Office of the Ministry of Natural Resources, the members of the 36th Chinese National Antarctic Research Expedition, and Professor Tong HAO from Tongji University for their support of this field experiment; we also thank Professor Meijian AN from the Chinese Academy of Geological Sciences and Associate Professor Gang QIAO from Tongji University for their valuable advice on the data processing and discussion of the results. This work was supported by the National Natural Science Foundation of China (Grant Nos. 41974044, U1901602, 41790465, and 41876227) and the Science and Technology Project of Shenzhen (Grant No. KQTD2017081011725321).</t>
  </si>
  <si>
    <t>10.1007/s11430-021-9765-6</t>
  </si>
  <si>
    <t>WOS:000672296900001</t>
  </si>
  <si>
    <t>Alves, MB; Emerenciano, AK; Bordon, ICAD; Silva, JRMC; Fávaro, DIT; Borges, JCS; Borges, RM; Pinto, JME; Rezende, KFO; Dzik, LM</t>
  </si>
  <si>
    <t>Alves, Mauricio Barlera; Emerenciano, Andrews Krupinski; da Costa Bordon, Isabella Cristina Antunes; Silva, Jose Roberto Machado Cunha; Favaro, Deborah Ines Teixeira; Borges, Joao Carlos Shimada; Borges, Ricardo Moraes; Pinto, Joana Mona e; Rezende, Karina Fernandes Oliveira; Dzik, Luciana Machado</t>
  </si>
  <si>
    <t>Biomonitoring Assessment of Toxic and Trace Elements in Sterechinus neumayeri Sea Urchins from the Comandante Ferraz Station in Antarctica</t>
  </si>
  <si>
    <t>BULLETIN OF ENVIRONMENTAL CONTAMINATION AND TOXICOLOGY</t>
  </si>
  <si>
    <t>Antarctica; Sea urchin; Biomonitoring; Toxic and trace elements; Environmental contamination</t>
  </si>
  <si>
    <t>KING GEORGE ISLAND; HEAVY-METAL CONTAMINATION; ADMIRALTY BAY; ORGANISMS; BIOINDICATORS; SEDIMENTS</t>
  </si>
  <si>
    <t>In the present study, sea urchin Sterechinus neumayeri tissues were used for the passive biomonitoring of toxic and trace elements at the Comandante Ferraz Station, Antarctica and compared to a pristine region (Botany). As, Ba, Br, Ca, Co, Cr, Fe, K, Na, Rb, Sc, Se and Zn concentrations were determined by instrumental neutron activation analysis (INAA), while toxic metals (Cd, Hg, Ni and Pb), and Cu were determined by atomic absorption spectrometry (GF-AAS). The findings were compared to other organisms commonly applied for biomonitoring purposes and to the sediment concentrations of each sampling region. Urchins from the Ferraz Station area presented higher Br, Co, Cr, Cs, K, Se and Zn levels than the pristine location. The results obtained herein suggest S. neumayeri can be applied to the biomonitoring of Cr and Zn. The present study also contributes to knowledge of the mineral composition of the sea urchin S. neumayeri.</t>
  </si>
  <si>
    <t>[Alves, Mauricio Barlera; Favaro, Deborah Ines Teixeira] IPEN CNEN SP, Inst Pesquisas Energet &amp; Nucl, Av Prof Lineu Prestes 2242,Cidade Univ, BR-05508000 Sao Paulo, Brazil; [Emerenciano, Andrews Krupinski; Silva, Jose Roberto Machado Cunha; Borges, Joao Carlos Shimada; Borges, Ricardo Moraes; Pinto, Joana Mona e; Rezende, Karina Fernandes Oliveira; Dzik, Luciana Machado] Inst Ciencias Biomed, Av Prof Lineu Prestes 1524, BR-05508900 Sao Paulo, Brazil; [da Costa Bordon, Isabella Cristina Antunes] Univ Estadual Paulista, Praca Infante Dom Henrique S-N, BR-11330900 Sao Vicente, SP, Brazil</t>
  </si>
  <si>
    <t>Comissao Nacional de Energia Nuclear (CNEN); Instituto de Pesquisas Energeticas e Nucleares (IPEN); Universidade Estadual Paulista</t>
  </si>
  <si>
    <t>Alves, MB (corresponding author), IPEN CNEN SP, Inst Pesquisas Energet &amp; Nucl, Av Prof Lineu Prestes 2242,Cidade Univ, BR-05508000 Sao Paulo, Brazil.</t>
  </si>
  <si>
    <t>mbarlera@gmail.com</t>
  </si>
  <si>
    <t>Bordon, Isabella C./F-7028-2012; Favaro, Deborah I.T./E-5580-2012; Borges, João CS/B-9057-2012</t>
  </si>
  <si>
    <t>Bordon, Isabella C./0000-0001-9413-8227; Shimada Borges, Joao Carlos/0000-0002-3947-4655</t>
  </si>
  <si>
    <t>PROANTAR project [421728/2017-5]</t>
  </si>
  <si>
    <t>PROANTAR project</t>
  </si>
  <si>
    <t>This study was part of the PROANTAR project, process: 421728/2017-5, entitled Isolation and comparison of the echinochromes of tropical and Antarctic sea urchins and their potential pharmacological and therapeutic applications in partnership with the Evolutionary Histophysiology Laboratory, Department of Cellular Biology and Development, belonging to the Biomedical Sciences Institute, at the University of Sao Paulo.</t>
  </si>
  <si>
    <t>0007-4861</t>
  </si>
  <si>
    <t>1432-0800</t>
  </si>
  <si>
    <t>B ENVIRON CONTAM TOX</t>
  </si>
  <si>
    <t>Bull. Environ. Contam. Toxicol.</t>
  </si>
  <si>
    <t>10.1007/s00128-021-03307-3</t>
  </si>
  <si>
    <t>Environmental Sciences; Toxicology</t>
  </si>
  <si>
    <t>Environmental Sciences &amp; Ecology; Toxicology</t>
  </si>
  <si>
    <t>TQ1YX</t>
  </si>
  <si>
    <t>WOS:000670840300001</t>
  </si>
  <si>
    <t>Araujo, P; Truzzi, C; Belghit, I; Antonucci, M</t>
  </si>
  <si>
    <t>Araujo, Pedro; Truzzi, Cristina; Belghit, Ikram; Antonucci, Matteo</t>
  </si>
  <si>
    <t>The impact of seawater warming on fatty acid composition and nutritional quality indices of Trematomus bernacchii from the Antarctic region</t>
  </si>
  <si>
    <t>FOOD CHEMISTRY</t>
  </si>
  <si>
    <t>Nutritional indices; Fatty acids; Global warming; Thermal acclimation; Trematomus bernacchii</t>
  </si>
  <si>
    <t>SOUTHERN-OCEAN; CLIMATE-CHANGE; FISH; TEMPERATURE; ACCLIMATION; ECOSYSTEMS; PROFILE; GILL</t>
  </si>
  <si>
    <t>There is a growing interest in exploiting Antarctic fisheries for human consumption. However, information on how the nutritional qualities of these resources will respond to the predicted seawater warming in the region for the next century is poor. The present research investigates changes in various nutritional indices of dietary importance (e.g. the ratio polyunsaturated to saturated fatty acids, the atherogenicity index, the thrombogenicity index, the hypo-cholestemlemic to hyper-cholestemlemic index, the health-promoting index, the flesh lipid quality and the ratio omega-3 to omega-6 index) by determining the fatty acid composition in muscle of Trematomus bernacchii (an Antarctic fish species) in its natural habitat (-1.87 degrees C) and warmer temperatures (0.0, 1.0, 2.0 degrees C). Comparison of the estimated nutritional indices at -1.87 degrees C with those at warmer temperatures revealed that seawater warming caused changes in the nutritional indices in the range of -12%&lt; 30%. The observed changes were not statistically significant and ascribed to biological variability. Therefore, the nutritional values of T. bernacchii muscle were preserved after increasing the temperature of its natural habitat by + 4 degrees C. The present research is the first report describing the nutritional quality indices for an Antarctic fish species and the consequences of seawater warming on the nutritional value of T. bernacchii.</t>
  </si>
  <si>
    <t>[Araujo, Pedro; Belghit, Ikram] Inst Marine Res IMR, Feed &amp; Nutr Grp, POB 1870 Nordnes, N-5817 Bergen, Norway; [Truzzi, Cristina] Univ Politecn Marche, Dept Life &amp; Environm Sci, Via Brecce Manche, I-60131 Ancona, Italy; [Antonucci, Matteo] Via Pola 18, I-64014 Martinsicuro, Italy</t>
  </si>
  <si>
    <t>Institute of Marine Research - Norway; Marche Polytechnic University</t>
  </si>
  <si>
    <t>Araujo, P (corresponding author), Inst Marine Res IMR, Feed &amp; Nutr Grp, POB 1870 Nordnes, N-5817 Bergen, Norway.</t>
  </si>
  <si>
    <t>Pedro.Araujo@HI.NO</t>
  </si>
  <si>
    <t>Araujo, Pedro/0000-0002-1962-6084; Antonucci, Matteo/0000-0003-1466-9162</t>
  </si>
  <si>
    <t>Italian Programma Nazionale di Ricerche in Antartide (PNRA) [2013/AZ2.01]; Institute of Marine Research (IMR), Bergen, Norway</t>
  </si>
  <si>
    <t>Italian Programma Nazionale di Ricerche in Antartide (PNRA); Institute of Marine Research (IMR), Bergen, Norway</t>
  </si>
  <si>
    <t>Financial support from the Italian Programma Nazionale di Ricerche in Antartide (PNRA) , projects Chemical Contamination (project 2013/AZ2.01) 'Assessment and evolution of the chemical contamination by organic and inorganic constituents in Antarctic coastal areas' is grate-fully acknowledged. Many thanks are due to the technical personnel of ENEA (Ente Nazionale Energia e Ambiente) at Terra Nova Bay and to the scientists of the 28th Italian Antarctic expedition for the sampling ac-tivities on site. This study was also supported by the Institute of Marine Research (IMR), Bergen, Norway.</t>
  </si>
  <si>
    <t>0308-8146</t>
  </si>
  <si>
    <t>1873-7072</t>
  </si>
  <si>
    <t>FOOD CHEM</t>
  </si>
  <si>
    <t>Food Chem.</t>
  </si>
  <si>
    <t>10.1016/j.foodchem.2021.130500</t>
  </si>
  <si>
    <t>Chemistry, Applied; Food Science &amp; Technology; Nutrition &amp; Dietetics</t>
  </si>
  <si>
    <t>Chemistry; Food Science &amp; Technology; Nutrition &amp; Dietetics</t>
  </si>
  <si>
    <t>UE2FA</t>
  </si>
  <si>
    <t>WOS:000687708700005</t>
  </si>
  <si>
    <t>Abbasi, R; Ackermann, M; Adams, J; Aguilar, JA; Ahlers, M; Ahrens, M; Alispach, C; Alves, AA; Amin, NM; Andeen, K; Anderson, T; Ansseau, I; Anton, G; Argüelles, C; Axani, S; Bai, X; Balagopal, VA; Barbano, A; Barwick, SW; Bastian, B; Basu, V; Baum, V; Baur, S; Bay, R; Beatty, JJ; Becker, KH; Tjus, JB; Bellenghi, C; BenZvi, S; Berley, D; Bernardini, E; Besson, DZ; Binder, G; Bindig, D; Blaufuss, E; Blot, S; Böser, S; Botner, O; Böttcher, J; Bourbeau, E; Bourbeau, J; Bradascio, F; Braun, J; Bron, S; Brostean-Kaiser, J; Burgman, A; Busse, RS; Campana, MA; Chen, C; Chirkin, D; Choi, S; Clark, BA; Clark, K; Classen, L; Coleman, A; Collin, GH; Conrad, JM; Coppin, P; Correa, P; Cowen, DF; Cross, R; Dave, P; De Clercq, C; DeLaunay, JJ; Dembinski, H; Deoskar, K; De Ridder, S; Desai, A; Desiati, P; de Vries, KD; de Wasseige, G; de With, M; DeYoung, T; Dharani, S; Diaz, A; Díaz-Vélez, JC; Dujmovic, H; Dunkman, M; DuVernois, MA; Dvorak, E; Ehrhardt, T; Eller, P; Engel, R; Evans, J; Evenson, PA; Fahey, S; Fazely, AR; Fiedlschuster, S; Fienberg, AT; Filimonov, K; Finley, C; Fischer, L; Fox, D; Franckowiak, A; Friedman, E; Fritz, A; Fürst, P; Gaisser, TK; Gallagher, J; Ganster, E; Garrappa, S; Gerhardt, L; Ghadimi, A; Glauch, T; Glüsenkamp, T; Goldschmidt, A; Gonzalez, JG; Goswami, S; Grant, D; Grégoire, T; Griffith, Z; Griswold, S; Gündüz, M; Haack, C; Hallgren, A; Halliday, R; Halve, L; Halzen, F; Ha Minh, M; Hanson, K; Hardin, J; Haungs, A; Hauser, S; Hebecker, D; Helbing, K; Henningsen, F; Hickford, S; Hignight, J; Hill, C; Hill, GC; Hoffman, KD; Hoffmann, R; Hoinka, T; Hokanson-Fasig, B; Hoshina, K; Huang, F; Huber, M; Huber, T; Hultqvist, K; Hünnefeld, M; Hussain, R; In, S; Iovine, N; Ishihara, A; Jansson, M; Japaridze, GS; Jeong, M; Jones, BJP; Joppe, R; Kang, D; Kang, W; Kang, X; Kappes, A; Kappesser, D; Karg, T; Karl, M; Karle, A; Katz, U; Kauer, M; Kellermann, M; Kelley, JL; Kheirandish, A; Kim, J; Kin, K; Kintscher, T; Kiryluk, J; Klein, SR; Koirala, R; Kolanoski, H; Köpke, L; Kopper, C; Kopper, S; Koskinen, DJ; Koundal, P; Kovacevich, M; Kowalski, M; Krings, K; Krückl, G; Kulacz, N; Kurahashi, N; Kyriacou, A; Gualda, CL; Lanfranchi, JL; Larson, MJ; Lauber, F; Lazar, JP; Leonard, K; Li, Y; Liu, QR; Lohfink, E; Mariscal, CJL; Lu, L; Lucarelli, F; Ludwig, A; Luszczak, W; Lyu, Y; Ma, WY; Madsen, J; Mahn, KBM; Makino, Y; Mallik, P; Mancina, S; Maruyama, R; Mase, K; McNally, F; Meagher, K; Medina, A; Meier, M; Meighen-Berger, S; Merz, J; Micallef, J; Mockler, D; Momenté, G; Montaruli, T; Moore, RW; Morse, R; Moulai, M; Naab, R; Nagai, R; Naumann, U; Necker, J; Neer, G; Niederhausen, H; Nisa, MU; Nowicki, SC; Nygren, DR; Pollmann, AO; Oehler, M; Olivas, A; O'Sullivan, E; Pandya, H; Pankova, DV; Park, N; Parker, GK; Paudel, EN; Peiffer, P; de los Heros, CP; Philippen, S; Pieloth, D; Pieper, S; Pizzuto, A; Plum, M; Popovych, Y; Porcelli, A; Rodriguez, MP; Price, PB; Przybylski, GT; Raab, C; Raissi, A; Rameez, M; Rawlins, K; Rea, IC; Rehman, A; Reimann, R; Renschler, M; Renzi, G; Resconi, E; Reusch, S; Rhode, W; Richman, M; Riedel, B; Robertson, S; Roellinghoff, G; Rongen, M; Rott, C; Ruhe, T; Ryckbosch, D; Cantu, DR; Safa, I; Herrera, SES; Sandrock, A; Sandroos, J; Santander, M; Sarkar, S; Satalecka, K; Scharf, M; Schaufel, M; Schieler, H; Schlunder, P; Schmidt, T; Schneider, A; Schneider, J; Schröder, FG; Schumacher, L; Sclafani, S; Seckel, D; Seunarine, S; Shefali, S; Silva, M; Smithers, B; Snihur, R; Soedingrekso, J; Soldin, D; Spiczak, GM; Spiering, C; Stachurska, J; Stamatikos, M; Stanev, T; Stein, R; Stettner, J; Steuer, A; Stezelberger, T; Stokstad, RG; Strotjohann, NL; Stuttard, T; Sullivan, GW; Taboada, I; Tenholt, F; Ter-Antonyan, S; Tilav, S; Tischbein, F; Tollefson, K; Tomankova, L; Tönnis, C; Toscano, S; Tosi, D; Trettin, A; Tselengidou, M; Tung, CF; Turcati, A; Turcotte, R; Turley, CF; Twagirayezu, JP; Ty, B; Unger, E; Elorrieta, MAU; Usner, M; Vandenbroucke, J; van Eijk, D; van Eijndhoven, N; Vannerom, D; van Santen, J; Verpoest, S; Vraeghe, M; Walck, C; Wallace, A; Wandkowsky, N; Watson, TB; Weaver, C; Weindl, A; Weiss, MJ; Weldert, J; Wendt, C; Werthebach, J; Weyrauch, M; Whelan, BJ; Whitehorn, N; Wiebe, K; Wiebusch, CH; Williams, DR; Wolf, M; Wood, TR; Woschnagg, K; Wrede, G; Wulff, J; Xu, XW; Xu, Y; Yanez, JP; Yoshida, S; Yuan, T; Zhang, Z</t>
  </si>
  <si>
    <t>Abbasi, R.; Ackermann, M.; Adams, J.; Aguilar, J. A.; Ahlers, M.; Ahrens, M.; Alispach, C.; Alves, A. A., Jr.; Amin, N. M.; Andeen, K.; Anderson, T.; Ansseau, I; Anton, G.; Arguelles, C.; Axani, S.; Bai, X.; Balagopal, A., V; Barbano, A.; Barwick, S. W.; Bastian, B.; Basu, V; Baum, V; Baur, S.; Bay, R.; Beatty, J. J.; Becker, K-H; Tjus, J. Becker; Bellenghi, C.; BenZvi, S.; Berley, D.; Bernardini, E.; Besson, D. Z.; Binder, G.; Bindig, D.; Blaufuss, E.; Blot, S.; Boeser, S.; Botner, O.; Boettcher, J.; Bourbeau, E.; Bourbeau, J.; Bradascio, F.; Braun, J.; Bron, S.; Brostean-Kaiser, J.; Burgman, A.; Busse, R. S.; Campana, M. A.; Chen, C.; Chirkin, D.; Choi, S.; Clark, B. A.; Clark, K.; Classen, L.; Coleman, A.; Collin, G. H.; Conrad, J. M.; Coppin, P.; Correa, P.; Cowen, D. F.; Cross, R.; Dave, P.; De Clercq, C.; DeLaunay, J. J.; Dembinski, H.; Deoskar, K.; De Ridder, S.; Desai, A.; Desiati, P.; de Vries, K. D.; de Wasseige, G.; de With, M.; DeYoung, T.; Dharani, S.; Diaz, A.; Diaz-Velez, J. C.; Dujmovic, H.; Dunkman, M.; DuVernois, M. A.; Dvorak, E.; Ehrhardt, T.; Eller, P.; Engel, R.; Evans, J.; Evenson, P. A.; Fahey, S.; Fazely, A. R.; Fiedlschuster, S.; Fienberg, A. T.; Filimonov, K.; Finley, C.; Fischer, L.; Fox, D.; Franckowiak, A.; Friedman, E.; Fritz, A.; Furst, P.; Gaisser, T. K.; Gallagher, J.; Ganster, E.; Garrappa, S.; Gerhardt, L.; Ghadimi, A.; Glauch, T.; Gluesenkamp, T.; Goldschmidt, A.; Gonzalez, J. G.; Goswami, S.; Grant, D.; Gregoire, T.; Griffith, Z.; Griswold, S.; Guenduez, M.; Haack, C.; Hallgren, A.; Halliday, R.; Halve, L.; Halzen, F.; Ha Minh, M.; Hanson, K.; Hardin, J.; Haungs, A.; Hauser, S.; Hebecker, D.; Helbing, K.; Henningsen, F.; Hickford, S.; Hignight, J.; Hill, C.; Hill, G. C.; Hoffman, K. D.; Hoffmann, R.; Hoinka, T.; Hokanson-Fasig, B.; Hoshina, K.; Huang, F.; Huber, M.; Huber, T.; Hultqvist, K.; Huennefeld, M.; Hussain, R.; In, S.; Iovine, N.; Ishihara, A.; Jansson, M.; Japaridze, G. S.; Jeong, M.; Jones, B. J. P.; Joppe, R.; Kang, D.; Kang, W.; Kang, X.; Kappes, A.; Kappesser, D.; Karg, T.; Karl, M.; Karle, A.; Katz, U.; Kauer, M.; Kellermann, M.; Kelley, J. L.; Kheirandish, A.; Kim, J.; Kin, K.; Kintscher, T.; Kiryluk, J.; Klein, S. R.; Koirala, R.; Kolanoski, H.; Koepke, L.; Kopper, C.; Kopper, S.; Koskinen, D. J.; Koundal, P.; Kovacevich, M.; Kowalski, M.; Krings, K.; Krueckl, G.; Kulacz, N.; Kurahashi, N.; Kyriacou, A.; Gualda, C. Lagunas; Lanfranchi, J. L.; Larson, M. J.; Lauber, F.; Lazar, J. P.; Leonard, K.; Li, Y.; Liu, Q. R.; Lohfink, E.; Mariscal, C. J. Lozano; Lu, L.; Lucarelli, F.; Ludwig, A.; Luszczak, W.; Lyu, Y.; Ma, W. Y.; Madsen, J.; Mahn, K. B. M.; Makino, Y.; Mallik, P.; Mancina, S.; Maruyama, R.; Mase, K.; McNally, F.; Meagher, K.; Medina, A.; Meier, M.; Meighen-Berger, S.; Merz, J.; Micallef, J.; Mockler, D.; Momente, G.; Montaruli, T.; Moore, R. W.; Morse, R.; Moulai, M.; Naab, R.; Nagai, R.; Naumann, U.; Necker, J.; Neer, G.; Niederhausen, H.; Nisa, M. U.; Nowicki, S. C.; Nygren, D. R.; Pollmann, A. Obertacke; Oehler, M.; Olivas, A.; O'Sullivan, E.; Pandya, H.; Pankova, D., V; Park, N.; Parker, G. K.; Paudel, E. N.; Peiffer, P.; de los Heros, C. Perez; Philippen, S.; Pieloth, D.; Pieper, S.; Pizzuto, A.; Plum, M.; Popovych, Y.; Porcelli, A.; Rodriguez, M. Prado; Price, P. B.; Przybylski, G. T.; Raab, C.; Raissi, A.; Rameez, M.; Rawlins, K.; Rea, I. C.; Rehman, A.; Reimann, R.; Renschler, M.; Renzi, G.; Resconi, E.; Reusch, S.; Rhode, W.; Richman, M.; Riedel, B.; Robertson, S.; Roellinghoff, G.; Rongen, M.; Rott, C.; Ruhe, T.; Ryckbosch, D.; Cantu, D. Rysewyk; Safa, I; Herrera, S. E. Sanchez; Sandrock, A.; Sandroos, J.; Santander, M.; Sarkar, S.; Satalecka, K.; Scharf, M.; Schaufel, M.; Schieler, H.; Schlunder, P.; Schmidt, T.; Schneider, A.; Schneider, J.; Schroder, F. G.; Schumacher, L.; Sclafani, S.; Seckel, D.; Seunarine, S.; Shefali, S.; Silva, M.; Smithers, B.; Snihur, R.; Soedingrekso, J.; Soldin, D.; Spiczak, G. M.; Spiering, C.; Stachurska, J.; Stamatikos, M.; Stanev, T.; Stein, R.; Stettner, J.; Steuer, A.; Stezelberger, T.; Stokstad, R. G.; Strotjohann, N. L.; Stuttard, T.; Sullivan, G. W.; Taboada, I; Tenholt, F.; Ter-Antonyan, S.; Tilav, S.; Tischbein, F.; Tollefson, K.; Tomankova, L.; Tonnis, C.; Toscano, S.; Tosi, D.; Trettin, A.; Tselengidou, M.; Tung, C. F.; Turcati, A.; Turcotte, R.; Turley, C. F.; Twagirayezu, J. P.; Ty, B.; Unger, E.; Elorrieta, M. A. Unland; Usner, M.; Vandenbroucke, J.; van Eijk, D.; van Eijndhoven, N.; Vannerom, D.; van Santen, J.; Verpoest, S.; Vraeghe, M.; Walck, C.; Wallace, A.; Wandkowsky, N.; Watson, T. B.; Weaver, C.; Weindl, A.; Weiss, M. J.; Weldert, J.; Wendt, C.; Werthebach, J.; Weyrauch, M.; Whelan, B. J.; Whitehorn, N.; Wiebe, K.; Wiebusch, C. H.; Williams, D. R.; Wolf, M.; Wood, T. R.; Woschnagg, K.; Wrede, G.; Wulff, J.; Xu, X. W.; Xu, Y.; Yanez, J. P.; Yoshida, S.; Yuan, T.; Zhang, Z.</t>
  </si>
  <si>
    <t>IceCube Collaboration</t>
  </si>
  <si>
    <t>Measurement of the high-energy all-flavor neutrino-nucleon cross section with IceCube</t>
  </si>
  <si>
    <t>PHYSICAL REVIEW D</t>
  </si>
  <si>
    <t>GLASHOW RESONANCE; ACCELERATION</t>
  </si>
  <si>
    <t>The flux of high-energy neutrinos passing through the Earth is attenuated due to their interactions with matter. The interaction rate is determined by the neutrino interaction cross section and affects the flux arriving at the IceCube Neutrino Observatory, a cubic-kilometer neutrino detector embedded in the Antarctic ice sheet. We present a measurement of the neutrino cross section between 60 TeV and 10 PeV using the high-energy starting event (HESE) sample from IceCube with 7.5 years of data. The result is binned in neutrino energy and obtained using both Bayesian and frequentist statistics. We find it compatible with predictions from the Standard Model. While the cross section is expected to be flavor independent above 1 TeV, additional constraints on the measurement are included through updated experimental particle identification (PID) classifiers, proxies for the three neutrino flavors. This is the first such measurement to use a ternary PID observable and the first to account for neutrinos from tau decay.</t>
  </si>
  <si>
    <t>[Boettcher, J.; Dharani, S.; Furst, P.; Ganster, E.; Halve, L.; Hauser, S.; Joppe, R.; Kellermann, M.; Mallik, P.; Merz, J.; Philippen, S.; Popovych, Y.; Reimann, R.; Rongen, M.; Scharf, M.; Schaufel, M.; Schumacher, L.; Shefali, S.; Stettner, J.; Tischbein, F.; Wiebusch, C. H.] Rhein Westfal TH Aachen, Phys Inst 3, D-52056 Aachen, Germany; [Hill, G. C.; Kyriacou, A.; Wallace, A.; Whelan, B. J.] Univ Adelaide, Dept Phys, Adelaide, SA 5005, Australia; [Rawlins, K.] Univ Alaska Anchorage, Dept Phys &amp; Astron, 3211 Providence Dr, Anchorage, AK 99508 USA; [Jones, B. J. P.; Parker, G. K.; Smithers, B.; Watson, T. B.] Univ Texas Arlington, Dept Phys, 502 Yates St,Sci Hall Rm 108,Box 19059, Arlington, TX 76019 USA; [Japaridze, G. S.] Clark Atlanta Univ, CTSPS, Atlanta, GA 30314 USA; [Chen, C.; Dave, P.; Taboada, I; Tung, C. F.] Georgia Inst Technol, Sch Phys, Atlanta, GA 30332 USA; [Chen, C.; Dave, P.; Taboada, I; Tung, C. F.] Georgia Inst Technol, Ctr Relativist Astrophys, Atlanta, GA 30332 USA; [Fazely, A. R.; Ter-Antonyan, S.; Xu, X. W.] Southern Univ, Dept Phys, Baton Rouge, LA 70813 USA; [Bay, R.; Binder, G.; Filimonov, K.; Klein, S. R.; Lyu, Y.; Price, P. B.; Robertson, S.; Woschnagg, K.] Univ Calif Berkeley, Dept Phys, Berkeley, CA 94720 USA; [Binder, G.; Gerhardt, L.; Goldschmidt, A.; Klein, S. R.; Lyu, Y.; Nygren, D. R.; Przybylski, G. T.; Robertson, S.; Stezelberger, T.; Stokstad, R. G.] Lawrence Berkeley Natl Lab, Berkeley, CA 94720 USA; [de With, M.; Hebecker, D.; Kolanoski, H.; Kowalski, M.] Humboldt Univ, Inst Phys, D-12489 Berlin, Germany; [Tjus, J. Becker; Franckowiak, A.; Guenduez, M.; Tenholt, F.; Tomankova, L.; Wulff, J.] Ruhr Univ Bochum, Fak Phys &amp; Astron, D-44780 Bochum, Germany; [Aguilar, J. A.; Ansseau, I; Baur, S.; Iovine, N.; Mockler, D.; Raab, C.; Renzi, G.; Toscano, S.] Univ Libre Bruxelles, Sci Fac, CP230, B-1050 Brussels, Belgium; [Coppin, P.; Correa, P.; De Clercq, C.; de Vries, K. D.; de Wasseige, G.; van Eijndhoven, N.] Vrije Univ Brussel VUB, Dienst ELEM, B-1050 Brussels, Belgium; [Arguelles, C.; Lazar, J. P.; Safa, I] Harvard Univ, Dept Phys, Cambridge, MA 02138 USA; [Arguelles, C.; Lazar, J. P.; Safa, I] Harvard Univ, Lab Particle Phys &amp; Cosmol, Cambridge, MA 02138 USA; [Axani, S.; Collin, G. H.; Conrad, J. M.; Diaz, A.; Moulai, M.; Vannerom, D.] MIT, Dept Phys, Cambridge, MA 02139 USA; [Hill, C.; Ishihara, A.; Kin, K.; Lu, L.; Mase, K.; Meier, M.; Nagai, R.; Yoshida, S.] Chiba Univ, Dept Phys, Chiba 2638522, Japan; [Axani, S.; Collin, G. H.; Conrad, J. M.; Diaz, A.; Moulai, M.; Vannerom, D.] Chiba Univ, Inst Global Prominent Res, Chiba 2638522, Japan; [Abbasi, R.] Loyola Univ Chicago, Dept Phys, Chicago, IL 60660 USA; [Adams, J.; Raissi, A.] Univ Canterbury, Dept Phys &amp; Astron, Private Bag 4800, Christchurch, New Zealand; [Berley, D.; Blaufuss, E.; Evans, J.; Friedman, E.; Hoffman, K. D.; Larson, M. J.; Olivas, A.; Schmidt, T.; Sullivan, G. W.] Univ Maryland, Dept Phys, College Pk, MD 20742 USA; [Beatty, J. J.] Ohio State Univ, Dept Astron, Columbus, OH 43210 USA; [Beatty, J. J.; Medina, A.; Stamatikos, M.] Ohio State Univ, Dept Phys, Columbus, OH 43210 USA; [Beatty, J. J.; Medina, A.; Stamatikos, M.] Ohio State Univ, Ctr Cosmol &amp; Astroparticle Phys, Columbus, OH 43210 USA; [Ahlers, M.; Bourbeau, E.; Koskinen, D. J.; Rameez, M.; Stuttard, T.] Univ Copenhagen, Niels Bohr Inst, DK-2100 Copenhagen, Denmark; [Hoinka, T.; Huennefeld, M.; Pieloth, D.; Rhode, W.; Ruhe, T.; Sandrock, A.; Schlunder, P.; Soedingrekso, J.; Werthebach, J.] TU Dortmund Univ, Dept Phys, D-44221 Dortmund, Germany; [Clark, B. A.; DeYoung, T.; Grant, D.; Halliday, R.; Kopper, C.; Ludwig, A.; Mahn, K. B. M.; Micallef, J.; Neer, G.; Nisa, M. U.; Nowicki, S. C.; Cantu, D. Rysewyk; Herrera, S. E. Sanchez; Tollefson, K.; Twagirayezu, J. P.; Whitehorn, N.] Michigan State Univ, Dept Phys &amp; Astron, E Lansing, MI 48824 USA; [Hignight, J.; Kulacz, N.; Moore, R. W.; Sarkar, S.; Weaver, C.; Wood, T. R.; Yanez, J. P.] Univ Alberta, Dept Phys, Edmonton, AB T6G 2E1, Canada; [Anton, G.; Fiedlschuster, S.; Gluesenkamp, T.; Katz, U.; Schneider, J.; Tselengidou, M.; Wrede, G.] Friedrich Alexander Univ Erlangen Nurnberg, Erlangen Ctr Astroparticle Phys, D-91058 Erlangen, Germany; [Bellenghi, C.; Eller, P.; Glauch, T.; Haack, C.; Ha Minh, M.; Henningsen, F.; Huber, M.; Karl, M.; Krings, K.; Meighen-Berger, S.; Niederhausen, H.; Rea, I. C.; Resconi, E.; Turcati, A.; Wolf, M.] Tech Univ Munich, Phys Dept, D-85748 Garching, Germany; [Alispach, C.; Barbano, A.; Bron, S.; Lucarelli, F.; Montaruli, T.] Univ Geneva, Dept Phys Nucl &amp; Corpusculaire, CH-1211 Geneva, Switzerland; [De Ridder, S.; Porcelli, A.; Ryckbosch, D.; Verpoest, S.; Vraeghe, M.] Univ Ghent, Dept Phys &amp; Astron, B-9000 Ghent, Belgium; [Barwick, S. W.] Univ Calif Irvine, Dept Phys &amp; Astron, Irvine, CA 92697 USA; [Alves, A. A., Jr.; Dujmovic, H.; Engel, R.; Haungs, A.; Huber, T.; Kang, D.; Koundal, P.; Oehler, M.; Renschler, M.; Schieler, H.; Schroder, F. G.; Turcotte, R.; Weindl, A.; Weyrauch, M.] Karlsruhe Inst Technol, Inst Kernphys, D-76021 Karlsruhe, Germany; [Besson, D. Z.] Univ Kansas, Dept Phys &amp; Astron, Lawrence, KS 66045 USA; [Clark, K.] SNOLAB, 1039 Reg Rd 24,Creighton Mine 9, Lively, ON P3Y 1N2, Canada; [Ludwig, A.; Whitehorn, N.] Univ Calif Los Angeles, Dept Phys &amp; Astron, Los Angeles, CA 90095 USA; [McNally, F.] Mercer Univ, Dept Phys, Macon, GA 31207 USA; [Gallagher, J.] Univ Wisconsin, Dept Astron, Madison, WI 53706 USA; [Balagopal, A., V; Basu, V; Bourbeau, J.; Braun, J.; Chirkin, D.; Desai, A.; Desiati, P.; Diaz-Velez, J. C.; DuVernois, M. A.; Fahey, S.; Griffith, Z.; Halzen, F.; Hanson, K.; Hardin, J.; Hokanson-Fasig, B.; Hoshina, K.; Hussain, R.; Karle, A.; Kauer, M.; Kelley, J. L.; Lazar, J. P.; Leonard, K.; Liu, Q. R.; Luszczak, W.; Makino, Y.; Mancina, S.; Meagher, K.; Morse, R.; Park, N.; Pizzuto, A.; Rodriguez, M. Prado; Riedel, B.; Safa, I; Schneider, A.; Silva, M.; Snihur, R.; Tosi, D.; Ty, B.; Vandenbroucke, J.; van Eijk, D.; Wandkowsky, N.; Wendt, C.; Yuan, T.] Univ Wisconsin, Dept Phys, Madison, WI 53706 USA; [Balagopal, A., V; Basu, V; Bourbeau, J.; Braun, J.; Chirkin, D.; Desai, A.; Desiati, P.; Diaz-Velez, J. C.; DuVernois, M. A.; Fahey, S.; Griffith, Z.; Halzen, F.; Hanson, K.; Hardin, J.; Hokanson-Fasig, B.; Hoshina, K.; Hussain, R.; Karle, A.; Kauer, M.; Kelley, J. L.; Lazar, J. P.; Leonard, K.; Liu, Q. R.; Luszczak, W.; Makino, Y.; Mancina, S.; Meagher, K.; Morse, R.; Park, N.; Pizzuto, A.; Rodriguez, M. Prado; Riedel, B.; Safa, I; Schneider, A.; Silva, M.; Snihur, R.; Tosi, D.; Ty, B.; Vandenbroucke, J.; van Eijk, D.; Wandkowsky, N.; Wendt, C.; Yuan, T.] Univ Wisconsin, Wisconsin IceCube Particle Astrophys Ctr, Madison, WI 53706 USA; [Baum, V; Boeser, S.; Ehrhardt, T.; Fritz, A.; Kappesser, D.; Koepke, L.; Krueckl, G.; Lohfink, E.; Momente, G.; Peiffer, P.; Sandroos, J.; Steuer, A.; Weldert, J.; Wiebe, K.] Johannes Gutenberg Univ Mainz, Inst Phys, Staudinger Weg 7, D-55099 Mainz, Germany; [Andeen, K.; Plum, M.] Marquette Univ, Dept Phys, Milwaukee, WI 53201 USA; [Busse, R. S.; Classen, L.; Kappes, A.; Mariscal, C. J. Lozano; Elorrieta, M. A. Unland] Westfalische Wilhelms Univ Munster, Inst Kernphys, D-48149 Munster, Germany; [Amin, N. M.; Coleman, A.; Dembinski, H.; Evenson, P. A.; Gaisser, T. K.; Gonzalez, J. G.; Koirala, R.; Pandya, H.; Paudel, E. N.; Rehman, A.; Schroder, F. G.; Seckel, D.; Soldin, D.; Stanev, T.; Tilav, S.] Univ Delaware, Bartol Res Inst, Newark, DE 19716 USA; [Amin, N. M.; Coleman, A.; Dembinski, H.; Evenson, P. A.; Gaisser, T. K.; Gonzalez, J. G.; Koirala, R.; Pandya, H.; Paudel, E. N.; Rehman, A.; Schroder, F. G.; Seckel, D.; Soldin, D.; Stanev, T.; Tilav, S.] Univ Delaware, Dept Phys &amp; Astron, Newark, DE 19716 USA; [Maruyama, R.] Yale Univ, Dept Phys, New Haven, CT 06520 USA; [Sarkar, S.] Univ Oxford, Dept Phys, Parks Rd, Oxford OX1 3PU, England; [Campana, M. A.; Kang, X.; Kovacevich, M.; Kurahashi, N.; Richman, M.; Sclafani, S.] Drexel Univ, Dept Phys, 3141 Chestnut St, Philadelphia, PA 19104 USA; [Bai, X.; Dvorak, E.] South Dakota Sch Mines &amp; Technol, Phys Dept, Rapid City, SD 57701 USA; [Madsen, J.; Seunarine, S.; Spiczak, G. M.] Univ Wisconsin, Dept Phys, River Falls, WI 54022 USA; [BenZvi, S.; Cross, R.; Griswold, S.] Univ Rochester, Dept Phys &amp; Astron, Rochester, NY 14627 USA; [Ahrens, M.; Deoskar, K.; Finley, C.; Hultqvist, K.; Jansson, M.; Walck, C.] Stockholm Univ, Oskar Klein Ctr, SE-10691 Stockholm, Sweden; [Ahrens, M.; Deoskar, K.; Finley, C.; Hultqvist, K.; Jansson, M.; Walck, C.] Stockholm Univ, Dept Phys, SE-10691 Stockholm, Sweden; [Kiryluk, J.; Xu, Y.; Zhang, Z.] SUNY Stony Brook, Dept Phys &amp; Astron, Stony Brook, NY 11794 USA; [Choi, S.; In, S.; Jeong, M.; Kang, W.; Kim, J.; Roellinghoff, G.; Rott, C.] Sungkyunkwan Univ, Dept Phys, Suwon 16419, South Korea; [Tonnis, C.] Sungkyunkwan Univ, Inst Basic Sci, Suwon 16419, South Korea; [Ghadimi, A.; Goswami, S.; Kopper, S.; Santander, M.; Williams, D. R.] Univ Alabama, Dept Phys &amp; Astron, Tuscaloosa, AL 35487 USA; [Cowen, D. F.; Fox, D.] Penn State Univ, Dept Astron &amp; Astrophys, University Pk, PA 16802 USA; [Anderson, T.; Cowen, D. F.; DeLaunay, J. J.; Dunkman, M.; Fienberg, A. T.; Gregoire, T.; Huang, F.; Kheirandish, A.; Lanfranchi, J. L.; Li, Y.; Pankova, D., V; Turley, C. F.; Weiss, M. J.] Penn State Univ, Dept Phys, University Pk, PA 16802 USA; [Botner, O.; Burgman, A.; Hallgren, A.; O'Sullivan, E.; de los Heros, C. Perez; Unger, E.] Uppsala Univ, Dept Phys &amp; Astron, Box 516, S-75120 Uppsala, Sweden; [Becker, K-H; Bindig, D.; Helbing, K.; Hickford, S.; Hoffmann, R.; Lauber, F.; Naumann, U.; Pollmann, A. Obertacke; Pieper, S.] Univ Wuppertal, Dept Phys, D-42119 Wuppertal, Germany; [Ackermann, M.; Bastian, B.; Bernardini, E.; Blot, S.; Bradascio, F.; Brostean-Kaiser, J.; Fischer, L.; Franckowiak, A.; Garrappa, S.; Karg, T.; Kintscher, T.; Kowalski, M.; Gualda, C. Lagunas; Ma, W. Y.; Naab, R.; Necker, J.; Reusch, S.; Satalecka, K.; Spiering, C.; Stachurska, J.; Stein, R.; Strotjohann, N. L.; Trettin, A.; Usner, M.; van Santen, J.] DESY, D-15738 Zeuthen, Germany; [Bernardini, E.] Univ Padua, I-35131 Padua, Italy; [Besson, D. Z.; Spiering, C.] Moscow Engn Phys Inst MEPhI, Natl Res Nucl Univ, Moscow 115409, Russia; [Hoshina, K.] Univ Tokyo, Earthquake Res Inst, Bunkyo Ku, Tokyo 1130032, Japan</t>
  </si>
  <si>
    <t>RWTH Aachen University; University of Adelaide; University of Alaska System; University of Alaska Anchorage; University of Texas System; University of Texas Arlington;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United States Department of Energy (DOE); Lawrence Berkeley National Laboratory; Humboldt University of Berlin; Ruhr University Bochum; University of Wurzburg; Universite Libre de Bruxelles; Vrije Universiteit Brussel; Harvard University; Harvard University; Massachusetts Institute of Technology (MIT); Chiba University; Chiba University; Loyola University Chicago; University of Canterbury; University System of Maryland; University of Maryland College Park; University System of Ohio; Ohio State University; University System of Ohio; Ohio State University; University System of Ohio; Ohio State University; University of Copenhagen; Niels Bohr Institute; Dortmund University of Technology; Michigan State University; University of Alberta; University of Erlangen Nuremberg; Technical University of Munich; University of Geneva; Ghent University; University of California System; University of California Irvine; Helmholtz Association; Karlsruhe Institute of Technology; University of Kansas; University of California System; University of California Los Angeles; Mercer University; University of Wisconsin System; University of Wisconsin Madison; University of Wisconsin System; University of Wisconsin Madison; University of Wisconsin System; University of Wisconsin Madison; Johannes Gutenberg University of Mainz; Marquette University; University of Munster; University of Delaware; University of Delaware; Yale University; University of Oxford; Drexel University; South Dakota School Mines &amp; Technology; University of Wisconsin System; University of Rochester; Stockholm University; Oskar Klein Centre; Stockholm University; State University of New York (SUNY) System; State University of New York (SUNY) Stony Brook; Sungkyunkwan University (SKKU); Sungkyunkwan University (SKKU); Institute for Basic Science - Korea (IBS);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 University of Padua; National Research Nuclear University MEPhI (Moscow Engineering Physics Institute); University of Tokyo</t>
  </si>
  <si>
    <t>Abbasi, R (corresponding author), Loyola Univ Chicago, Dept Phys, Chicago, IL 60660 USA.</t>
  </si>
  <si>
    <t>Alves, Alexandre AA/K-1469-2013; Díaz Vélez, Juan Carlos/AAD-5211-2022; Beatty, James/D-9310-2011; Rott, Carsten/ABB-1304-2021; Anton, Gisela/C-4840-2013; Sarkar, Subir/GPT-4902-2022; Kowalski, Marek P/G-5546-2012; xu, ye/GQO-8972-2022; Sarkar, Subir/G-5978-2011; Huang, Feifei/AAX-2156-2020; Schroeder, Frank G./IRH-9416-2023; xu, ye/JYO-6282-2024; Strotjohann, Nora Linn/GPX-7122-2022; lu, lu/HII-7530-2022; Whitehorn, Nathan/HDM-8864-2022; Haungs, Andreas/JXW-9490-2024; Schneider, Austin/JGC-9796-2023; Rea, Immacolata Carmen/AAV-4830-2021; Tjus, Julia/G-8145-2012; Sandrock, Alexander/AAT-1285-2020; LU, LU/JEZ-4760-2023; Williams, David/HKN-3732-2023; Koskinen, David/G-3236-2014; lu, lu/HGA-0894-2022; Kauer, Matt/AAY-7581-2020; Ma, Wing Yan/HLW-7686-2023; Ahlers, Markus/V-8757-2017; Resconi, Elisa/I-3874-2016; Maruyama, Reina H/A-1064-2013</t>
  </si>
  <si>
    <t>Díaz Vélez, Juan Carlos/0000-0002-0087-0693; Beatty, James/0000-0003-0481-4952; Rott, Carsten/0000-0002-6958-6033; Anton, Gisela/0000-0003-2039-4724; Sarkar, Subir/0000-0002-3542-858X; Huang, Feifei/0000-0002-6014-5928; Schroeder, Frank G./0000-0001-8495-7210; Whitehorn, Nathan/0000-0002-3157-0407; Haungs, Andreas/0000-0002-9638-7574; Rea, Immacolata Carmen/0000-0002-3954-7754; Tjus, Julia/0000-0002-1748-7367; Sandrock, Alexander/0000-0002-6779-1172; Kauer, Matt/0000-0003-1830-9076; Ma, Wing Yan/0000-0003-1251-5493; Resconi, Elisa/0000-0003-0705-2770; Maruyama, Reina H/0000-0003-2794-512X; Rhode, Wolfgang/0000-0003-2636-5000; Rehman, Abdul/0000-0001-7616-5790; Franckowiak, Anna/0000-0002-5605-2219; Lu, Lu/0000-0003-3175-7770; Coppin, Paul/0000-0001-6869-1280; Fox, Derek/0000-0002-3714-672X; Ganster, Erik/0000-0003-4393-6944; Huennefeld, Mirco/0000-0002-2827-6522; van Eijndhoven, Nick/0000-0001-5558-3328; KOUNDAL, PARAS/0000-0002-5917-5230; De Clercq, Catherine/0000-0001-5266-7059; de Vries, Krijn/0000-0002-9842-4068; Bernardini, Elisa/0000-0003-3108-1141; Eller, Philipp/0000-0001-6354-5209; Pizzuto, Alex/0000-0002-8466-8168; Choi, Suyong/0000-0001-6225-9876; Schumacher, Lisa Johanna/0000-0001-8945-6722; Campana, Michael/0000-0003-4162-5739; BenZvi, Segev/0000-0001-5537-4710; Unland Elorrieta, Martin Antonio/0000-0002-6124-3255; Montaruli, Teresa/0000-0001-5014-2152; Stuttard, Thomas/0000-0001-7944-279X; Correa, Pablo/0000-0002-1158-6735; Moore, Roger/0000-0003-4160-4700; Goswami, Srubabati/0000-0002-5614-4092; Deoskar, Kunal/0000-0002-1668-2347; Taboada, Ignacio/0000-0003-3509-3457; Bron, Stephanie/0000-0002-6305-3041; Andeen, Karen/0000-0001-9394-0007; LYU, Yan/0000-0002-7108-2109</t>
  </si>
  <si>
    <t>U.S. National Science Foundation-Office of Polar Programs, U.S. National Science Foundation-Physics Division, Wisconsin Alumni Research Foundation; Center for High Throughput Computing (CHTC) at the University of Wisconsin-Madison; Open Science Grid (OSG), Extreme Science and Engineering Discovery Environment (XSEDE), U.S. Department of Energy National Energy Research Scientific Computing Center, Particle astrophysics research computing center at the University of Maryland; Institute for Cyber-Enabled Research at Michigan State University, and Astroparticle physics computational facility at Marquette University (USA); Funds for Scientific Research (FRS-FNRS and FWO), FWO Odysseus and Big Science programs, and Belgian Federal Science Policy Office (Belspo) (Belgium); Bundesministerium fur Bildung und Forschung (BMBF), Deutsche Forschungsgemeinschaft (DFG); Helmholtz Alliance for Astroparticle Physics (HAP), Initiative and Networking Fund of the Helmholtz Association; Deutsches Elektronen Synchrotron (DESY), and High Performance Computing cluster of the RWTH Aachen (Germany); Swedish Research Council, Swedish Polar Research Secretariat, Swedish National Infrastructure for Computing (SNIC), and Knut and Alice Wallenberg Foundation (Sweden); Australian Research Council (Australia); Natural Sciences and Engineering Research Council of Canada, Calcul Quebec, Compute Ontario, Canada Foundation for Innovation, WestGrid, and Compute Canada (Canada); Villum Fonden; Danish National Research Foundation (DNRF), Carlsberg Foundation (Denmark); Marsden Fund (New Zealand); Japan Society for Promotion of Science (JSPS) and Institute for Global Prominent Research (IGPR) of Chiba University (Japan); National Research Foundation of Korea (NRF) (Korea); Swiss National Science Foundation (SNSF) (Switzerland); Department of Physics, University of Oxford (United Kingdom); STFC [ST/P000770/1] Funding Source: UKRI</t>
  </si>
  <si>
    <t>U.S. National Science Foundation-Office of Polar Programs, U.S. National Science Foundation-Physics Division, Wisconsin Alumni Research Foundation; Center for High Throughput Computing (CHTC) at the University of Wisconsin-Madison; Open Science Grid (OSG), Extreme Science and Engineering Discovery Environment (XSEDE), U.S. Department of Energy National Energy Research Scientific Computing Center, Particle astrophysics research computing center at the University of Maryland; Institute for Cyber-Enabled Research at Michigan State University, and Astroparticle physics computational facility at Marquette University (USA); Funds for Scientific Research (FRS-FNRS and FWO), FWO Odysseus and Big Science programs, and Belgian Federal Science Policy Office (Belspo) (Belgium); Bundesministerium fur Bildung und Forschung (BMBF), Deutsche Forschungsgemeinschaft (DFG); Helmholtz Alliance for Astroparticle Physics (HAP), Initiative and Networking Fund of the Helmholtz Association; Deutsches Elektronen Synchrotron (DESY), and High Performance Computing cluster of the RWTH Aachen (Germany); Swedish Research Council, Swedish Polar Research Secretariat, Swedish National Infrastructure for Computing (SNIC), and Knut and Alice Wallenberg Foundation (Sweden); Australian Research Council (Australia)(Australian Research Council); Natural Sciences and Engineering Research Council of Canada, Calcul Quebec, Compute Ontario, Canada Foundation for Innovation, WestGrid, and Compute Canada (Canada); Villum Fonden(Villum Fonden); Danish National Research Foundation (DNRF), Carlsberg Foundation (Denmark); Marsden Fund (New Zealand)(Royal Society of New ZealandMarsden Fund (NZ)); Japan Society for Promotion of Science (JSPS) and Institute for Global Prominent Research (IGPR) of Chiba University (Japan); National Research Foundation of Korea (NRF) (Korea)(National Research Foundation of Korea); Swiss National Science Foundation (SNSF) (Switzerland)(Swiss National Science Foundation (SNSF)); Department of Physics, University of Oxford (United Kingdom); STFC(UK Research &amp; Innovation (UKRI)Science &amp; Technology Facilities Council (STFC))</t>
  </si>
  <si>
    <t>The IceCube Collaboration acknowledges the significant contributions to this manuscript from Tianlu Yuan. The authors gratefully acknowledge the support from the following agencies and institutions: U.S. National Science Foundation-Office of Polar Programs, U.S. National Science Foundation-Physics Division, Wisconsin Alumni Research Foundation, Center for High Throughput Computing (CHTC) at the University of Wisconsin-Madison, Open Science Grid (OSG), Extreme Science and Engineering Discovery Environment (XSEDE), U.S. Department of Energy National Energy Research Scientific Computing Center, Particle astrophysics research computing center at the University of Maryland, Institute for Cyber-Enabled Research at Michigan State University, and Astroparticle physics computational facility at Marquette University (USA); Funds for Scientific Research (FRS-FNRS and FWO), FWO Odysseus and Big Science programs, and Belgian Federal Science Policy Office (Belspo) (Belgium); Bundesministerium fur Bildung und Forschung (BMBF), Deutsche Forschungsgemeinschaft (DFG), Helmholtz Alliance for Astroparticle Physics (HAP), Initiative and Networking Fund of the Helmholtz Association, Deutsches Elektronen Synchrotron (DESY), and High Performance Computing cluster of the RWTH Aachen (Germany); Swedish Research Council, Swedish Polar Research Secretariat, Swedish National Infrastructure for Computing (SNIC), and Knut and Alice Wallenberg Foundation (Sweden); Australian Research Council (Australia); Natural Sciences and Engineering Research Council of Canada, Calcul Quebec, Compute Ontario, Canada Foundation for Innovation, WestGrid, and Compute Canada (Canada); Villum Fonden, Danish National Research Foundation (DNRF), Carlsberg Foundation (Denmark); Marsden Fund (New Zealand); Japan Society for Promotion of Science (JSPS) and Institute for Global Prominent Research (IGPR) of Chiba University (Japan); National Research Foundation of Korea (NRF) (Korea); Swiss National Science Foundation (SNSF) (Switzerland); Department of Physics, University of Oxford (United Kingdom).</t>
  </si>
  <si>
    <t>AMER PHYSICAL SOC</t>
  </si>
  <si>
    <t>COLLEGE PK</t>
  </si>
  <si>
    <t>ONE PHYSICS ELLIPSE, COLLEGE PK, MD 20740-3844 USA</t>
  </si>
  <si>
    <t>2470-0010</t>
  </si>
  <si>
    <t>2470-0029</t>
  </si>
  <si>
    <t>PHYS REV D</t>
  </si>
  <si>
    <t>Phys. Rev. D</t>
  </si>
  <si>
    <t>10.1103/PhysRevD.104.022001</t>
  </si>
  <si>
    <t>Astronomy &amp; Astrophysics; Physics, Particles &amp; Fields</t>
  </si>
  <si>
    <t>Astronomy &amp; Astrophysics; Physics</t>
  </si>
  <si>
    <t>TG7OI</t>
  </si>
  <si>
    <t>WOS:000671589000001</t>
  </si>
  <si>
    <t>Jonkers, L; Meilland, J; Rillo, MC; de Garidel-Thoron, T; Kitchener, JA; Kucera, M</t>
  </si>
  <si>
    <t>Jonkers, Lukas; Meilland, Julie; Rillo, Marina C.; de Garidel-Thoron, Thibault; Kitchener, John A.; Kucera, Michal</t>
  </si>
  <si>
    <t>Linking zooplankton time series to the fossil record</t>
  </si>
  <si>
    <t>ICES JOURNAL OF MARINE SCIENCE</t>
  </si>
  <si>
    <t>fossil record; global change; long-term zooplankton dynamics; planktonic foraminifera</t>
  </si>
  <si>
    <t>PLANKTONIC-FORAMINIFERA; SEASONAL SUCCESSION; CLIMATE-CHANGE; MASS FLUXES; SHELL FLUX; OCEAN; ECOLOGY; SEA; CALCIFICATION; BIOGEOGRAPHY</t>
  </si>
  <si>
    <t>Marine zooplankton time series are crucial to understand the dynamics of pelagic ecosystems. However, most observational time series are only a few decades long, which limits our understanding of long-term zooplankton dynamics, renders attribution of observed trends to global change ambiguous, and hampers prediction of future response to environmental change. Planktonic foraminifera are calcifying marine zooplankton that have the unique potential to substantially extend our view on plankton dynamics because their skeletal remains are preserved for millions of years in deep-sea sediments. Thus, linking sedimentary and modern time series offers great potential to study zooplankton dynamics across time scales not accessible by direct observations. However, this link is rarely made and the potential of planktonic foraminifera for advancing our understanding of zooplankton dynamics remains underexploited. This underutilization of this potential to bridge time scales is mainly because of the lack of collaboration between biologists, who have mostly focused on other (zoo)plankton, and micropalaeontologists, who have focussed too narrowly on fossil foraminifera. With this food for thought article, we aim to highlight the unique potential of planktonic foraminifera to bridge the gap between biology and geology. We strongly believe that such collaboration has large benefits to both scientific communities.</t>
  </si>
  <si>
    <t>[Jonkers, Lukas; Meilland, Julie; Rillo, Marina C.; Kucera, Michal] Univ Bremen, MARUM Ctr Marine Environm Sci, Leobener Str 8, D-28359 Bremen, Germany; [Rillo, Marina C.] Carl von Ossietzky Univ Oldenburg, ICBM Inst Chem &amp; Biol Marine Environm, Schleusenstr 1, D-26382 Wilhelmshaven, Germany; [de Garidel-Thoron, Thibault] Aix Marseille Univ, CEREGE, CNRS, IRD,INRAE, F-13545 Aix En Provence, France; [Kitchener, John A.] Dept Agr Water &amp; Environm, Australian Antarctic Div, Kingston, Tas 7050, Australia</t>
  </si>
  <si>
    <t>University of Bremen; Carl von Ossietzky Universitat Oldenburg; Centre National de la Recherche Scientifique (CNRS); Institut de Recherche pour le Developpement (IRD); Aix-Marseille Universite; INRAE; Australian Antarctic Division</t>
  </si>
  <si>
    <t>Jonkers, L (corresponding author), Univ Bremen, MARUM Ctr Marine Environm Sci, Leobener Str 8, D-28359 Bremen, Germany.</t>
  </si>
  <si>
    <t>ljonkers@marum.de</t>
  </si>
  <si>
    <t>Kucera, Michal/B-9277-2009; Rillo, Marina Costa/GYJ-6389-2022; Jonkers, Lukas/H-6314-2011; de Garidel-Thoron, Thibault/B-1204-2008</t>
  </si>
  <si>
    <t>Rillo, Marina Costa/0000-0002-2471-0002; Kitchener, John/0000-0003-4642-3044; Jonkers, Lukas/0000-0002-0253-2639; de Garidel-Thoron, Thibault/0000-0001-8983-9571</t>
  </si>
  <si>
    <t>synthesis center CESAB of the French Foundation for Research on Biodiversity (FRB); Cluster of Excellence The Ocean Floor-Earth's Uncharted Interface by the German Research Foundation (DFG)</t>
  </si>
  <si>
    <t>synthesis center CESAB of the French Foundation for Research on Biodiversity (FRB); Cluster of Excellence The Ocean Floor-Earth's Uncharted Interface by the German Research Foundation (DFG)(German Research Foundation (DFG))</t>
  </si>
  <si>
    <t>We would like to thank Todd O'Brien (NOAA) for providing the data shown in the map in Figure 3. LJ, JM, MR, MK, and TG-T are part of the FORCIS-Foraminifera response to climate stressors project funded by the synthesis center CESAB of the French Foundation for Research on Biodiversity (FRB; www.fondationbiodive rsite.fr). JM and MR are funded by the Cluster of Excellence The Ocean Floor-Earth's Uncharted Interface funded by the German Research Foundation (DFG).</t>
  </si>
  <si>
    <t>1054-3139</t>
  </si>
  <si>
    <t>1095-9289</t>
  </si>
  <si>
    <t>ICES J MAR SCI</t>
  </si>
  <si>
    <t>ICES J. Mar. Sci.</t>
  </si>
  <si>
    <t>APR 29</t>
  </si>
  <si>
    <t>10.1093/icesjms/fsab123</t>
  </si>
  <si>
    <t>0W4XE</t>
  </si>
  <si>
    <t>WOS:000755907700001</t>
  </si>
  <si>
    <t>Andrews, MJ; Johnson, JT; Brogioni, M; Macelloni, G; Jezek, KC</t>
  </si>
  <si>
    <t>Andrews, Mark J.; Johnson, Joel T.; Brogioni, Marco; Macelloni, Giovanni; Jezek, Kenneth C.</t>
  </si>
  <si>
    <t>Properties of the 500-2000-MHz RFI Environment Observed in High-Latitude Airborne Radiometer Measurements</t>
  </si>
  <si>
    <t>IEEE TRANSACTIONS ON GEOSCIENCE AND REMOTE SENSING</t>
  </si>
  <si>
    <t>Microwave radiometry; Temperature measurement; Software; Sea measurements; Noise measurement; Microwave measurement; Radiofrequency interference; Radio frequency interference (RFI); RFI environment; RFI mitigation; Ultra-Wideband Software Defined Microwave Radiometer (UWBRAD); wideband radiometry</t>
  </si>
  <si>
    <t>INTERFERENCE MITIGATION; MICROWAVE RADIOMETER; TIME; PROCESSOR</t>
  </si>
  <si>
    <t>Airborne 500-2000-MHz radiometric measurements recorded in high-latitude regions (portions of Greenland, Antarctica, and Northern Canada) are used to provide insight into the radio frequency interference (RFI) environment that can be expected for future radiometer missions operating in this frequency range. Statistics of the RFI environment are reported in terms of the likelihood of a specified bandwidth measurement containing RFI corruption. The results indicate that wideband radiometry from 500 to 2000 MHz is viable for science applications in the majority of the regions surveyed.</t>
  </si>
  <si>
    <t>[Andrews, Mark J.] Ohio State Univ, ElectroSci Lab, Columbus, OH 43210 USA; [Johnson, Joel T.] Ohio State Univ, Dept Elect &amp; Comp Engn, Columbus, OH 43210 USA; [Brogioni, Marco; Macelloni, Giovanni] Natl Council Res, Inst Appl Phys Nello Carrara, I-50019 Sesto Fiorentino, Italy; [Jezek, Kenneth C.] Ohio State Univ, Byrd Polar Res Ctr, Columbus, OH 43210 USA</t>
  </si>
  <si>
    <t>University System of Ohio; Ohio State University; University System of Ohio; Ohio State University; Consiglio Nazionale delle Ricerche (CNR); Istituto di Fisica Applicata Nello Carrara (IFAC-CNR); University System of Ohio; Ohio State University</t>
  </si>
  <si>
    <t>Andrews, MJ (corresponding author), Ohio State Univ, ElectroSci Lab, Columbus, OH 43210 USA.</t>
  </si>
  <si>
    <t>andrews.250@osu.edu</t>
  </si>
  <si>
    <t>; Brogioni, Marco/B-7522-2015</t>
  </si>
  <si>
    <t>Andrews, Mark/0000-0001-6088-2832; Brogioni, Marco/0000-0001-6232-6020</t>
  </si>
  <si>
    <t>UWBRAD system through the National Aeronautics and Space Administration's Instrument Incubator [NNX14AE68G, 80NSSC18K0550, NNX14AH91G]; National Science Foundation [1838401]; Italian Antarctic Programme [2016/AZ3.02]; Italian Space Agency [ASI N.2021-1-U.0]; NASA [684163, NNX14AE68G, 682447, NNX14AH91G] Funding Source: Federal RePORTER</t>
  </si>
  <si>
    <t>UWBRAD system through the National Aeronautics and Space Administration's Instrument Incubator; National Science Foundation(National Science Foundation (NSF)); Italian Antarctic Programme; Italian Space Agency(Agenzia Spaziale Italiana (ASI)); NASA(National Aeronautics &amp; Space Administration (NASA))</t>
  </si>
  <si>
    <t>This work was supported in part by the results from the UWBRAD system through the National Aeronautics and Space Administration's Instrument Incubator, under Grant NNX14AE68G, and Cryospheric Science Programs, under Grant 80NSSC18K0550 and Grant NNX14AH91G, in part by the National Science Foundation under Grant 1838401, and in part by the Antarctic Campaign which was supported in part by the Italian Antarctic Programme under Grant 2016/AZ3.02 and the Italian Space Agency under Grant ASI N.2021-1-U.0.</t>
  </si>
  <si>
    <t>IEEE-INST ELECTRICAL ELECTRONICS ENGINEERS INC</t>
  </si>
  <si>
    <t>PISCATAWAY</t>
  </si>
  <si>
    <t>445 HOES LANE, PISCATAWAY, NJ 08855-4141 USA</t>
  </si>
  <si>
    <t>0196-2892</t>
  </si>
  <si>
    <t>1558-0644</t>
  </si>
  <si>
    <t>IEEE T GEOSCI REMOTE</t>
  </si>
  <si>
    <t>IEEE Trans. Geosci. Remote Sensing</t>
  </si>
  <si>
    <t>10.1109/TGRS.2021.3090945</t>
  </si>
  <si>
    <t>Geochemistry &amp; Geophysics; Engineering, Electrical &amp; Electronic; Remote Sensing; Imaging Science &amp; Photographic Technology</t>
  </si>
  <si>
    <t>Geochemistry &amp; Geophysics; Engineering; Remote Sensing; Imaging Science &amp; Photographic Technology</t>
  </si>
  <si>
    <t>YG8XJ</t>
  </si>
  <si>
    <t>WOS:000732884900001</t>
  </si>
  <si>
    <t>Tarusikirwa, VL; Cuthbert, RN; Mutamiswa, R; Gotcha, N; Nyamukondiwa, C</t>
  </si>
  <si>
    <t>Tarusikirwa, Vimbai L.; Cuthbert, Ross N.; Mutamiswa, Reyard; Gotcha, Nonofo; Nyamukondiwa, Casper</t>
  </si>
  <si>
    <t>Water Balance and Desiccation Tolerance of the Invasive South American Tomato Pinworm</t>
  </si>
  <si>
    <t>JOURNAL OF ECONOMIC ENTOMOLOGY</t>
  </si>
  <si>
    <t>adaptive mechanism; dehydration tolerance; insect invasion; niche adaptation; stress resistance; tomato leafminer</t>
  </si>
  <si>
    <t>TUTA-ABSOLUTA; CLIMATE-CHANGE; STARVATION RESISTANCE; ANTARCTIC MIDGE; DEHYDRATION; MECHANISMS; DROSOPHILA; INSECTS; LEPIDOPTERA; RESPONSES</t>
  </si>
  <si>
    <t>Temperature and dehydration stress are two major co-occurring environmental stressors threatening the physiology, biochemistry, and ecology of insects. As such, understanding adaptive responses to desiccation stress is critical for predicting climate change impacts, particularly its influence on insect invasions. Here, we assessed water balance and desiccation resistance of the invasive Tuta absoluta (Meyrick, 1917) (Lepidoptera: Gelechiidae), and infer how eco-physiology shapes its niche. We measured basal body water and lipid content, water loss rates (WLRs), and desiccation resistance in larvae (second to fourth instars) and adults. Body -water, -lipid, and WLRs significantly varied across life stages. Second instars recorded the lowest while fourth instars exhibited the highest body water and lipid content. Adult body water and lipid content were higher than second and third instars and lower than fourth instars while proportion of body water and lipid contents were highest in adults and second larval instars respectively. Water loss rates were significantly highest in fourth-instar larvae compared to other life stages, but differences among stages were less apparent at longer exposure durations (48 h). Desiccation resistance assays showed that second instars had greatest mortality while fourth-instar larvae and adults were the most desiccation tolerant. Our results show that T. absoluta fourth-instar larvae and adults are the most resilient developmental stages and potentially contribute most to the invasion success of the pest in arid environments. Incorporation of these species-specific eco-physiological traits in predictive models can help refine invasive species potential spread under changing climates.</t>
  </si>
  <si>
    <t>[Tarusikirwa, Vimbai L.; Gotcha, Nonofo; Nyamukondiwa, Casper] Botswana Int Univ Sci &amp; Technol, Dept Biol Sci &amp; Biotechnol, P Bag 16, Palapye, Botswana; [Cuthbert, Ross N.] GEOMAR Helmholtz Zentrum Ozeanforsch Kiel, Dusternbrooker Weg 20, D-24105 Kiel, Germany; [Mutamiswa, Reyard] Univ Free State, Dept Zool &amp; Entomol, POB 339, ZA-9300 Bloemfontein, South Africa</t>
  </si>
  <si>
    <t>Helmholtz Association; GEOMAR Helmholtz Center for Ocean Research Kiel; University of the Free State</t>
  </si>
  <si>
    <t>Nyamukondiwa, C (corresponding author), Botswana Int Univ Sci &amp; Technol, Dept Biol Sci &amp; Biotechnol, P Bag 16, Palapye, Botswana.</t>
  </si>
  <si>
    <t>nyamukondiwac@biust.ac.bw</t>
  </si>
  <si>
    <t>Tarusikirwa, Vimbai Lisa/GRJ-2056-2022</t>
  </si>
  <si>
    <t>Gotcha, Nonofo/0000-0003-1292-4991</t>
  </si>
  <si>
    <t>Botswana International University of Science and Technology (BIUST); Alexander von Humboldt Foundation</t>
  </si>
  <si>
    <t>Botswana International University of Science and Technology (BIUST); Alexander von Humboldt Foundation(Alexander von Humboldt Foundation)</t>
  </si>
  <si>
    <t>V.T., C.N., N.G., and R.M. acknowledge funding from the Botswana International University of Science and Technology (BIUST) and for providing infrastructure. R.C. acknowledge funding from the Alexander von Humboldt Foundation.</t>
  </si>
  <si>
    <t>0022-0493</t>
  </si>
  <si>
    <t>1938-291X</t>
  </si>
  <si>
    <t>J ECON ENTOMOL</t>
  </si>
  <si>
    <t>J. Econ. Entomol.</t>
  </si>
  <si>
    <t>10.1093/jee/toab128</t>
  </si>
  <si>
    <t>Entomology</t>
  </si>
  <si>
    <t>UZ7MQ</t>
  </si>
  <si>
    <t>WOS:000702386300038</t>
  </si>
  <si>
    <t>Rodriguez, ES; Lam, S; Smith, GG; Haddad, PR; Paull, B</t>
  </si>
  <si>
    <t>Rodriguez, Estrella Sanz; Lam, Shing; Smith, Gregory G.; Haddad, Paul R.; Paull, Brett</t>
  </si>
  <si>
    <t>Ultra-trace determination of oxyhalides in ozonated aquacultural marine waters by direct injection ion chromatography coupled with triple-quadrupole mass spectrometry (vol 7, e06885, 2021)</t>
  </si>
  <si>
    <t>HELIYON</t>
  </si>
  <si>
    <t>[Rodriguez, Estrella Sanz; Lam, Shing; Haddad, Paul R.; Paull, Brett] Univ Tasmania, Australian Ctr Res Separat Sci, Sch Nat Sci, Sandy Bay, Hobart, Tas 7001, Australia; [Smith, Gregory G.] Univ Tasmania, Inst Marine &amp; Antarctic Studies IMAS, Private Bag 49, Hobart, Tas 7001, Australia</t>
  </si>
  <si>
    <t>University of Tasmania; University of Tasmania</t>
  </si>
  <si>
    <t>Rodriguez, ES (corresponding author), Univ Tasmania, Australian Ctr Res Separat Sci, Sch Nat Sci, Sandy Bay, Hobart, Tas 7001, Australia.</t>
  </si>
  <si>
    <t>Estrella.SanzRodriguez@utas.edu.au</t>
  </si>
  <si>
    <t>2405-8440</t>
  </si>
  <si>
    <t>Heliyon</t>
  </si>
  <si>
    <t>e07426</t>
  </si>
  <si>
    <t>10.1016/j.heliyon.2021.e07426</t>
  </si>
  <si>
    <t>UD5SC</t>
  </si>
  <si>
    <t>WOS:000687265300022</t>
  </si>
  <si>
    <t>Severgnini, M; Canini, F; Consolandi, C; Camboni, T; D'Acqui, LP; Mascalchi, C; Ventura, S; Zucconi, L</t>
  </si>
  <si>
    <t>Severgnini, Marco; Canini, Fabiana; Consolandi, Clarissa; Camboni, Tania; D'Acqui, Luigi Paolo; Mascalchi, Cristina; Ventura, Stefano; Zucconi, Laura</t>
  </si>
  <si>
    <t>Highly differentiated soil bacterial communities in Victoria Land macro-areas (Antarctica)</t>
  </si>
  <si>
    <t>FEMS MICROBIOLOGY ECOLOGY</t>
  </si>
  <si>
    <t>Victoria Land; soil communities; metabarcoding; 16S; edaphic parameters; environmental filtering</t>
  </si>
  <si>
    <t>MCMURDO DRY VALLEYS; MICROBIAL DIVERSITY; CYANOBACTERIAL DIVERSITY; TERRESTRIAL; BIOGEOGRAPHY; ECOSYSTEMS; ARCHAEAL; ECOLOGY; POINT</t>
  </si>
  <si>
    <t>Ice-free areas of Victoria Land, in Antarctica, are characterized by different terrestrial ecosystems, that are dominated by microorganisms supporting highly adapted communities. Despite the unique conditions of these ecosystems, reports on their bacterial diversity are still fragmentary. From this perspective, 60 samples from 14 localities were analyzed. These localities were distributed in coastal sites with differently developed biological soil crusts, inner sites in the McMurdo Dry Valleys with soils lacking of plant coverage, and a site called Icarus Camp, with a crust developed on a thin locally weathered substrate of the underlying parent granitic-rock. Bacterial diversity was studied through 16S rRNA metabarcoding sequencing. Communities diversity, composition and the abundance and composition of different taxonomic groups were correlated to soil physicochemical characteristics. Firmicutes, Bacteroidetes, Cyanobacteria and Proteobacteria dominated these communities. Most phyla were mainly driven by soil granulometry, an often disregarded parameter and other abiotic parameters. Bacterial composition differed greatly among the three macrohabitats, each having a distinct bacterial profile. Communities within the two main habitats (coastal and inner ones) were well differentiated from each other as well, therefore depending on site-specific physicochemical characteristics. A core community of the whole samples was observed, mainly represented by Firmicutes and Bacteroidetes.</t>
  </si>
  <si>
    <t>[Severgnini, Marco; Consolandi, Clarissa; Camboni, Tania] Natl Res Council ITB CNR, Inst Biomed Technol, Via Flli Cervi 93, I-20054 Segrate, Italy; [Canini, Fabiana; Zucconi, Laura] Univ Tuscia, Dept Ecol &amp; Biol Sci, I-01100 Viterbo, Italy; [D'Acqui, Luigi Paolo; Mascalchi, Cristina; Ventura, Stefano] Natl Res Council IRET CNR, Terrestria Ecosyst Res Inst, Via Madonna del Piano 10, I-50019 Sesto Fiorentino, Italy; [Ventura, Stefano] Italian Embassy Israel, Trade Tower,25 Hamered St, IL-68125 Tel Aviv, Israel</t>
  </si>
  <si>
    <t>Consiglio Nazionale delle Ricerche (CNR); Istituto di Tecnologie Biomediche (ITB-CNR); Tuscia University; Consiglio Nazionale delle Ricerche (CNR); Istituto di Ricerca sugli Ecosistemi Terrestri (IRET)</t>
  </si>
  <si>
    <t>Canini, F (corresponding author), Largo Univ Snc, I-01100 Viterbo, Italy.</t>
  </si>
  <si>
    <t>canini.fabiana@unitus.it</t>
  </si>
  <si>
    <t>Severgnini, Marco/F-5832-2013; Canini, Fabiana/ABE-4243-2020; Ventura, Stefano/A-4014-2009; Zucconi, L./U-9781-2018</t>
  </si>
  <si>
    <t>Canini, Fabiana/0000-0002-9626-6318; Ventura, Stefano/0000-0002-8134-3675; Zucconi, L./0000-0001-9793-2303</t>
  </si>
  <si>
    <t>National Programme for Antarctic Research of the Ministry of Education, University and Research of Italy [PNRA 2013/AZ1.19, PNRA 2015/AZ1.02]</t>
  </si>
  <si>
    <t>National Programme for Antarctic Research of the Ministry of Education, University and Research of Italy</t>
  </si>
  <si>
    <t>This work was supported by the National Programme for Antarctic Research of the Ministry of Education, University and Research of Italy [Grant numbers PNRA 2013/AZ1.19, PNRA 2015/AZ1.02].</t>
  </si>
  <si>
    <t>0168-6496</t>
  </si>
  <si>
    <t>1574-6941</t>
  </si>
  <si>
    <t>FEMS MICROBIOL ECOL</t>
  </si>
  <si>
    <t>FEMS Microbiol. Ecol.</t>
  </si>
  <si>
    <t>fiab087</t>
  </si>
  <si>
    <t>10.1093/femsec/fiab087</t>
  </si>
  <si>
    <t>TY9PI</t>
  </si>
  <si>
    <t>WOS:000684109400010</t>
  </si>
  <si>
    <t>Díez, B</t>
  </si>
  <si>
    <t>Diez, Beatriz</t>
  </si>
  <si>
    <t>Microbial activity during a coastal phytoplankton bloom on the Western Antarctic Peninsula in late summer (vol 1, 365, 2018)</t>
  </si>
  <si>
    <t>FEMS MICROBIOLOGY LETTERS</t>
  </si>
  <si>
    <t>bdiez@bio.puc.cl</t>
  </si>
  <si>
    <t>Díez, Beatriz/AAG-2244-2021</t>
  </si>
  <si>
    <t>Díez, Beatriz/0000-0002-9371-8083</t>
  </si>
  <si>
    <t>Chilean Antarctic Institute [INACH T_15-10, INACH FP_03_13]; Programa de Cooperacion Internacional (PCI)-Comision Nacional de Investigacion y Tecnologia (CONICYT) [DPI20140044]; Fondo de Financiamiento de Centros de Investigacion en Areas Prioritarias (FONDAP)-CONICYT [15110009]; Fondo Nacional de Desarrollo Cientifico y Tecnologico (FONDECYT Postdoctoral)-CONICYT [3170807, 3140422]</t>
  </si>
  <si>
    <t>Chilean Antarctic Institute; Programa de Cooperacion Internacional (PCI)-Comision Nacional de Investigacion y Tecnologia (CONICYT); Fondo de Financiamiento de Centros de Investigacion en Areas Prioritarias (FONDAP)-CONICYT; Fondo Nacional de Desarrollo Cientifico y Tecnologico (FONDECYT Postdoctoral)-CONICYT</t>
  </si>
  <si>
    <t>This work was supported by The Chilean Antarctic Institute [grant number INACH T 15-10 and INACH FP 03 13 (latter to BF-G)], Programa de Cooperacion Internacional (PCI)-Comision Nacional de Investigacion y Tecnologia (CONICYT) [grant number DPI20140044], Fondo de Financiamiento de Centros de Investigacion en Areas Prioritarias (FONDAP)-CONICYT [grant number FONDAP No15110009], Fondo Nacional de Desarrollo Cientifico y Tecnologico (FONDECYT Postdoctoral)-CONICYT [grant numbers No3170807 and No3140422 (latter to BF-G)].</t>
  </si>
  <si>
    <t>0378-1097</t>
  </si>
  <si>
    <t>1574-6968</t>
  </si>
  <si>
    <t>FEMS MICROBIOL LETT</t>
  </si>
  <si>
    <t>FEMS Microbiol. Lett.</t>
  </si>
  <si>
    <t>fnab075</t>
  </si>
  <si>
    <t>10.1093/femsle/fnab075</t>
  </si>
  <si>
    <t>TY9PT</t>
  </si>
  <si>
    <t>WOS:000684110500001</t>
  </si>
  <si>
    <t>Takahashi, Y; Kamata, A; Nishimura, M; Nishihira, J</t>
  </si>
  <si>
    <t>Takahashi, Yoshinori; Kamata, Akira; Nishimura, Mie; Nishihira, Jun</t>
  </si>
  <si>
    <t>Effect of one-week administration of dipeptidyl peptidase-IV inhibitory peptides from chum salmon milt on postprandial blood glucose level: a randomised, placebo-controlled, double-blind, crossover, pilot clinical trial</t>
  </si>
  <si>
    <t>ANGIOTENSIN-CONVERTING ENZYME; GLUCAGON-LIKE PEPTIDE-1; BIOACTIVE PEPTIDES; INSULIN-SECRETION; ANTARCTIC KRILL; HYPERGLYCEMIA; PATHOGENESIS</t>
  </si>
  <si>
    <t>Salmon milt peptide (SMP), an unused fish processing byproduct, exhibits strong inhibitory activity against dipeptidyl peptidase-IV (DPP-IV) and a suppressive effect on postprandial hyperglycaemia in Sprague-Dawley rats. Herein, we conducted a randomised, placebo-controlled, double-blind, crossover study of healthy Japanese subjects to investigate the effect of glucose loading on postprandial blood glucose levels after one week of administering continuous or single dose of 500 mg of SMP. The primary and secondary outcomes of reduced blood glucose and insulin levels were not met in the 14 subjects included in the analysis. This may be due to the ineffectiveness of SMP in insulin resistance due to its DPP-IV inhibitory activity. Therefore, we conducted a SMP subgroup analysis based on the homeostasis model assessment of insulin resistance (HOMA-IR); the group with normal HOMA-IR (&lt;1.6) had a significantly lower area under the curve and blood glucose at 60 min after glucose loading than the group with HOMA-IR &gt;= 1.6. These results suggest that SMP is effective in subjects without insulin resistance. There were no adverse events associated with the test food, and SMP was considered safe. This report is the first to investigate the effect of a food ingredient with DPP-IV inhibitory activity in a clinical trial.</t>
  </si>
  <si>
    <t>[Takahashi, Yoshinori; Kamata, Akira] Maruha Nichiro Corp, Cent Res Inst, 16-2 Wadai, Tsukuba, Ibaraki 3004295, Japan; [Nishimura, Mie; Nishihira, Jun] Hokkaido Informat Univ, Dept Med Management &amp; Informat, 59-2 Nishi Nopporo, Ebetsu, Hokkaido 0698585, Japan</t>
  </si>
  <si>
    <t>Maruha Nichiro Corporation</t>
  </si>
  <si>
    <t>Takahashi, Y (corresponding author), Maruha Nichiro Corp, Cent Res Inst, 16-2 Wadai, Tsukuba, Ibaraki 3004295, Japan.</t>
  </si>
  <si>
    <t>yo-takahashi@maruha-nichiro.co.jp; a-kamata@maruha-nichiro.co.jp; mnishimura@do-johodai.ac.jp; nishihira@do-johodai.ac.jp</t>
  </si>
  <si>
    <t>Takahashi, Yoshinori/0000-0002-5811-6175</t>
  </si>
  <si>
    <t>10.1039/d1fo00592h</t>
  </si>
  <si>
    <t>WOS:000679458100001</t>
  </si>
  <si>
    <t>Siegel, DA; Cetinic, I; Graff, JR; Lee, CM; Nelson, N; Perry, MJ; Ramos, IS; Steinberg, DK; Buesseler, K; Hamme, R; Fassbender, AJ; Nicholson, D; Omand, MM; Robert, M; Thompson, A; Amaral, V; Behrenfeld, M; Benitez-Nelson, C; Bisson, K; Boss, E; Boyd, PW; Brzezinski, M; Buck, K; Burd, A; Burns, S; Caprara, S; Carlson, C; Cassar, N; Close, H; D'Asaro, E; Durkin, C; Erickson, Z; Estapa, ML; Fields, E; Fox, J; Freeman, S; Gifford, S; Gong, WD; Gray, D; Guidi, L; Haentjens, N; Halsey, K; Huot, Y; Hansell, D; Jenkins, B; Karp-Boss, L; Kramer, S; Lam, P; Lee, JM; Maas, A; Marchal, O; Marchetti, A; McDonnell, A; McNair, H; Menden-Deuer, S; Morison, F; Niebergall, AK; Passow, U; Popp, B; Potvin, G; Resplandy, L; Roca-Marti, M; Roesler, C; Rynearson, T; Traylor, S; Santoro, A; Seraphin, KD; Sosik, HM; Stamieszkin, K; Stephens, B; Tang, WY; Van Mooy, B; Xiong, YH; Zhang, XD</t>
  </si>
  <si>
    <t>Siegel, David A.; Cetinic, Ivona; Graff, Jason R.; Lee, Craig M.; Nelson, Norman; Perry, Mary Jane; Ramos, Inia Soto; Steinberg, Deborah K.; Buesseler, Ken; Hamme, Roberta; Fassbender, Andrea J.; Nicholson, David; Omand, Melissa M.; Robert, Marie; Thompson, Andrew; Amaral, Vinicius; Behrenfeld, Michael; Benitez-Nelson, Claudia; Bisson, Kelsey; Boss, Emmanuel; Boyd, Philip W.; Brzezinski, Mark; Buck, Kristen; Burd, Adrian; Burns, Shannon; Caprara, Salvatore; Carlson, Craig; Cassar, Nicolas; Close, Hilary; D'Asaro, Eric; Durkin, Colleen; Erickson, Zachary; Estapa, Margaret L.; Fields, Erik; Fox, James; Freeman, Scott; Gifford, Scott; Gong, Weida; Gray, Deric; Guidi, Lionel; Haentjens, Nils; Halsey, Kim; Huot, Yannick; Hansell, Dennis; Jenkins, Bethany; Karp-Boss, Lee; Kramer, Sasha; Lam, Phoebe; Lee, Jong-Mi; Maas, Amy; Marchal, Olivier; Marchetti, Adrian; McDonnell, Andrew; McNair, Heather; Menden-Deuer, Susanne; Morison, Francoise; Niebergall, Alexandria K.; Passow, Uta; Popp, Brian; Potvin, Genevieve; Resplandy, Laure; Roca-Marti, Montserrat; Roesler, Collin; Rynearson, Tatiana; Traylor, Shawnee; Santoro, Alyson; Seraphin, Kanesa Duncan; Sosik, Heidi M.; Stamieszkin, Karen; Stephens, Brandon; Tang, Weiyi; Van Mooy, Benjamin; Xiong, Yuanheng; Zhang, Xiaodong</t>
  </si>
  <si>
    <t>An operational overview of the EXport Processes in the Ocean from RemoTe Sensing (EXPORTS) Northeast Pacific field deployment</t>
  </si>
  <si>
    <t>ELEMENTA-SCIENCE OF THE ANTHROPOCENE</t>
  </si>
  <si>
    <t>Biological pump; NASA field campaign; NPP fates; Carbon cycle; Organic carbon export; Export pathways</t>
  </si>
  <si>
    <t>SUB-ARCTIC PACIFIC; STATION PAPA; SEAGLIDER SURVEYS; PRIMARY PRODUCTIVITY; CARBON EXPORT; TWILIGHT ZONE; IRON; VARIABILITY; DYNAMICS; LIGHT</t>
  </si>
  <si>
    <t>The goal of the EXport Processes in the Ocean from RemoTe Sensing (EXPORTS) field campaign is to develop a predictive understanding of the export, fate, and carbon cycle impacts of global ocean net primary production. To accomplish this goal, observations of export flux pathways, plankton community composition, food web processes, and optical, physical, and biogeochemical (BGC) properties are needed over a range of ecosystem states. Here we introduce the first EXPORTS field deployment to Ocean Station Papa in the Northeast Pacific Ocean during summer of 2018, providing context for other papers in this special collection. The experiment was conducted with two ships: a Process Ship, focused on ecological rates, BGC fluxes, temporal changes in food web, and BGC and optical properties, that followed an instrumented Lagrangian float; and a Survey Ship that sampled BGC and optical properties in spatial patterns around the Process Ship. An array of autonomous underwater assets provided measurements over a range of spatial and temporal scales, and partnering programs and remote sensing observations provided additional observational context. The oceanographic setting was typical of late-summer conditions at Ocean Station Papa: a shallow mixed layer, strong vertical and weak horizontal gradients in hydrographic properties, sluggish sub-inertial currents, elevated macronutrient concentrations and low phytoplankton abundances. Although nutrient concentrations were consistent with previous observations, mixed layer chlorophyll was lower than typically observed, resulting in a deeper euphotic zone. Analyses of surface layer temperature and salinity found three distinct surface water types, allowing for diagnosis of whether observed changes were spatial or temporal. The 2018 EXPORTS field deployment is among the most comprehensive biological pump studies ever conducted. A second deployment to the North Atlantic Ocean occurred in spring 2021, which will be followed by focused work on data synthesis and modeling using the entire EXPORTS data set.</t>
  </si>
  <si>
    <t>[Siegel, David A.; Nelson, Norman; Brzezinski, Mark; Carlson, Craig; Fields, Erik; Kramer, Sasha; Santoro, Alyson; Stephens, Brandon] Univ Calif Santa Barbara, Santa Barbara, CA 93106 USA; [Cetinic, Ivona; Ramos, Inia Soto; Erickson, Zachary; Freeman, Scott] NASA, Ocean Ecol Lab, Goddard Space Flight Ctr, Greenbelt, MD USA; [Cetinic, Ivona; Ramos, Inia Soto] Univ Space Res Assoc, GESTAR, Columbia, MD USA; [Graff, Jason R.; Behrenfeld, Michael; Bisson, Kelsey; Fox, James; Halsey, Kim] Oregon State Univ, Corvallis, OR 97331 USA; [Lee, Craig M.; Perry, Mary Jane; D'Asaro, Eric] Univ Washington, Seattle, WA 98195 USA; [Perry, Mary Jane; Boss, Emmanuel; Haentjens, Nils; Karp-Boss, Lee] Univ Maine, Sch Marine Sci, Orono, ME USA; [Steinberg, Deborah K.; Stamieszkin, Karen] Virginia Inst Marine Sci, Gloucester Point, VA 23062 USA; [Buesseler, Ken; Nicholson, David; Marchal, Olivier; Roca-Marti, Montserrat; Traylor, Shawnee; Sosik, Heidi M.; Van Mooy, Benjamin] Woods Hole Oceanog Inst, Woods Hole, MA 02543 USA; [Hamme, Roberta] Univ Victoria, Victoria, BC, Canada; [Fassbender, Andrea J.] NOAA, Pacific Marine Environm Lab, 7600 Sand Point Way Ne, Seattle, WA 98115 USA; [Jenkins, Bethany; McNair, Heather; Menden-Deuer, Susanne; Morison, Francoise; Rynearson, Tatiana] Univ Rhode Isl, Narragansett, RI USA; [Robert, Marie] Inst Ocean Sci, Sydney, BC, Canada; [Thompson, Andrew] CALTECH, Pasadena, CA 91125 USA; [Amaral, Vinicius; Lam, Phoebe; Lee, Jong-Mi] Univ Calif Santa Cruz, Santa Cruz, CA 95064 USA; [Benitez-Nelson, Claudia] Univ South Carolina, Columbia, SC 29208 USA; [Boyd, Philip W.] Univ Tasmania, Inst Marine &amp; Antarctic Studies, Hobart, Tas, Australia; [Buck, Kristen; Burns, Shannon; Caprara, Salvatore] Univ S Florida, St Petersburg, FL USA; [Burd, Adrian] Univ Georgia, Athens, GA 30602 USA; [Cassar, Nicolas; Niebergall, Alexandria K.; Tang, Weiyi] Duke Univ, Nicholas Sch Environm, Durham, NC 27708 USA; [Close, Hilary; Hansell, Dennis] Univ Miami, Rosenstiel Sch Marine &amp; Atmospher Sci, 4600 Rickenbacker Causeway, Miami, FL 33149 USA; [Durkin, Colleen] Moss Landing Marine Labs, Pob 450, Moss Landing, CA 95039 USA; [Estapa, Margaret L.] Univ Maine, Darling Marine Ctr, Sch Marine Sci, Walpole, ME 04573 USA; [Freeman, Scott] Sci Syst &amp; Applicat Inc, Lanham, MD USA; [Gifford, Scott; Marchetti, Adrian] Univ N Carolina, Chapel Hill, NC 27515 USA; [Gong, Weida] Univ N Carolina, Sch Med, Lineberger Comprehens Canc Ctr, Chapel Hill, NC 27515 USA; [Gray, Deric] Naval Res Lab, Washington, DC 20375 USA; [Guidi, Lionel] Lab Oceanog Villefranche Sur Mer, Villefranche Sur Mer, France; [Huot, Yannick; Potvin, Genevieve] Univ Sherbrooke, Sherbrooke, PQ, Canada; [Maas, Amy] Bermuda Inst Ocean Sci, St Georges, Bermuda; [McDonnell, Andrew] Univ Alaska Fairbanks, Fairbanks, AK USA; [Passow, Uta] Mem Univ Newfoundland, St John, NF, Canada; [Popp, Brian; Seraphin, Kanesa Duncan] Univ Hawaii, Honolulu, HI 96822 USA; [Resplandy, Laure] Princeton Univ, Princeton, NJ 08544 USA; [Roesler, Collin] Bowdoin Coll, Brunswick, ME 04011 USA; [Traylor, Shawnee] MIT WHOI Joint Program Oceanog, Cambridge, MA USA; [Xiong, Yuanheng] Univ North Dakota, Grand Forks, ND USA; [Zhang, Xiaodong] Univ Southern Mississippi, Hattiesburg, MS 39406 USA</t>
  </si>
  <si>
    <t>University of California System; University of California Santa Barbara; National Aeronautics &amp; Space Administration (NASA); NASA Goddard Space Flight Center; Universities Space Research Association (USRA); Oregon State University; University of Washington; University of Washington Seattle; University of Maine System; University of Maine Orono; William &amp; Mary; Virginia Institute of Marine Science; Woods Hole Oceanographic Institution; University of Victoria; National Oceanic Atmospheric Admin (NOAA) - USA; University of Rhode Island; California Institute of Technology; University of California System; University of California Santa Cruz; University of South Carolina System; University of South Carolina Columbia; University of Tasmania; State University System of Florida; University of South Florida; University System of Georgia; University of Georgia; Duke University; University of Miami; Moss Landing Marine Laboratories; University of Maine System; University of Maine Orono; Science Systems and Applications Inc; University of North Carolina; University of North Carolina Chapel Hill; University of North Carolina School of Medicine; University of North Carolina; University of North Carolina Chapel Hill; United States Department of Defense; United States Navy; Naval Research Laboratory; Sorbonne Universite; University of Sherbrooke; Bermuda Institute of Ocean Sciences; University of Alaska System; University of Alaska Fairbanks; Memorial University Newfoundland; University of Hawaii System; Princeton University; Bowdoin College; Massachusetts Institute of Technology (MIT); University of North Dakota Grand Forks; University of Southern Mississippi</t>
  </si>
  <si>
    <t>Siegel, DA (corresponding author), Univ Calif Santa Barbara, Santa Barbara, CA 93106 USA.</t>
  </si>
  <si>
    <t>david.siegel@ucsb.edu</t>
  </si>
  <si>
    <t>Guidi, Lionel/B-3977-2012; Cassar, Nicolas/B-4260-2011; Boss, Emmanuel/C-5765-2009; Hamme, Roberta/AAA-4802-2022; Hansell, Dennis A./AAC-1271-2019; Cetinic, Ivona/GSI-5613-2022; Maas, Amy/AAC-1181-2022; Stephens, Brandon/AAJ-7695-2020; Boyd, Philip W/J-7624-2014; Buck, Kristen/O-3988-2014; Martí, Montserrat Roca/AAD-2094-2022; Xiong, Yuanheng/HPG-1108-2023; Santoro, Alyson/E-5686-2013; Close, Hilary/M-4904-2013</t>
  </si>
  <si>
    <t>Guidi, Lionel/0000-0002-6669-5744; Boss, Emmanuel/0000-0002-8334-9595; Hansell, Dennis A./0000-0001-9275-3445; Maas, Amy/0000-0002-3730-2876; Stephens, Brandon/0000-0001-7351-2750; Buck, Kristen/0000-0002-3871-870X; Martí, Montserrat Roca/0000-0002-4719-9358; Xiong, Yuanheng/0000-0001-5263-576X; McDonnell, Andrew/0000-0003-1408-4869; Fox, James/0000-0002-3623-4699; Santoro, Alyson/0000-0003-2503-8219; Cetinic, Ivona/0000-0002-1363-3136; Haentjens, Nils/0000-0002-7155-2721; Close, Hilary/0000-0002-9892-8928; Menden-Deuer, Susanne/0000-0002-8434-4251; Soto Ramos, Inia/0000-0001-7974-857X; Erickson, Zachary/0000-0002-9936-9881; Kramer, Sasha/0000-0002-9944-6779; Burns, Shannon/0000-0002-1569-3060; Tang, Weiyi/0000-0002-5334-3993; Steinberg, Deborah K./0000-0001-9884-4655</t>
  </si>
  <si>
    <t>NASA [80NSSC17K0692, 80NSSC17K0568, 80NSSC17K0555, 80NSSC18K0437, 80NSSC17K0662, 80NSSC17K0663, 80NSSC17K0552, 80NSSC17K0716, 80NSSC17K0700, 80NSSC18K1431, 80NS SC17K0654, 80NSSC17K0656, 80NSSC20K0350]; NSF [1830016, 1829425, 1756932, 1756442, 1829614, 1756254]; Directorate For Geosciences [1829425, 1756442] Funding Source: National Science Foundation; Directorate For Geosciences; Division Of Ocean Sciences [1829614, 1830016, 1756932] Funding Source: National Science Foundation; Division Of Ocean Sciences [1829425, 1756442] Funding Source: National Science Foundation; Division Of Ocean Sciences; Directorate For Geosciences [1756254] Funding Source: National Science Foundation</t>
  </si>
  <si>
    <t>NASA(National Aeronautics &amp; Space Administration (NASA)); NSF(National Science Foundation (NSF)); Directorate For Geosciences(National Science Foundation (NSF)NSF - Directorate for Geosciences (GEO)); Directorate For Geosciences; Division Of Ocean Sciences(National Science Foundation (NSF)NSF - Directorate for Geosciences (GEO)); Division Of Ocean Sciences(National Science Foundation (NSF)NSF - Directorate for Geosciences (GEO)); Division Of Ocean Sciences; Directorate For Geosciences(National Science Foundation (NSF)NSF - Directorate for Geosciences (GEO))</t>
  </si>
  <si>
    <t>DAS, NN, KB, EF, SK, AB, AM, UP: NASA 80NSSC17K0692. MJB, EB, JG, LG, KH, LKB, JF, NH: NASA 80NSSC17K0568. KB, CBN, LR, MRM: NASA 80NSSC17K0555. CC, DH, BS: NASA 80NSSC18K0437. HC: NSF 1830016. BP, KDS: NSF 1829425. ME, KB, CD, MO: NASA 80NSSC17K0662. AF: NSF 1756932. BJ, KB, MB, SB, SC: NSF 1756442. PH, OM, JML: NSF 1829614. CL, ED, DN, MO, MJP, AT, ZN, ST: NASA 80NSSC17K0663. AM, NC, SG, WT, AN, WG: NASA 80NSSC17K0552. SMD, TR, HM, FM: NASA 80NSSC17K0716. CR, HS: NASA 80NSSC17K0700. AS, PB: NASA 80NSSC18K1431. DS, AM, KS NASA 80NS SC17K0654. BVM: NSF 1756254. XZ, DG, LG, YH: NASA 80NSSC17K0656 and 80NSSC20K0350.</t>
  </si>
  <si>
    <t>UNIV CALIFORNIA PRESS</t>
  </si>
  <si>
    <t>OAKLAND</t>
  </si>
  <si>
    <t>155 GRAND AVE, SUITE 400, OAKLAND, CA 94612-3758 USA</t>
  </si>
  <si>
    <t>2325-1026</t>
  </si>
  <si>
    <t>ELEMENTA-SCI ANTHROP</t>
  </si>
  <si>
    <t>Elementa-Sci. Anthrop.</t>
  </si>
  <si>
    <t>JUL 7</t>
  </si>
  <si>
    <t>10.1525/elementa.2020.00107</t>
  </si>
  <si>
    <t>TT8DA</t>
  </si>
  <si>
    <t>Green Accepted, Green Submitted, gold</t>
  </si>
  <si>
    <t>WOS:000680572400001</t>
  </si>
  <si>
    <t>Russell, A; Taylor, MD; Barnes, TC; Johnson, DD; Gillanders, BM</t>
  </si>
  <si>
    <t>Russell, Angela; Taylor, Matthew D.; Barnes, Thomas C.; Johnson, Daniel D.; Gillanders, Bronwyn M.</t>
  </si>
  <si>
    <t>Potential linkages between juvenile nurseries and exploited populations of Mulloway (Argyrosomus japonicus), explored using otolith chemistry</t>
  </si>
  <si>
    <t>Otolith chemistry; Mulloway; Sciaenidae; Source-sink dynamics; Stock structure; Connectivity; Strontium; Barium</t>
  </si>
  <si>
    <t>SPOTTED SEA-TROUT; FISH OTOLITHS; ELEMENTAL COMPOSITION; FRESH-WATER; MICROPOGONIAS-FURNIERI; STOCK DISCRIMINATION; CYNOSCION-NEBULOSUS; HAWKESBURY RIVER; SOUTH-EASTERN; HABITAT USE</t>
  </si>
  <si>
    <t>Many exploited coastal species rely on estuarine nurseries, however, the importance of different estuaries and their contribution to exploited populations can vary. Identification of connectivity between source nurseries and exploited populations is important for effective habitat and fishery management. We present a case study which employs otolith chemistry to investigate source-sink population dynamics across broad spatial scales for an exploited migratory sciaenid, Mulloway (Argyrosomus japonicus). Specifically, we compared the otolith chemical fingerprints of juveniles in putative estuarine nurseries across south-eastern Australia with the sub-yearling chemical fingerprints of post-recruited fish in the exploited component of the stock. Multinomial Logistic Regression (MLR) suggested that two of the eight estuarine nurseries sampled were particularly important sources of Mulloway recruits, and there was strong evidence of stock mixing which exceeded that expected from historic tag-recapture studies. However, there was some uncertainty in the patterns resolved. Variation in otolith signatures between the known-source juveniles and post-recruit fish may be explained by inter-annual variability in these systems, caused by extensive flooding on the central and northern-NSW coast during the study period. These events contributed considerable extrinsic variation to the chemical composition, influencing the lack of overlap between otolith chemistry of putative nurseries and sub-yearling otolith chemistry of exploited fish. The approach presented highlights the importance of considering inter-annual variability when examining sourcesink relationships in long-lived species, but the use of otolith fingerprints shows promise for evaluating these questions for both Mulloway and other exploited fish species.</t>
  </si>
  <si>
    <t>[Russell, Angela; Taylor, Matthew D.; Barnes, Thomas C.; Johnson, Daniel D.] Port Stephens Fisheries Inst, New South Wales Dept Primary Ind, Locked Bag 1, Nelson Bay, NSW 2315, Australia; [Russell, Angela; Gillanders, Bronwyn M.] Univ Adelaide, Sch Biol Sci, Southern Seas Ecol Labs, Adelaide, SA 5005, Australia; [Barnes, Thomas C.] Univ Tasmania, Inst Marine &amp; Antarctic Studies, Hobart, Tas, Australia</t>
  </si>
  <si>
    <t>NSW Department of Primary Industries; University of Adelaide; University of Tasmania</t>
  </si>
  <si>
    <t>Russell, A (corresponding author), Port Stephens Fisheries Inst, New South Wales Dept Primary Ind, Locked Bag 1, Nelson Bay, NSW 2315, Australia.</t>
  </si>
  <si>
    <t>angela.russell@dpi.nsw.gov.au</t>
  </si>
  <si>
    <t>Taylor, Matthew David/IRZ-9539-2023; Johnson, Daniel D/N-9305-2016; Bell, Matthew/IQR-9709-2023</t>
  </si>
  <si>
    <t>Taylor, Matthew David/0000-0002-1519-9521; Russell, Angela/0000-0002-8628-5961; Barnes, Thomas C./0000-0003-1493-1407</t>
  </si>
  <si>
    <t>Fisheries Research Development Corporation (FRDC) on behalf of the Australian Government [2016/020]; Australian Government Research Training Program Scholarship at the University of Adelaide</t>
  </si>
  <si>
    <t>Fisheries Research Development Corporation (FRDC) on behalf of the Australian Government; Australian Government Research Training Program Scholarship at the University of Adelaide</t>
  </si>
  <si>
    <t>The authors wish to acknowledge commercial and recreational fishers who contributed to the project. We thank Microscopy Australia and Adelaide Microscopy (AM) , with a special thanks to S. Gilbert and B. Wade at the LA-ICP-MS unit for technical support. Many thanks go to A. Gould, J. Hughes, J. Stewart, C. Stanley, A. Pidd, and the NSW Research Angler Program. We also acknowledge R. West and D. Ferrell, formerly of NSW Department of Primary Industries, who collected the historic tag-recapture data summarised in this manuscript. This manuscript was supported by the Fisheries Research Development Corporation (FRDC) on behalf of the Australian Government (project 2016/020) and finan-cial support was provided to A.L.R through an Australian Government Research Training Program Scholarship at the University of Adelaide. The research was permitted under University of Adelaide Animal Ethics approval S-2018-014, NSW Department of Primary Industries - Fisheries Animal Care and Ethics approval 07/03, and sample collection permitted under a Section 37 Scientific collection permit P01/0059 (A) .</t>
  </si>
  <si>
    <t>10.1016/j.fishres.2021.106063</t>
  </si>
  <si>
    <t>UI2KA</t>
  </si>
  <si>
    <t>WOS:000690441700009</t>
  </si>
  <si>
    <t>Mairal, M; Chown, SL; Shaw, J; Chala, D; Chau, JH; Hui, C; Kalwij, JM; Munzbergova, Z; Van Vuuren, BJ; Le Roux, JJ</t>
  </si>
  <si>
    <t>Mairal, Mario; Chown, Steven L.; Shaw, Justine; Chala, Desalegn; Chau, John H.; Hui, Cang; Kalwij, Jesse M.; Munzbergova, Zuzana; van Vuuren, Bettine Jansen; Le Roux, Johannes J.</t>
  </si>
  <si>
    <t>Human activity strongly influences genetic dynamics of the most widespread invasive plant in the sub-Antarctic</t>
  </si>
  <si>
    <t>biological invasions; dispersal; human commensalism hypothesis; island conservation; polyploidy; propagule pressure</t>
  </si>
  <si>
    <t>PRINCE EDWARD ISLANDS; SOUTHERN-OCEAN ISLANDS; ALIEN VASCULAR PLANTS; POA-ANNUA; BIOLOGICAL INVASIONS; PROPAGULE PRESSURE; POPULATION-STRUCTURE; CLIMATE-CHANGE; KELP GULL; DIVERSITY</t>
  </si>
  <si>
    <t>The link between the successful establishment of alien species and propagule pressure is well-documented. Less known is how humans influence the post-introduction dynamics of invasive alien populations. The latter requires studying parallel invasions by the same species in habitats that are differently impacted by humans. We analysed microsatellite and genome size variation, and then compared the genetic diversity and structure of invasive Poa annua L. on two sub-Antarctic islands: human-occupied Marion Island and unoccupied Prince Edward Island. We also carried out niche modelling to map the potential distribution of the species on both islands. We found high levels of genetic diversity and evidence for extensive admixture between genetically distinct lineages of P. annua on Marion Island. By contrast, the Prince Edward Island populations showed low genetic diversity, no apparent admixture, and had smaller genomes. On both islands, high genetic diversity was apparent at human landing sites, and on Marion Island, also around human settlements, suggesting that these areas received multiple introductions and/or acted as initial introduction sites and secondary sources (bridgeheads) for invasive populations. More than 70 years of continuous human activity associated with a meteorological station on Marion Island led to a distribution of this species around human settlements and along footpaths, which facilitates ongoing gene flow among geographically separated populations. By contrast, this was not the case for Prince Edward Island, where P. annua populations showed high genetic structure. The high levels of genetic variation and admixture in P. annua facilitated by human activity, coupled with high habitat suitability on both islands, suggest that P. annua is likely to increase its distribution and abundance in the future.</t>
  </si>
  <si>
    <t>[Mairal, Mario; Le Roux, Johannes J.] Stellenbosch Univ, Dept Bot &amp; Zool, Stellenbosch, South Africa; [Mairal, Mario] Univ Complutense Madrid, Fac Ciencias Biol, Dept Biodiversidad Ecol &amp; Evoluc, Ciudad Univ, Madrid, Spain; [Chown, Steven L.] Monash Univ, Sch Biol Sci, Securing Antarcticas Environm Future, Clayton, Vic, Australia; [Shaw, Justine] Univ Queensland, Sch Biol Sci, St Lucia, Qld, Australia; [Chala, Desalegn] Univ Oslo, Nat Hist Museum, Oslo, Norway; [Chau, John H.; Kalwij, Jesse M.; van Vuuren, Bettine Jansen] Univ Johannesburg, Ctr Ecol Genom &amp; Wildlife Conservat, Dept Zool, Auckland Pk, South Africa; [Hui, Cang] Stellenbosch Univ, Ctr Invas Biol, Dept Math Sci, Stellenbosch, South Africa; [Hui, Cang] African Inst Math Sci, Biodivers Informat Unit, Cape Town, South Africa; [Kalwij, Jesse M.] Karlsruhe Inst Technol, Inst Geog &amp; Geoecol, Karlsruhe, Germany; [Munzbergova, Zuzana] Charles Univ Prague, Dept Bot, Prague, Czech Republic; [Munzbergova, Zuzana] Czech Acad Sci, Dept Populat Ecol, Pruhonice, Czech Republic; [Le Roux, Johannes J.] Macquarie Univ, Dept Biol Sci, Sydney, NSW, Australia</t>
  </si>
  <si>
    <t>Stellenbosch University; Complutense University of Madrid; Monash University; University of Queensland; University of Oslo; University of Johannesburg; Stellenbosch University; Helmholtz Association; Karlsruhe Institute of Technology; Charles University Prague; Czech Academy of Sciences; Institute of Botany of the Czech Academy of Sciences; Macquarie University</t>
  </si>
  <si>
    <t>Mairal, M; Le Roux, JJ (corresponding author), Stellenbosch Univ, Dept Bot &amp; Zool, Stellenbosch, South Africa.</t>
  </si>
  <si>
    <t>mariomairal@gmail.com; jaco.leroux@mq.edu.au</t>
  </si>
  <si>
    <t>Mairal, Mario/H-8911-2019; Chala, Desalegn/AAA-8024-2020; Münzbergová, Zuzana/F-6321-2013; Kalwij, Jesse/H-2571-2012; Chown, Steven/ABD-7646-2021; Jansen van Vuuren, Bettine/E-6227-2013; Chown, Steven/H-3347-2011; Hui, Cang/A-1781-2008</t>
  </si>
  <si>
    <t>Mairal, Mario/0000-0002-6588-5634; Chala, Desalegn/0000-0002-8045-6950; Münzbergová, Zuzana/0000-0002-4026-6220; Kalwij, Jesse/0000-0002-8685-9603; Jansen van Vuuren, Bettine/0000-0002-5334-5358; Chown, Steven/0000-0001-6069-5105; Le Roux, Johannes/0000-0001-7911-9810; Hui, Cang/0000-0002-3660-8160</t>
  </si>
  <si>
    <t>South African Agency for Science and Technology Advancement [110728]</t>
  </si>
  <si>
    <t>South African Agency for Science and Technology Advancement</t>
  </si>
  <si>
    <t>South African Agency for Science and Technology Advancement, Grant/Award Number: 110728</t>
  </si>
  <si>
    <t>10.1111/mec.16045</t>
  </si>
  <si>
    <t>ZN2SM</t>
  </si>
  <si>
    <t>WOS:000670464400001</t>
  </si>
  <si>
    <t>Fuentes, S; Arroyo, JI; Rodriguez-Marconi, S; Masotti, I; Alarcon-Schumacher, T; Polz, MF; Trefault, N; De la Iglesia, R; Díez, B</t>
  </si>
  <si>
    <t>Fuentes, Sebastian; Arroyo, Jose Ignacio; Rodriguez-Marconi, Susana; Masotti, Italo; Alarcon-Schumacher, Tomas; Polz, Martin F.; Trefault, Nicole; De la Iglesia, Rodrigo; Diez, Beatriz</t>
  </si>
  <si>
    <t>Summer phyto- and bacterioplankton communities during low and high productivity scenarios in the Western Antarctic Peninsula (vol 42, pg 159, 2019)</t>
  </si>
  <si>
    <t>[Fuentes, Sebastian; Arroyo, Jose Ignacio; Alarcon-Schumacher, Tomas; De la Iglesia, Rodrigo; Diez, Beatriz] Pontificia Univ Catolica Chile, Fac Biol Sci, Dept Mol Genet &amp; Microbiol, Santiago, Chile; [Fuentes, Sebastian; Arroyo, Jose Ignacio; Alarcon-Schumacher, Tomas; Diez, Beatriz] Ctr Climate &amp; Resilience Res CR 2, Santiago, Chile; [Rodriguez-Marconi, Susana; Masotti, Italo] Univ Valparaiso, Fac Ciencias Mar &amp; Recursos Nat, Vina Del Mar, Chile; [Rodriguez-Marconi, Susana] Univ Valparaiso, Programa Magister Oceanog, Pontificia Univ Catolica Valparaiso, Valparaiso, Chile; [Polz, Martin F.] MIT, Dept Civil &amp; Environm Engn, 77 Massachusetts Ave, Cambridge, MA 02139 USA; [Trefault, Nicole] Univ Mayor, Ctr Genom &amp; Bioinformat, Fac Sci, Santiago, Chile</t>
  </si>
  <si>
    <t>Pontificia Universidad Catolica de Chile; Universidad de Valparaiso; Universidad de Valparaiso; Pontificia Universidad Catolica de Valparaiso; Massachusetts Institute of Technology (MIT); Universidad Mayor</t>
  </si>
  <si>
    <t>Díez, B (corresponding author), Pontificia Univ Catolica Chile, Fac Biol Sci, Dept Mol Genet &amp; Microbiol, Santiago, Chile.;Díez, B (corresponding author), Ctr Climate &amp; Resilience Res CR 2, Santiago, Chile.</t>
  </si>
  <si>
    <t>Fuentes, Sebastian/ADH-4041-2022; Polz, Martin/ABE-7199-2020; Díez, Beatriz/AAG-2244-2021; Polz, Martin/HPG-8222-2023</t>
  </si>
  <si>
    <t>Díez, Beatriz/0000-0002-9371-8083; Polz, Martin/0000-0002-4975-2946</t>
  </si>
  <si>
    <t>Fondecyt [3140422]</t>
  </si>
  <si>
    <t>Fondecyt(Comision Nacional de Investigacion Cientifica y Tecnologica (CONICYT)CONICYT FONDECYT)</t>
  </si>
  <si>
    <t>The authors gratefully acknowledge the Armada de Chile staff at Arturo Prat Station and the staff from the Chilean Antarctic Institute (INACH); their support made possible the sampling in Chile Bay. The study used data that have been collected and analysed by Beatriz Fernandez in the course of her postdoctoral project (Fondecyt Postdoctoral No 3140422 [2014-2016]). The authors also thank the Department of Climatology, Centro Meteorologico de Valparaiso, Armada de Chile, for the meteorological data and Maria Estrella Alcaman, Cynthia Sanhueza, Laura Farias and Josefa Verdugo for their assistance with sample collection.</t>
  </si>
  <si>
    <t>10.1007/s00300-021-02907-3</t>
  </si>
  <si>
    <t>TL1YV</t>
  </si>
  <si>
    <t>WOS:000671711300001</t>
  </si>
  <si>
    <t>Li, RX; Li, HW; Hao, T; Qiao, G; Cui, HT; He, YQ; Hai, G; Xie, H; Cheng, Y; Li, BF</t>
  </si>
  <si>
    <t>Li, Rongxing; Li, Hongwei; Hao, Tong; Qiao, Gang; Cui, Haotian; He, Youquan; Hai, Gang; Xie, Huan; Cheng, Yuan; Li, Bofeng</t>
  </si>
  <si>
    <t>Assessment of ICESat-2 ice surface elevations over the Chinese Antarctic Research Expedition (CHINARE) route, East Antarctica, based on coordinated multi-sensor observations</t>
  </si>
  <si>
    <t>MASS GAINS; GPS DATA; VALIDATION; ALTIMETRY; TRAVERSE</t>
  </si>
  <si>
    <t>We present the results of an assessment of ice surface elevation measurements from NASA's Ice, Cloud, and land Elevation Satellite-2 (ICESat-2) along the CHINARE (CHINese Antarctic Research Expedition) route near the Amery Ice Shelf in East Antarctica. The validation campaign was designed and implemented in cooperation with the 36th CHINARE Antarctic expedition from December 2019 to February 2020. The assessment of the ICESat-2 geolocated photon product (ATL03) and land ice elevation product (ATL06) was performed based on coordinated multi-sensor observations using two roof-mounted kinematic global navigation satellite system (GNSS) receivers, two line arrays of corner cube retroreflectors (CCRs), two sets of retroreflective target sheets (RTSs), and two unmanned aerial vehicles (UAVs) with cameras. This systematic validation of the ICESat-2 data covered a variety of Antarctic ice surface conditions along the 520 km traverse from the coastal Zhongshan Station to the inland Taishan Station. This comprehensive investigation is complementary to the 750 km traverse validation of flat inland Antarctica containing a 300 km latitude traverse of 88 degrees S by the mission team (Brunt et al., 2021). Overall, the validation results show that the elevation of the ATL06 ice surface points is accurate to 1.5 cm with a precision of 9.1 cm along the 520 km CHINARE route. The elevation of the ATL03 photons has an offset of 2.1 cm from a GNSS-surveyed CCR and is accurate to 2.5 cm with a precision of 2.7 cm as estimated by using RTSs. The validation results demonstrate that the estimated ICESat-2 elevations are accurate to 1.5-2.5 cm in this East Antarctic region, which shows the potential of the data products for eliminating mission biases by overcoming the uncertainties in the estimation of mass balance in East Antarctica. It should be emphasized that the results based on the CCR and RTS techniques can be improved by further aggregation of observation opportunities for a more robust assessment. The developed validation methodology and sensor system can be applied for continuous assessment of ICESat-2 data, especially for calibration against potential degradation of the elevation measurements during the later operation period.</t>
  </si>
  <si>
    <t>[Li, Rongxing; Li, Hongwei; Hao, Tong; Qiao, Gang; Cui, Haotian; He, Youquan; Hai, Gang; Xie, Huan; Cheng, Yuan; Li, Bofeng] Tongji Univ, Ctr Spatial Informat Sci &amp; Sustainable Dev Applic, Shanghai 200092, Peoples R China; [Li, Rongxing; Li, Hongwei; Hao, Tong; Qiao, Gang; Cui, Haotian; He, Youquan; Hai, Gang; Xie, Huan; Cheng, Yuan; Li, Bofeng] Tongji Univ, Coll Surveying &amp; Geoinformat, Shanghai 200092, Peoples R China</t>
  </si>
  <si>
    <t>Hao, T; Qiao, G (corresponding author), Tongji Univ, Ctr Spatial Informat Sci &amp; Sustainable Dev Applic, Shanghai 200092, Peoples R China.;Hao, T; Qiao, G (corresponding author), Tongji Univ, Coll Surveying &amp; Geoinformat, Shanghai 200092, Peoples R China.</t>
  </si>
  <si>
    <t>tonghao@tongji.edu.cn; qiaogang@tongji.edu.cn</t>
  </si>
  <si>
    <t>Li, Hongwei/AAM-8510-2021; He, YouQuan/JGM-3476-2023; Qiao, Gang/AAU-5717-2020; xie, huan/GQQ-4398-2022</t>
  </si>
  <si>
    <t>Li, Rongxing/0000-0001-9837-5115; Hao, Tong/0000-0003-0177-6006; Cheng, Yuan/0000-0003-1336-0331</t>
  </si>
  <si>
    <t>National Natural Science Foundation of China [41730102]; National Key Research and Development Program of China [2017YFA0603100]; Polar Expedition Office of the State Oceanic Administration of China</t>
  </si>
  <si>
    <t>National Natural Science Foundation of China(National Natural Science Foundation of China (NSFC)); National Key Research and Development Program of China; Polar Expedition Office of the State Oceanic Administration of China</t>
  </si>
  <si>
    <t>This research has been supported by the National Natural Science Foundation of China (grant no. 41730102), the National Key Research and Development Program of China (no. 2017YFA0603100), and the Polar Expedition Office of the State Oceanic Administration of China.</t>
  </si>
  <si>
    <t>JUL 6</t>
  </si>
  <si>
    <t>10.5194/tc-15-3083-2021</t>
  </si>
  <si>
    <t>TF9DZ</t>
  </si>
  <si>
    <t>WOS:000671016000002</t>
  </si>
  <si>
    <t>Coxall, HK; Jones, TD; Jones, AP; Lunt, P; MacMillan, I; Marliyani, GI; Nicholas, CJ; O'Halloran, A; Piga, E; Sanyoto, P; Rahardjo, W; Pearson, PN</t>
  </si>
  <si>
    <t>Coxall, Helen K.; Jones, Tom Dunkley; Jones, Amy P.; Lunt, Peter; MacMillan, Ian; Marliyani, Gayatri I.; Nicholas, Christopher J.; O'Halloran, Aoife; Piga, Emanuela; Sanyoto, Prihardjo; Rahardjo, Wartono; Pearson, Paul N.</t>
  </si>
  <si>
    <t>The Eocene-Oligocene transition in Nanggulan, Java: lithostratigraphy, biostratigraphy and foraminiferal stable isotopes</t>
  </si>
  <si>
    <t>JOURNAL OF THE GEOLOGICAL SOCIETY</t>
  </si>
  <si>
    <t>LARGER BENTHIC FORAMINIFERA; SEA-SURFACE TEMPERATURES; MIDDLE EOCENE; ANTARCTIC GLACIATION; EAST JAVA; EOCENE/OLIGOCENE BOUNDARY; CALCAREOUS NANNOFOSSILS; CLIMATE; INDONESIA; CIRCULATION</t>
  </si>
  <si>
    <t>The Nanggulan section in south central Java comprises open marine sediments and volcanic deposits of Eocene-Oligocene age that accumulated in a marginal basin within the young Sunda Arc complex. A new borehole captures the stratigraphy and showcases the exceptional preservation of calcareous microfossils across an apparently complete Eocene-Oligocene Transition (EOT), a time interval significant for the initiation of continental-scale glaciation on Antarctica. Low-resolution benthic and planktonic foraminifera oxygen and carbon stable isotopes (delta O-18 and delta C-13) record increasing delta O-18 and delta C-13 in the basal Oligocene, allowing correlation to global records. Isotopic values imply warm temperatures and relatively high nutrients along the SE Java margin. The Nanggulan EOT is a valuable archive for reconstructing ocean-climate behaviour and plankton evolution and extinction in the Indo-Pacific Warm Pool. The borehole also adds to understanding of the early stages of Sunda Arc volcanism.</t>
  </si>
  <si>
    <t>[Coxall, Helen K.] Stockholm Univ, Dept Geol Sci, SE-10691 Stockholm, Sweden; [Jones, Tom Dunkley; Jones, Amy P.] Univ Birmingham, Sch Geog Earth &amp; Environm Sci, Birmingham B15 2TT, W Midlands, England; [Lunt, Peter] Univ Teknol Petronas, South East Asia Clast &amp; Carbonate Res Lab, Seri Iskandar 32610, Perak, Malaysia; [MacMillan, Ian; Piga, Emanuela; Pearson, Paul N.] Cardiff Univ, Sch Earth &amp; Ocean, Main Bldg,Pk Pl, Cardiff CF10 3AT, Wales; [Marliyani, Gayatri I.; Rahardjo, Wartono] Univ Gadjah Mada, Fac Engn, Dept Geol Engn, Jl Grafika 02, Bulaksumur 55281, Yogyakarta, Indonesia; [Nicholas, Christopher J.; O'Halloran, Aoife] Trinity Coll Dublin, Dept Geol, Dublin 2, Ireland; [Sanyoto, Prihardjo] Geol Res &amp; Dev Ctr, Jl Diponegoro 57, Bandung 40122, Indonesia</t>
  </si>
  <si>
    <t>Stockholm University; University of Birmingham; Universiti Teknologi Petronas; Cardiff University; Gadjah Mada University; Trinity College Dublin</t>
  </si>
  <si>
    <t>Coxall, HK (corresponding author), Stockholm Univ, Dept Geol Sci, SE-10691 Stockholm, Sweden.</t>
  </si>
  <si>
    <t>helen.coxall@geo.su.se</t>
  </si>
  <si>
    <t>Marliyani, Gayatri/AAG-7157-2022; Pearson, Paul N/B-2276-2009; Marliyani, Gayatri Indah/AFL-7210-2022; Dunkley Jones, Tom/A-8441-2008</t>
  </si>
  <si>
    <t>Piga, Emanuela/0000-0002-1069-5518; Coxall, Helen/0000-0002-2843-2898; Marliyani, Gayatri/0000-0003-1356-9645; Dunkley Jones, Tom/0000-0002-9518-8143</t>
  </si>
  <si>
    <t>UK Natural Environment Research Council (NERC) [NE/C514523]; Royal Society University Research Fellowship; NERC CENTA Doctoral Training Programme; NERC GW4+ Ph.D. Research Grant [NE/L002434/1]</t>
  </si>
  <si>
    <t>UK Natural Environment Research Council (NERC)(UK Research &amp; Innovation (UKRI)Natural Environment Research Council (NERC)); Royal Society University Research Fellowship(Royal Society); NERC CENTA Doctoral Training Programme; NERC GW4+ Ph.D. Research Grant(UK Research &amp; Innovation (UKRI)Natural Environment Research Council (NERC))</t>
  </si>
  <si>
    <t>This study was funded primarily by UK Natural Environment Research Council (NERC) Small Grant NE/C514523 `Eocene-Oligocene climate change in Indonesia' to P.N.P. H.K.C.'s participation and the foraminifera stable isotope and SEM analysis were supported by a Royal Society University Research Fellowship awarded to H.K.C. Calcareous nannofossil research by A.P.J. was funded by the NERC CENTA Doctoral Training Programme. E. Piga was supported by an NERC GW4+ Ph.D. Research Grant (NE/L002434/1).</t>
  </si>
  <si>
    <t>GEOLOGICAL SOC PUBL HOUSE</t>
  </si>
  <si>
    <t>BATH</t>
  </si>
  <si>
    <t>UNIT 7, BRASSMILL ENTERPRISE CENTRE, BRASSMILL LANE, BATH BA1 3JN, AVON, ENGLAND</t>
  </si>
  <si>
    <t>0016-7649</t>
  </si>
  <si>
    <t>2041-479X</t>
  </si>
  <si>
    <t>J GEOL SOC LONDON</t>
  </si>
  <si>
    <t>J. Geol. Soc.</t>
  </si>
  <si>
    <t>jgs2021-006</t>
  </si>
  <si>
    <t>10.1144/jgs2021-006</t>
  </si>
  <si>
    <t>WX4TL</t>
  </si>
  <si>
    <t>WOS:000670654800001</t>
  </si>
  <si>
    <t>de Menezes, GCA; Camara, PEAS; Pinto, OHB; Convey, P; Carvalho-Silva, M; Simoes, JC; Rosa, CA; Rosa, LH</t>
  </si>
  <si>
    <t>Alves de Menezes, Graciele Cunha; Camara, Paulo E. A. S.; Bezerra Pinto, Otavio Henrique; Convey, Peter; Carvalho-Silva, Micheline; Simoes, Jefferson Cardia; Rosa, Carlos Augusto; Rosa, Luiz Henrique</t>
  </si>
  <si>
    <t>Fungi in the Antarctic Cryosphere: Using DNA Metabarcoding to Reveal Fungal Diversity in Glacial Ice from the Antarctic Peninsula Region</t>
  </si>
  <si>
    <t>MICROBIAL ECOLOGY</t>
  </si>
  <si>
    <t>Antarctica; Ecology; Environmental DNA; Extremophiles</t>
  </si>
  <si>
    <t>COMMUNITIES; ENVIRONMENTS; MACROALGAE; PHYLOGENY; TAXONOMY</t>
  </si>
  <si>
    <t>We assessed fungal diversity present in glacial from the Antarctic Peninsula using DNA metabarcoding through high-throughput sequencing (HTS). We detected a total of 353,879 fungal DNA reads, representing 94 genera and 184 taxa, in glacial ice fragments obtained from seven sites in the north-west Antarctic Peninsula and South Shetland Islands. The phylum Ascomycota dominated the sequence diversity, followed by Basidiomycota and Mortierellomycota. Penicillium sp., Cladosporium sp., Penicillium atrovenetum, Epicoccum nigrum, Pseudogymnoascus sp. 1, Pseudogymnoascus sp. 2, Phaeosphaeriaceae sp. and Xylaria grammica were the most dominant taxa, respectively. However, the majority of the fungal diversity comprised taxa of rare and intermediate relative abundance, predominately known mesophilic fungi. High indices of diversity and richness were calculated, along with moderate index of dominance, which varied among the different sampling sites. Only 26 (14%) of the total fungal taxa detected were present at all sampling sites. The identified diversity was dominated by saprophytic taxa, followed by known plant and animal pathogens and a low number of symbiotic fungi. Our data suggest that Antarctic glacial ice may represent a hotspot of previously unreported fungal diversity; however, further studies are required to integrate HTS and culture approaches to confirm viability of the taxa detected.</t>
  </si>
  <si>
    <t>[Alves de Menezes, Graciele Cunha; Rosa, Carlos Augusto; Rosa, Luiz Henrique] Univ Fed Minas Gerais, Inst Ciencias Biol, Dept Microbiol, BR-31270901 Belo Horizonte, MG, Brazil; [Camara, Paulo E. A. S.; Carvalho-Silva, Micheline] Univ Brasilia, Dept Bot, Brasilia, DF, Brazil; [Bezerra Pinto, Otavio Henrique] Univ Brasilia, Dept Biol Celular, Brasilia, DF, Brazil; [Convey, Peter] British Antarctic Survey, NERC, Madingley Rd, Cambridge CB3 0ET, England; [Convey, Peter] Univ Johannesburg, Dept Zool, Johannesburg, South Africa; [Simoes, Jefferson Cardia] Univ Fed Rio Grande do Sul, Ctr Polar &amp; Climat, Porto Alegre, RS, Brazil</t>
  </si>
  <si>
    <t>Universidade Federal de Minas Gerais; Universidade de Brasilia; Universidade de Brasilia; UK Research &amp; Innovation (UKRI); Natural Environment Research Council (NERC); NERC British Antarctic Survey; University of Johannesburg; Universidade Federal do Rio Grande do Sul</t>
  </si>
  <si>
    <t>Rosa, LH (corresponding author), Univ Fed Minas Gerais, Inst Ciencias Biol, Dept Microbiol, BR-31270901 Belo Horizonte, MG, Brazil.</t>
  </si>
  <si>
    <t>lhrosa@icb.ufmg.br</t>
  </si>
  <si>
    <t>Simoes, Jefferson Cardia/D-7232-2013; Camara, Paulo/GPP-2054-2022; Convey, Peter/AAV-5728-2020</t>
  </si>
  <si>
    <t>Simoes, Jefferson Cardia/0000-0001-5555-3401; Camara, Paulo/0000-0002-3944-996X; Convey, Peter/0000-0001-8497-9903; Cunha Alves de Menezes, Graciele/0000-0002-9427-1893; Pinto, Otavio/0000-0002-8382-2987; Silva, Micheline/0000-0002-2389-3804</t>
  </si>
  <si>
    <t>PROANTAR CNPq [442258/2018-6]; INCT Criosfera; FAPEMIG; CAPES; FNDCT; CNPq [151195/20196]; NERC; NERC [bas0100036] Funding Source: UKRI</t>
  </si>
  <si>
    <t>PROANTAR CNPq(Conselho Nacional de Desenvolvimento Cientifico e Tecnologico (CNPQ)); INCT Criosfera; FAPEMIG(Fundacao de Amparo a Pesquisa do Estado de Minas Gerais (FAPEMIG)); CAPES(Coordenacao de Aperfeicoamento de Pessoal de Nivel Superior (CAPES)); FNDCT; CNPq(Conselho Nacional de Desenvolvimento Cientifico e Tecnologico (CNPQ)); NERC(UK Research &amp; Innovation (UKRI)Natural Environment Research Council (NERC)); NERC(UK Research &amp; Innovation (UKRI)Natural Environment Research Council (NERC))</t>
  </si>
  <si>
    <t>We acknowledge financial support from PROANTAR CNPq (442258/2018-6), INCT Criosfera, FAPEMIG, CAPES, and FNDCT. GCA de Menezes' scholarship was supported by CNPq (151195/20196). P. Convey is supported by NERC core funding to the British Antarctic Survey's Biodiversity, Evolution and Adaptation Team.</t>
  </si>
  <si>
    <t>0095-3628</t>
  </si>
  <si>
    <t>1432-184X</t>
  </si>
  <si>
    <t>MICROB ECOL</t>
  </si>
  <si>
    <t>Microb. Ecol.</t>
  </si>
  <si>
    <t>10.1007/s00248-021-01792-x</t>
  </si>
  <si>
    <t>Ecology; Marine &amp; Freshwater Biology; Microbiology</t>
  </si>
  <si>
    <t>Environmental Sciences &amp; Ecology; Marine &amp; Freshwater Biology; Microbiology</t>
  </si>
  <si>
    <t>0G6ID</t>
  </si>
  <si>
    <t>WOS:000670176800001</t>
  </si>
  <si>
    <t>Slomska, AW; Panasiuk, A; Weydmann-Zwolicka, A; Wawrzynek-Borejko, J; Konik, M; Siegel, V</t>
  </si>
  <si>
    <t>Slomska, Angelika Wanda; Panasiuk, Anna; Weydmann-Zwolicka, Agata; Wawrzynek-Borejko, Justyna; Konik, Marta; Siegel, Volker</t>
  </si>
  <si>
    <t>Historical abundance and distributions of Salpa thompsoni hot spots in the Southern Ocean and projections for further ocean warming</t>
  </si>
  <si>
    <t>AQUATIC CONSERVATION-MARINE AND FRESHWATER ECOSYSTEMS</t>
  </si>
  <si>
    <t>Antarctic ecosystem; climate change; hot spots; long-term fluctuations; Salpa thompsoni distribution and abundance</t>
  </si>
  <si>
    <t>KRILL EUPHAUSIA-SUPERBA; ANTARCTIC KRILL; SEA-ICE; POPULATION-STRUCTURE; MACROZOOPLANKTON; VARIABILITY; CIRCULATION; DECLINE; FOOD</t>
  </si>
  <si>
    <t>In contrast to Antarctic krill Euphausia superba, Antarctic salps (Salpa thompsoni) respond positively to warmer water temperatures and have the ability to create massive blooms under favourable conditions. Therefore, they can compete with krill for primary production. Over the last three decades, significant variability in S. thompsoni occurrence has been observed as a response to the environmental fluctuations of the Southern Ocean ecosystem (e.g. changes in sea surface temperature and ice-cover shrinkage around the cold Antarctic waters). This study presents historical abundance data of salps from the south-west Atlantic Sector of the Southern Ocean, covering a time span of 26 years. These data allow tracking of fluctuations in Antarctic salp abundance and their distribution with bottom depth, temperature, and ice conditions, aiming to reveal salp hot spots and to predict the future range of S. thompsoni distribution with upcoming climate warming in the next 50 years. Results showed the highest salp density in shallow shelf waters with ice cover and low temperatures between 1 and -1 degrees C. In the studied area, S. thompsoni hot spots were located mostly around Elephant Island, but also the islands around Brensfield and Gerlache Straits, as well as to the south near the Bellingshausen Sea. Inferences made of future salp distribution suggest that the range of S. thompsoni will move southwards, enlarging their habitat area by nearly 500,000 km(2), which may have significant implications on the whole Antarctic food web. The information presented herein may be used for Antarctic ecosystem management, protection, and conservation.</t>
  </si>
  <si>
    <t>[Slomska, Angelika Wanda; Panasiuk, Anna; Weydmann-Zwolicka, Agata; Wawrzynek-Borejko, Justyna] Univ Gdansk, Fac Oceanog &amp; Geog, Dept Marine Plankton Res, 46 MJ Pilsudskiego Ave, PL-81378 Gdynia, Pomorskie, Poland; [Wawrzynek-Borejko, Justyna] Univ Gdansk, Fac Oceanog &amp; Geog, Dept Marine Ecosyst Functioning, Gdynia, Poland; [Konik, Marta] Polish Acad Sci, Inst Oceanol, Sopot, Poland; [Siegel, Volker] Sea Fisheries Res Inst, Hamburg, Germany</t>
  </si>
  <si>
    <t>Fahrenheit Universities; University of Gdansk; Fahrenheit Universities; University of Gdansk; Polish Academy of Sciences; Institute of Oceanology of the Polish Academy of Sciences</t>
  </si>
  <si>
    <t>Slomska, AW (corresponding author), Univ Gdansk, Fac Oceanog &amp; Geog, Dept Marine Plankton Res, 46 MJ Pilsudskiego Ave, PL-81378 Gdynia, Pomorskie, Poland.</t>
  </si>
  <si>
    <t>angelika.slomska@ug.edu.pl</t>
  </si>
  <si>
    <t>Panasiuk, Anna/HDO-1195-2022; Weydmann-Zwolicka, Agata/AAA-6809-2019</t>
  </si>
  <si>
    <t>Weydmann-Zwolicka, Agata/0000-0002-6655-6613; Konik, Marta/0000-0003-1145-9127; Slomska, Angelika/0000-0001-6670-0040</t>
  </si>
  <si>
    <t>National Science Centre (Narodowe Centrum Nauki); PRELUDIUM [2016/23/N/NZ8/02801, 2017/01/X/NZ8/01181]</t>
  </si>
  <si>
    <t>National Science Centre (Narodowe Centrum Nauki); PRELUDIUM</t>
  </si>
  <si>
    <t>The National Science Centre (Narodowe Centrum Nauki); PRELUDIUM, Grant/Award Number: 2016/23/N/NZ8/02801; Miniatura 1, Grant/Award Number: 2017/01/X/NZ8/01181</t>
  </si>
  <si>
    <t>1052-7613</t>
  </si>
  <si>
    <t>1099-0755</t>
  </si>
  <si>
    <t>AQUAT CONSERV</t>
  </si>
  <si>
    <t>Aquat. Conserv.-Mar. Freshw. Ecosyst.</t>
  </si>
  <si>
    <t>10.1002/aqc.3443</t>
  </si>
  <si>
    <t>Environmental Sciences; Marine &amp; Freshwater Biology; Water Resources</t>
  </si>
  <si>
    <t>Environmental Sciences &amp; Ecology; Marine &amp; Freshwater Biology; Water Resources</t>
  </si>
  <si>
    <t>UB8WS</t>
  </si>
  <si>
    <t>WOS:000670133300001</t>
  </si>
  <si>
    <t>Layton, C; Cameron, MJ; Shelamoff, V; Tatsumi, M; Wright, JT; Johnson, CR</t>
  </si>
  <si>
    <t>Layton, Cayne; Cameron, Matthew J.; Shelamoff, Victor; Tatsumi, Masayuki; Wright, Jeffrey T.; Johnson, Craig R.</t>
  </si>
  <si>
    <t>A successful method of transplanting adult Ecklonia radiata kelp, and relevance to other habitat-forming macroalgae</t>
  </si>
  <si>
    <t>RESTORATION ECOLOGY</t>
  </si>
  <si>
    <t>conservation; habitat; macroalgae; marine; restoration; subtidal</t>
  </si>
  <si>
    <t>RESTORATION; PHAEOPHYCEAE; MANAGEMENT; BEDS</t>
  </si>
  <si>
    <t>The ability to successfully transplant adult kelp has applications not only for ecological experiments, but also for habitat conservation and restoration projects. However, approaches to the long-term transplanting of adult kelp (especially for stalked or 'stipitate' species), and the communication of these methods, has been relatively haphazard, often due to poor results and excessive mortality. Here, we provide a brief communication to describe a method to effectively transplant the stipitate kelp Ecklonia radiata-the most widespread and abundant kelp in Australasia-and which allowed the transplanting of &gt;1,000 adult kelp over 1.5 ha. We also discuss additional observations relevant to the success of transplanting kelp (such as donor age/size), and the applicability of this method to other habitat-forming macroalgae. Our method involved securing the adult Ecklonia to the substratum using large bands made from recycled rubber, which held the holdfast firmly but gently against the substratum. Re-attachment of the adult kelp typically occurred within 3-6 weeks, while rates of survivorship were approximately 75% and not affected by the density nor size of the transplanted patch. This method could also readily be adapted to suit different substratum types and other species of kelp and habitat-forming algae. Ultimately, this transplanting method adds to the collection of effective techniques for restoring habitat-forming macroalgae, especially for stipitate species where few methods have been communicated.</t>
  </si>
  <si>
    <t>[Layton, Cayne; Cameron, Matthew J.; Shelamoff, Victor; Tatsumi, Masayuki; Wright, Jeffrey T.; Johnson, Craig R.] Univ Tasmania, Inst Marine &amp; Antarctic Studies, Hobart, Tas, Australia</t>
  </si>
  <si>
    <t>Layton, C (corresponding author), Univ Tasmania, Inst Marine &amp; Antarctic Studies, Hobart, Tas, Australia.</t>
  </si>
  <si>
    <t>cayne.layton@utas.edu.au</t>
  </si>
  <si>
    <t>Cameron, Matthew/AAE-2786-2020; Layton, Cayne/J-8443-2013</t>
  </si>
  <si>
    <t>Layton, Cayne/0000-0002-3390-6437</t>
  </si>
  <si>
    <t>Australian Research Council; Holsworth Wildlife Research Endowment</t>
  </si>
  <si>
    <t>Australian Research Council(Australian Research Council); Holsworth Wildlife Research Endowment</t>
  </si>
  <si>
    <t>We thank the volunteers who assisted us with fieldwork. This work was supported by an Australian Research Council Discovery Project grant awarded to CRJ and JTW, and a Holsworth Wildlife Research Endowment awarded to CL.</t>
  </si>
  <si>
    <t>1061-2971</t>
  </si>
  <si>
    <t>1526-100X</t>
  </si>
  <si>
    <t>RESTOR ECOL</t>
  </si>
  <si>
    <t>Restor. Ecol.</t>
  </si>
  <si>
    <t>e13412</t>
  </si>
  <si>
    <t>10.1111/rec.13412</t>
  </si>
  <si>
    <t>TR4OZ</t>
  </si>
  <si>
    <t>WOS:000670000200001</t>
  </si>
  <si>
    <t>Sasaki, M; Dam, HG</t>
  </si>
  <si>
    <t>Sasaki, Matthew; Dam, Hans G.</t>
  </si>
  <si>
    <t>Global patterns in copepod thermal tolerance</t>
  </si>
  <si>
    <t>Copepod; thermal tolerance; plasticity; acclimation; macrophysiology</t>
  </si>
  <si>
    <t>TEMPERATURE TOLERANCE; ANTARCTIC COPEPODS; CLIMATE-CHANGE; TRADE-OFFS; MARINE; LIMITS; ACCLIMATION; ADAPTATION; SALINITY; COASTAL</t>
  </si>
  <si>
    <t>Copepods are key components of aquatic habitats across the globe. Understanding how they respond to warming is important for predicting the effects of climate change on aquatic communities. Lethal thermal limits may play an important role in determining responses to warming. Thermal tolerance can vary over several different spatial and temporal scales, but we still lack a fundamental understanding of what drives the evolution of these patterns in copepods. In this Horizons piece, we provide a synthesis of global patterns in copepod thermal tolerance and potential acclimatory capacities. Copepod thermal tolerance increases with maximum annual temperature. We also find that the effects of phenotypic plasticity on thermal tolerance are negatively related to the magnitude of thermal tolerance, suggesting a potential trade-off between these traits. Our ability to fully describe these patterns is limited, however, by a lack of spatial, temporal and phylogenetic coverage in copepod thermal tolerance data. We indicate several priority areas for future work on copepod thermal tolerance, and accompanying suggestions regarding experimental design and methodology.</t>
  </si>
  <si>
    <t>[Sasaki, Matthew; Dam, Hans G.] Univ Connecticut, Dept Marine Sci, 1080 Shennecossett Rd, Groton, CT 06340 USA</t>
  </si>
  <si>
    <t>University of Connecticut</t>
  </si>
  <si>
    <t>Sasaki, M (corresponding author), Univ Connecticut, Dept Marine Sci, 1080 Shennecossett Rd, Groton, CT 06340 USA.</t>
  </si>
  <si>
    <t>matthew.sasaki@uconn.edu</t>
  </si>
  <si>
    <t>Sasaki, Matthew/J-4480-2019</t>
  </si>
  <si>
    <t>Sasaki, Matthew/0000-0001-5560-5363</t>
  </si>
  <si>
    <t>National Science Foundation [OCE -1947965]</t>
  </si>
  <si>
    <t>This work was supported National Science Foundation grant OCE -1947965 to H.G.D.</t>
  </si>
  <si>
    <t>10.1093/plankt/fbab044</t>
  </si>
  <si>
    <t>WOS:000684173000007</t>
  </si>
  <si>
    <t>Veytia, D; Bestley, S; Kawaguchi, S; Meiners, KM; Murphy, EJ; Fraser, AD; Kusahara, K; Kimura, N; Corney, S</t>
  </si>
  <si>
    <t>Veytia, Devi; Bestley, Sophie; Kawaguchi, So; Meiners, Klaus M.; Murphy, Eugene J.; Fraser, Alexander D.; Kusahara, Kazuya; Kimura, Noriaki; Corney, Stuart</t>
  </si>
  <si>
    <t>Overwinter sea-ice characteristics important for Antarctic krill recruitment in the southwest Atlantic</t>
  </si>
  <si>
    <t>ECOLOGICAL INDICATORS</t>
  </si>
  <si>
    <t>Climate change; Sea ice; Antarctic krill; Euphausia superba; Overwinter survival; Recruitment</t>
  </si>
  <si>
    <t>LARVAL EUPHAUSIA-SUPERBA; SCOTIA SEA; SOUTHERN-OCEAN; PACK-ICE; INTERANNUAL VARIABILITY; LIFE-HISTORY; TRANSPORT; CIRCULATION; RESPONSES; ECOSYSTEM</t>
  </si>
  <si>
    <t>Climate change alters the extent and structure of sea-ice environments, which affects how they function as a habitat for polar species. Identifying sea-ice characteristics that serve as indicators of habitat quality will be crucial to the monitoring and management of climate change impacts. In the Southern Ocean, Antarctic krill is a key prey species and fishery target. Krill larvae depend upon sea-ice habitats to survive the winter and recruit to the population in spring. Existing observations of sea-ice characteristics lack sufficient spatiotemporal coverage to quantify which ones contribute to favourable overwintering habitat, leading to uncertainties in how current and future changes in sea ice affect krill populations. Here, we derive regional-scale indices of annual krill recruitment spanning 35 years across the southwest Atlantic. To develop meaningful indicators of sea-ice habitat, we selected variables from a high-resolution sea-ice model that are hypothesized as relevant for larval habitat use. The resulting correlations between recruitment and sea-ice indicators vary by region and show remote connections to sea ice that correspond with established theories of larval transport. Through an improved representation of sea-ice habitat quality, as compared with using more traditional satellite-derived variables such as sea-ice extent and duration, we highlight plausible regions of overwintering habitat. Our findings improve current understanding of how krill are likely responding to changing sea ice and support emerging views that larval habitat use is complex. Furthermore, regional variation in larval dependence on sea ice may provide pockets of resilience to change for the broader krill population.</t>
  </si>
  <si>
    <t>[Veytia, Devi; Bestley, Sophie; Corney, Stuart] Univ Tasmania, Inst Marine &amp; Antarctic Studies, 20 Castray Esp, Hobart, Tas 7004, Australia; [Bestley, Sophie; Kawaguchi, So; Meiners, Klaus M.; Fraser, Alexander D.] Univ Tasmania, Inst Marine &amp; Antarctic Studies, Australian Antarctic Program Partnership, Hobart, Tas 7004, Australia; [Kawaguchi, So; Meiners, Klaus M.] Dept Agr Water &amp; Environm, Australian Antarctic Div, 203 Channel Highway, Kingston, Tas 7050, Australia; [Murphy, Eugene J.] British Antarctic Survey, Madingley Rd, Cambridge CB3 0ET, England; [Kusahara, Kazuya] Japan Agcy Marine Earth Sci &amp; Technol JAMSTEC, Yokohama, Kanagawa 2360001, Japan; [Kimura, Noriaki] Univ Tokyo, Atmosphere &amp; Ocean Res Inst, 5-1-5 Kashiwanoha, Kashiwa, Chiba 2778568, Japan</t>
  </si>
  <si>
    <t>University of Tasmania; University of Tasmania; Australian Antarctic Division; UK Research &amp; Innovation (UKRI); Natural Environment Research Council (NERC); NERC British Antarctic Survey; Japan Agency for Marine-Earth Science &amp; Technology (JAMSTEC); University of Tokyo</t>
  </si>
  <si>
    <t>Veytia, D (corresponding author), Univ Tasmania, Inst Marine &amp; Antarctic Studies, 20 Castray Esp, Hobart, Tas 7004, Australia.</t>
  </si>
  <si>
    <t>devi.veytia@utas.edu.au; kazuya.kusahara@gmail.com; kimura_n@aori.u-tokyo.ac.jp</t>
  </si>
  <si>
    <t>Fraser, Alexander/AFO-7186-2022; murphy, eugene/GZL-1620-2022</t>
  </si>
  <si>
    <t>Fraser, Alexander/0000-0003-1924-0015;</t>
  </si>
  <si>
    <t>Tasmania Graduate Research Scholarship by the University of Tasmania; Australian Research Council Australian Discovery Early Career Award [DE180100828]; BAS ALI-Science Ecosystems project; Australian Government [Antarctic Science Projects] [4408, 4512]; Antarctic Science Collaboration Initiative program, Australian Antarctic Program Partnership; JSPS KEKENHI [JP19K12301, JP17H06323]; Cnes; Australian Research Council [DE180100828] Funding Source: Australian Research Council; NERC [bas0100035] Funding Source: UKRI</t>
  </si>
  <si>
    <t>Tasmania Graduate Research Scholarship by the University of Tasmania; Australian Research Council Australian Discovery Early Career Award(Australian Research Council); BAS ALI-Science Ecosystems project; Australian Government [Antarctic Science Projects]; Antarctic Science Collaboration Initiative program, Australian Antarctic Program Partnership; JSPS KEKENHI(Ministry of Education, Culture, Sports, Science and Technology, Japan (MEXT)Japan Society for the Promotion of ScienceGrants-in-Aid for Scientific Research (KAKENHI)); Cnes(Centre National D'etudes Spatiales); Australian Research Council(Australian Research Council); NERC(UK Research &amp; Innovation (UKRI)Natural Environment Research Council (NERC))</t>
  </si>
  <si>
    <t>The authors acknowledge the contributions of all the data providers of the krill density and length frequency data. D.V. is the recipient of a Tasmania Graduate Research Scholarship provided by the University of Tasmania. S.B. is the recipient of an Australian Research Council Australian Discovery Early Career Award [project DE180100828] . E.M. was supported by the BAS ALI-Science Ecosystems project (developing krill life-cycle models and future projections) and acknowledges BAS colleagues for discussions on the development of analyses, models and projections of Antarctic krill population processes. S. Wotherspoon provided very helpful guidance regarding the permutation analyses. This research was supported by the Australian Government [Antarctic Science Projects 4408 and 4512] , and through the Antarctic Science Collaboration Initiative program as part of the Australian Antarctic Program Partnership. The study is also a contribution to the interna-tional Integrating Climate and Ecosystems Dynamics Programme (ICED) . K. K. was supported by JSPS KEKENHI [grants JP19K12301 and JP17H06323] . The surface velocity data were produced by SSALTO/DUACS and distributed by Aviso+, with support from Cnes (http:// www.aviso.altimetry.fr/duacs/) . The altimetry sea ice thickness data used in this study (doi 10.6096/CTOH_SEAICE_2019_12) were developed, validated by the CTOH/LEGOS, France and distributed by Aviso + .</t>
  </si>
  <si>
    <t>1470-160X</t>
  </si>
  <si>
    <t>1872-7034</t>
  </si>
  <si>
    <t>ECOL INDIC</t>
  </si>
  <si>
    <t>Ecol. Indic.</t>
  </si>
  <si>
    <t>10.1016/j.ecolind.2021.107934</t>
  </si>
  <si>
    <t>Biodiversity Conservation; Environmental Sciences</t>
  </si>
  <si>
    <t>TV4KO</t>
  </si>
  <si>
    <t>WOS:000681691400001</t>
  </si>
  <si>
    <t>Krueck, NC</t>
  </si>
  <si>
    <t>Krueck, Nils C.</t>
  </si>
  <si>
    <t>Marine conservation across protected area boundaries</t>
  </si>
  <si>
    <t>NATURE ECOLOGY &amp; EVOLUTION</t>
  </si>
  <si>
    <t>RESERVES; CONNECTIVITY; EXPORT; FISH</t>
  </si>
  <si>
    <t>A synthesis of animal population trends around 27 no-take marine protected areas (MPAs) cautions that concentrated fishing right next to an MPA undermines population recovery within the MPA - and beyond.</t>
  </si>
  <si>
    <t>[Krueck, Nils C.] Univ Tasmania, Inst Marine &amp; Antarctic Studies IMAS, Hobart, Tas, Australia</t>
  </si>
  <si>
    <t>Krueck, NC (corresponding author), Univ Tasmania, Inst Marine &amp; Antarctic Studies IMAS, Hobart, Tas, Australia.</t>
  </si>
  <si>
    <t>nils.krueck@utas.edu.au</t>
  </si>
  <si>
    <t>2397-334X</t>
  </si>
  <si>
    <t>NAT ECOL EVOL</t>
  </si>
  <si>
    <t>Nat. Ecol. Evol.</t>
  </si>
  <si>
    <t>10.1038/s41559-021-01503-2</t>
  </si>
  <si>
    <t>UI9SJ</t>
  </si>
  <si>
    <t>WOS:000669775300004</t>
  </si>
  <si>
    <t>Ancin-Murguzur, FJ; Tarroux, A; Bråthen, KA; Bustamante, P; Descamps, S</t>
  </si>
  <si>
    <t>Ancin-Murguzur, Francisco Javier; Tarroux, Arnaud; Brathen, Kari Anne; Bustamante, Paco; Descamps, Sebastien</t>
  </si>
  <si>
    <t>Using near-infrared reflectance spectroscopy (NIRS) to estimate carbon and nitrogen stable isotope composition in animal tissues</t>
  </si>
  <si>
    <t>dietary studies; isotopic analysis; NIRS</t>
  </si>
  <si>
    <t>DIETARY; NICHE; PREDICTION; SUCCESS; PLANT; SOIL</t>
  </si>
  <si>
    <t>Stable isotopes analysis (SIA) of carbon and nitrogen provides valuable information about trophic interactions and animal feeding habits. We used near-infrared reflectance spectroscopy (NIRS) and support vector machines (SVM) to develop a model for screening isotopic ratios of carbon and nitrogen (delta C-13 and delta N-15) in samples from living animals. We applied this method on dried blood samples from birds previously analyzed for delta C-13 and delta N-15 to test whether NIRS can be applied to accurately estimate isotopic ratios. Our results show a prediction accuracy of NIRS (R-2 &gt; 0.65, RMSEP &lt; 0.28) for both delta C-13 and delta N-15, representing a 12% of the measurement range in this study. Our study suggests that NIRS can provide a time- and cost-efficient method to evaluate stable isotope ratios of carbon and nitrogen when substantial differences in delta C-13 or delta N-15 are expected, such as when discriminating among different trophic levels in diet.</t>
  </si>
  <si>
    <t>[Ancin-Murguzur, Francisco Javier; Brathen, Kari Anne] Univ Tromso Arctic Univ Norway, Dept Arctic &amp; Marine Biol, Tromso, Norway; [Tarroux, Arnaud] Norwegian Inst Nat Res, Tromso, Norway; [Bustamante, Paco] La Rochelle Univ, UMR 7266, CNRS, Littoral Environm &amp; Soc LIENSs, La Rochelle, France; [Bustamante, Paco] Inst Univ France IUF, Paris, France; [Descamps, Sebastien] Norwegian Polar Res Inst, Tromso, Norway</t>
  </si>
  <si>
    <t>UiT The Arctic University of Tromso; Norwegian Institute Nature Research; Centre National de la Recherche Scientifique (CNRS); CNRS - Institute of Ecology &amp; Environment (INEE); Institut Universitaire de France; Norwegian Polar Institute</t>
  </si>
  <si>
    <t>Ancin-Murguzur, FJ (corresponding author), Univ Tromso Arctic Univ Norway, Dept Arctic &amp; Marine Biol, Tromso, Norway.</t>
  </si>
  <si>
    <t>francisco.j.murguzur@uit.no</t>
  </si>
  <si>
    <t>Bustamante, Paco/G-5833-2011; Bråthen, Kari Anne/AAN-4666-2020</t>
  </si>
  <si>
    <t>Bustamante, Paco/0000-0003-3877-9390; Bråthen, Kari Anne/0000-0003-0942-1074; Tarroux, Arnaud/0000-0001-8306-6694; Ancin-Murguzur, Francisco Javier/0000-0002-1435-5190</t>
  </si>
  <si>
    <t>Norwegian Research Council [2011/70/8/KH]; Institut Universitaire de France (IUF)</t>
  </si>
  <si>
    <t>Norwegian Research Council(Research Council of Norway); Institut Universitaire de France (IUF)</t>
  </si>
  <si>
    <t>We thank our dedicated field assistants S. Haaland, G. Mabille, T. Nordstad, E. Soininen, and J. Sward. This project was funded by a grant from the Norwegian Research Council (Norwegian Antarctic Research Expedition program, grant number 2011/70/8/KH/is to SD). This study would not have been possible without support from the logistic department at the Norwegian Polar Institute (NPI) and the Troll Station summer and overwintering teams from 2011 to 2014. We are grateful to Sissel Kaino (University of TromsO-The Arctic University of Norway) for help with the sample preparation. We thank M. Brault-Favrou from the platform Analyses Elementaires and G. Guillou from the platform Analyses Isotopiques of LIENSs for their support in IR-MS isotope analyses. The Institut Universitaire de France (IUF) is acknowledged for its support to P. Bustamante as a Senior Member.</t>
  </si>
  <si>
    <t>10.1002/ece3.7851</t>
  </si>
  <si>
    <t>TT1OZ</t>
  </si>
  <si>
    <t>Green Submitted, Green Published, gold</t>
  </si>
  <si>
    <t>WOS:000669695400001</t>
  </si>
  <si>
    <t>Robinson, CM; Huot, Y; Schuback, N; Ryan-Keogh, TJ; Thomalla, SJ; Antoine, D</t>
  </si>
  <si>
    <t>Robinson, Charlotte M.; Huot, Yannick; Schuback, Nina; Ryan-Keogh, Thomas J.; Thomalla, Sandy J.; Antoine, David</t>
  </si>
  <si>
    <t>High latitude Southern Ocean phytoplankton have distinctive bio-optical properties</t>
  </si>
  <si>
    <t>OPTICS EXPRESS</t>
  </si>
  <si>
    <t>NATURAL IRON-FERTILIZATION; SPECTRAL ABSORPTION-COEFFICIENTS; NONLINEAR MINIMIZATION SUBJECT; CHLOROPHYLL-A CONCENTRATION; LIGHT-ABSORPTION; IN-SITU; OPTICAL-PROPERTIES; ANTARCTIC PHYTOPLANKTON; PHAEOCYSTIS-ANTARCTICA; KERGUELEN PLATEAU</t>
  </si>
  <si>
    <t>Studying the biogeochemistry of the Southern Ocean using remote sensing relies on accurate interpretation of ocean colour through bio-optical and biogeochemical relationships between quantities and properties of interest. During the Antarctic Circumnavigation Expedition of the 2016/2017Austral Summer, we collected a spatially comprehensive dataset of phytoplankton pigment concentrations, particulate absorption and particle size distribution and compared simple bio-optical and particle property relationships as a function of chlorophyll a. Similar to previous studies we find that the chlorophyll-specific phytoplankton absorption coefficient is significantly lower than in other oceans at comparable chlorophyll concentrations. This appears to be driven in part by lower concentrations of accessory pigments per unit chlorophyll a as well as increased pigment packaging due to relatively larger sized phytoplankton at low chlorophyll a than is typically observed in other oceans. We find that the contribution of microphytoplankton (&gt;20 mu m size) to chlorophyll a estimates of phytoplankton biomass is significantly higher than expected for the given chlorophyll a concentration, especially in higher latitudes south of the Southern Antarctic Circumpolar Current Front. Phytoplankton pigments are more packaged in larger cells, which resulted in a flattening of phytoplankton spectra as measured in these samples when compared to other ocean regions with similar chlorophyll a concentration. Additionally, we find that at high latitude locations in the Southern Ocean, pheopigment concentrations can exceed mono-vinyl chlorophyll a concentrations. Finally, we observed very different relationships between particle volume and chlorophyll a concentrations in high and low latitude Southern Ocean waters, driven by differences in phytoplankton community composition and acclimation to environmental conditions and varying contribution of non-algal particles to the particulate matter. Our data confirm that, as previously suggested, the relationships between bio-optical properties and chlorophyll a in the Southern Ocean are different to other oceans. In addition, distinct bio-optical properties were evident between high and low latitude regions of the Southern Ocean basin. Here we provide a region-specific set of power law functions describing the phytoplankton absorption spectrum as a function of chlorophyll a. (C) 2021 Optical Society of America under the terms of the OSA Open Access Publishing Agreement</t>
  </si>
  <si>
    <t>[Robinson, Charlotte M.; Schuback, Nina; Antoine, David] Curtin Univ, Sch Earth &amp; Planetary Sci, Remote Sensing &amp; Satellite Res Grp, Kent St, Bentley, WA 6102, Australia; [Huot, Yannick] Univ Sherbrooke, Ctr Applicat &amp; Rech Teledetect, Dept Geomat Appl, Sherbrooke, PQ J1K 2R1, Canada; [Schuback, Nina] Ecole Polytech Fed Lausanne, Swiss Polar Inst, Lausanne, Switzerland; [Schuback, Nina] Univ Bern, Inst Geol Sci, Bern, Switzerland; [Schuback, Nina] Univ Bern, Oeschger Ctr Climate Change Res, Bern, Switzerland; [Ryan-Keogh, Thomas J.; Thomalla, Sandy J.] CSIR, Southern Ocean Carbon &amp; Climate Observ SOCCO, Smart Pl, ZA-7700 Cape Town, South Africa; [Thomalla, Sandy J.] Univ Cape Town, Marine Res Inst MaRe, ZA-7701 Cape Town, South Africa; [Antoine, David] Sorbonne Univ, Lab Oceanog Villefranche, CNRS, F-06230 Villefranche Sur Mer, France</t>
  </si>
  <si>
    <t>Curtin University; University of Sherbrooke; Swiss Federal Institutes of Technology Domain; Ecole Polytechnique Federale de Lausanne; University of Bern; University of Bern; Council for Scientific &amp; Industrial Research (CSIR) - South Africa; University of Cape Town; Centre National de la Recherche Scientifique (CNRS); Sorbonne Universite</t>
  </si>
  <si>
    <t>Robinson, CM (corresponding author), Curtin Univ, Sch Earth &amp; Planetary Sci, Remote Sensing &amp; Satellite Res Grp, Kent St, Bentley, WA 6102, Australia.</t>
  </si>
  <si>
    <t>charlotte.mary.robinson@gmail.com</t>
  </si>
  <si>
    <t>Antoine, David/C-3817-2013</t>
  </si>
  <si>
    <t>Antoine, David/0000-0002-9082-2395</t>
  </si>
  <si>
    <t>Ferring Pharmaceuticals; Southern Ocean Carbon and Climate Observatory; Council for Scientific and Industrial Research, South Africa [SNA2011112600001]; Australian Research Council [DP160103387]; Curtin University; Swiss Polar Institute</t>
  </si>
  <si>
    <t>Ferring Pharmaceuticals(Ferring Pharmaceuticals); Southern Ocean Carbon and Climate Observatory; Council for Scientific and Industrial Research, South Africa(Council of Scientific &amp; Industrial Research (CSIR) - India); Australian Research Council(Australian Research Council); Curtin University; Swiss Polar Institute</t>
  </si>
  <si>
    <t>Ferring Pharmaceuticals; Southern Ocean Carbon and Climate Observatory; Swiss Polar Institute; Council for Scientific and Industrial Research, South Africa (SNA2011112600001); Australian Research Council (DP160103387); Curtin University.</t>
  </si>
  <si>
    <t>Optica Publishing Group</t>
  </si>
  <si>
    <t>2010 MASSACHUSETTS AVE NW, WASHINGTON, DC 20036 USA</t>
  </si>
  <si>
    <t>1094-4087</t>
  </si>
  <si>
    <t>OPT EXPRESS</t>
  </si>
  <si>
    <t>Opt. Express</t>
  </si>
  <si>
    <t>JUL 5</t>
  </si>
  <si>
    <t>10.1364/OE.426737</t>
  </si>
  <si>
    <t>Optics</t>
  </si>
  <si>
    <t>TE5LI</t>
  </si>
  <si>
    <t>WOS:000670054200004</t>
  </si>
  <si>
    <t>Zang, L; Rosenfeld, D; Mao, FY; Pan, ZX; Zhu, YNA; Gong, W; Wang, ZM</t>
  </si>
  <si>
    <t>Zang, Lin; Rosenfeld, Daniel; Mao, Feiyue; Pan, Zengxin; Zhu, Yannian; Gong, Wei; Wang, Zemin</t>
  </si>
  <si>
    <t>CALIOP retrieval of droplet effective radius accounting for cloud vertical homogeneity</t>
  </si>
  <si>
    <t>LIQUID WATER PATH; CALIPSO LIDAR CALIBRATION; PHOTON TRANSPORT; DIURNAL CYCLE; MICROPHYSICS; OCEAN</t>
  </si>
  <si>
    <t>Monitoring cloud droplet effective radius (re) is of great significance for studying aerosol-cloud interactions (ACI). Passive satellite retrieval, e.g., MODIS (Moderate Resolution Imaging Spectroradiometer), requires sunlight. This requirement prompted developing re retrieval using active sensors, e.g., CALIOP (Cloud-Aerosol Lidar with Orthogonal Polarization). Given the highest sensitivity of vertically homogeneous clouds to aerosols that feed to cloud base, here CALIOP profile measurements were used for the first time to quantify cloud vertical homogeneity and estimate cloud re during both day and night. Comparison using simultaneous Aqua-MODIS measurements demonstrates that CALIOP retrieval has the highest accuracy for vertically homogeneous clouds, with R-2 (MAE, RMSE) of 0.72 (1.75 mu m, 2.25 mu m), while the accuracy is lowest for non-homogeneous clouds, with R-2 (MAE, RMSE) of 0.60 (2.90 mu m, 3.70 mu m). The improved re retrieval in vertically homogeneous clouds provides a basis for possible breakthrough insights in ACI by CALIOP since re in such clouds reflects most directly aerosol effects on cloud properties. Global day-night maps of cloud vertical homogeneity and respective re are presented. (C) 2021 Optical Society of America under the terms of the OSA Open Access Publishing Agreement</t>
  </si>
  <si>
    <t>[Zang, Lin; Wang, Zemin] Wuhan Univ, Chinese Antarctic Ctr Surveying &amp; Mapping, Wuhan 430079, Peoples R China; [Zang, Lin; Rosenfeld, Daniel; Mao, Feiyue; Gong, Wei] Wuhan Univ, State Key Lab Informat Engn Surveying Mapping &amp; R, Wuhan 430079, Peoples R China; [Rosenfeld, Daniel; Pan, Zengxin] Hebrew Univ Jerusalem, Inst Earth Sci, IL-91904 Jerusalem, Israel; [Mao, Feiyue] Wuhan Univ, Sch Remote Sensing &amp; Informat Engn, Wuhan 430079, Peoples R China; [Zhu, Yannian] Nanjing Univ, Sch Atmospher Sci, Nanjing 210023, Peoples R China; [Gong, Wei] Wuhan Univ, Elect Informat Sch, Wuhan 430072, Peoples R China</t>
  </si>
  <si>
    <t>Wuhan University; Wuhan University; Hebrew University of Jerusalem; Wuhan University; Nanjing University; Wuhan University</t>
  </si>
  <si>
    <t>Zang, L (corresponding author), Wuhan Univ, Chinese Antarctic Ctr Surveying &amp; Mapping, Wuhan 430079, Peoples R China.;Zang, L; Mao, FY (corresponding author), Wuhan Univ, State Key Lab Informat Engn Surveying Mapping &amp; R, Wuhan 430079, Peoples R China.;Mao, FY (corresponding author), Wuhan Univ, Sch Remote Sensing &amp; Informat Engn, Wuhan 430079, Peoples R China.</t>
  </si>
  <si>
    <t>zanglin2018@whu.edu.cn; maofeiyue@whu.edu.cn</t>
  </si>
  <si>
    <t>Rosenfeld, Daniel/F-6077-2016</t>
  </si>
  <si>
    <t>Rosenfeld, Daniel/0000-0002-0784-7656</t>
  </si>
  <si>
    <t>National Natural Science Foundation of China [41627804, 41971285]; National Key Research and Development Program of China [2017YFC0212600]</t>
  </si>
  <si>
    <t>National Natural Science Foundation of China(National Natural Science Foundation of China (NSFC)); National Key Research and Development Program of China</t>
  </si>
  <si>
    <t>National Natural Science Foundation of China (41627804, 41971285); National Key Research and Development Program of China (2017YFC0212600).</t>
  </si>
  <si>
    <t>OPTICAL SOC AMER</t>
  </si>
  <si>
    <t>10.1364/OE.427022</t>
  </si>
  <si>
    <t>WOS:000670054200068</t>
  </si>
  <si>
    <t>Gee, BM; Sidor, CA</t>
  </si>
  <si>
    <t>Gee, Bryan M.; Sidor, Christian A.</t>
  </si>
  <si>
    <t>COLD CAPITOSAURS AND POLAR PLAGIOSAURS: NEW TEMNOSPONDYL RECORDS FROM THE UPPER FREMOUW FORMATION (MIDDLE TRIASSIC) OF ANTARCTICA</t>
  </si>
  <si>
    <t>JOURNAL OF VERTEBRATE PALEONTOLOGY</t>
  </si>
  <si>
    <t>CYNOGNATHUS ASSEMBLAGE ZONE; UPPER BEAUFORT GROUP; BONE-HISTOLOGY; AMPHIBIA TEMNOSPONDYLI; CRANIAL MORPHOLOGY; SYDNEY BASIN; SOUTH-AFRICA; KAROO BASIN; PHYLOGENY; ANATOMY</t>
  </si>
  <si>
    <t>The upper Fremouw Formation (Middle Triassic) of Antarctica preserves a diverse record of temnospondyls, with three species currently recognized. To date, all of the described material belongs to a single clade, Capitosauria. Our reanalysis suggests that cursory historical reports suggesting the presence of a benthosuchid (Trematosauria) are in error. Here we report substantial amounts of hemimandibular material of large-bodied temnospondyls from the upper Fremouw Formation. All seven specimens, including the historic material attributed to Trematosauria, exhibit features indicative of capitosaurian affinities. These specimens represent a notable expansion in the physical and conceptual body of temnospondyl material known from the Fremouw Formation, although they cannot be definitively associated with any of the three previously named Antarctic species in the absence of skeletal overlap. In addition, all of the specimens come from large-bodied individuals (i.e., skull lengths exceeding 70 cm), which likely reflects a taphonomic filter created by the high-energy channel lag deposition of the fossiliferous horizon of the upper Fremouw Formation. We also report the first occurrence of a non-capitosaur, an interclavicle belonging to a plagiosaurid. This represents only the third occurrence of Plagiosauridae in southern Pangea during the Triassic, in contrast to a much richer record of this clade in northern parts of the supercontinent and a rich record of the closely related brachyopids in the southern hemisphere. Together with the continued absence of trematosaurs in Antarctica, the plagiosaurid record hints at nuances in the distribution of cosmopolitan clades patterns that are tied to presently unrecognized ecological and physiological differentiators.</t>
  </si>
  <si>
    <t>[Gee, Bryan M.] Univ Washington, Burke Museum, Seattle, WA 98195 USA; Univ Washington, Dept Biol, Seattle, WA 98195 USA</t>
  </si>
  <si>
    <t>University of Washington; University of Washington Seattle; University of Washington; University of Washington Seattle</t>
  </si>
  <si>
    <t>Gee, BM (corresponding author), Univ Washington, Burke Museum, Seattle, WA 98195 USA.</t>
  </si>
  <si>
    <t>bmgee@uw.edu; casidor@uw.edu</t>
  </si>
  <si>
    <t>Gee, Bryan/JCD-5073-2023</t>
  </si>
  <si>
    <t>Gee, Bryan/0000-0003-4517-3290; Sidor, Christian/0000-0003-0742-4829</t>
  </si>
  <si>
    <t>NSF [ANT-0551163, ANT-0838762, ANT-1341304, ANT-1947094]; National Science Foundation through the U.S. Antarctic Program</t>
  </si>
  <si>
    <t>NSF(National Science Foundation (NSF)); National Science Foundation through the U.S. Antarctic Program(National Science Foundation (NSF))</t>
  </si>
  <si>
    <t>Fieldwork in the upper Fremouw Formation was supported by NSF ANT-0551163, ANT-0838762, and ANT-1341304, with subsequent research and analysis supported by ANT-1947094. Logistical support in Antarctica was provided by the National Science Foundation through the U.S. Antarctic Program. We thank B. Crowley, S. Egberts, L. Herzog, G. Livingston, R. Masek, and B. Ryan for preparation of the material described here and T. Cully, J. Isbell, A. Huttenlocker, M. Miller, B. Peecook, and R. Smith for their contributions in the field. Additionally, we acknowledge M. Rich for specimen photography and W. Hammer for leading the collection of the AMNH specimens. We thank A. Kufner, one anonymous reviewer, and the editor, A. Huttenlocker, for constructive feedback that improved this manuscript.</t>
  </si>
  <si>
    <t>TAYLOR &amp; FRANCIS INC</t>
  </si>
  <si>
    <t>PHILADELPHIA</t>
  </si>
  <si>
    <t>530 WALNUT STREET, STE 850, PHILADELPHIA, PA 19106 USA</t>
  </si>
  <si>
    <t>0272-4634</t>
  </si>
  <si>
    <t>1937-2809</t>
  </si>
  <si>
    <t>J VERTEBR PALEONTOL</t>
  </si>
  <si>
    <t>J. Vertebr. Paleontol.</t>
  </si>
  <si>
    <t>JUL 4</t>
  </si>
  <si>
    <t>e1998086</t>
  </si>
  <si>
    <t>10.1080/02724634.2021.1998086</t>
  </si>
  <si>
    <t>0D2LK</t>
  </si>
  <si>
    <t>WOS:000756604200001</t>
  </si>
  <si>
    <t>Hrbácek, F; Vieira, G; Oliva, M; Balks, M; Guglielmin, M; de Pablo, MA; Molina, A; Ramos, M; Goyanes, G; Meiklejohn, I; Abramov, A; Demidov, N; Fedorov-Davydov, D; Lupachev, A; Rivkina, E; Láska, K; Knazková, M; Nyvlt, D; Raffi, R; Strelin, J; Sone, T; Fukui, K; Dolgikh, A; Zazovskaya, E; Mergelov, N; Osokin, N; Miamin, V</t>
  </si>
  <si>
    <t>Hrbacek, Filip; Vieira, Goncalo; Oliva, Marc; Balks, Megan; Guglielmin, Mauro; de Pablo, Miguel Angel; Molina, Antonio; Ramos, Miguel; Goyanes, Gabriel; Meiklejohn, Ian; Abramov, Andrey; Demidov, Nikita; Fedorov-Davydov, Dmitry; Lupachev, Alexey; Rivkina, Elizaveta; Laska, Kamil; Knazkova, Michaela; Nyvlt, Daniel; Raffi, Rossana; Strelin, Jorge; Sone, Toshio; Fukui, Kotaro; Dolgikh, Andrey; Zazovskaya, Elya; Mergelov, Nikita; Osokin, Nikolay; Miamin, Vladislav</t>
  </si>
  <si>
    <t>Active layer monitoring in Antarctica: an overview of results from 2006 to 2015</t>
  </si>
  <si>
    <t>POLAR GEOGRAPHY</t>
  </si>
  <si>
    <t>CALM-S; active layer thickness; ground temperature; Antarctica; active layer monitoring; climate</t>
  </si>
  <si>
    <t>PENINSULA LIVINGSTON ISLAND; JAMES-ROSS-ISLAND; CALM-S SITE; GROUND SURFACE-TEMPERATURE; BYERS PENINSULA; PERMAFROST DISTRIBUTION; DECEPTION ISLAND; THERMAL REGIME; TEMPORAL VARIABILITY; MARITIME ANTARCTICA</t>
  </si>
  <si>
    <t>Monitoring of active layer thawing depth and active layer thickness (ALT), using mechanical pronging and continuous temperature data logging, has been undertaken under the Circumpolar Active Layer Monitoring - South (CALM-S) program at a range of sites across Antarctica. The objective of this study was to summarize key data from sites in different Antarctic regions from 2006 to 2015 to review the state of the active layer in Antarctica and the effectiveness of the CALM-S program. The data from 16 sites involving 8 CALM-S and another 8 boreholes across the Antarctic have been used in the study. Probing for thaw depth, while giving information on local spatial variability, often underestimates the maximum ALT of Antarctic soils compared to that determined using continuous temperature monitoring. The differences are likely to be caused by stones limiting probe penetration and the timing of probing not coinciding with the timing of maximum thaw, which varies between seasons. The information on the active layer depth is still sparse in many regions and the monitoring needs to be extended and continued to provide a better understanding of both spatial and temporal variability in Antarctic soil thermal properties.</t>
  </si>
  <si>
    <t>[Hrbacek, Filip; Laska, Kamil; Knazkova, Michaela; Nyvlt, Daniel] Masaryk Univ, Fac Sci, Dept Geog, Brno, Czech Republic; [Vieira, Goncalo] Univ Lisbon, CEG IGOT, Lisbon, Portugal; [Oliva, Marc] Univ Barcelona, Dept Geog, Barcelona, Spain; [Balks, Megan] Univ Waikato, Fac Sci &amp; Engn, Hamilton, New Zealand; [Guglielmin, Mauro] Insubria Univ, Dept Theoret &amp; Appl Sci, Varese, Italy; [de Pablo, Miguel Angel; Molina, Antonio] Univ Alcala, Dept Geol Geog &amp; Environm, Madrid, Spain; [Ramos, Miguel] Univ Alcala, Dept Phys &amp; Math, Madrid, Spain; [Goyanes, Gabriel] Univ Buenos Aires, Dept Geol, Buenos Aires, DF, Argentina; [Meiklejohn, Ian] Rhodes Univ, Dept Geog, Grahamstown, South Africa; [Abramov, Andrey; Demidov, Nikita; Fedorov-Davydov, Dmitry; Lupachev, Alexey; Rivkina, Elizaveta] Inst Physicochem &amp; Biol Problems Soil Sci, Soil Cryol Lab, Moscow, Russia; [Raffi, Rossana] Sapienza Univ Rome, Dept Earth Sci, Rome, Italy; [Strelin, Jorge] Univ Cordoba, Ciencias Exactas Fis &amp; Nat, Cordoba, Argentina; [Sone, Toshio] Hokkaido Univ, Inst Low Tempreature Sci, Sapporo, Hokkaido, Japan; [Fukui, Kotaro] Natl Inst Polar Res, Tachikawa, Tokyo, Japan; [Dolgikh, Andrey; Zazovskaya, Elya; Mergelov, Nikita] Russian Acad Sci, Inst Geog, Dept Soil Geog &amp; Evolut, Moscow, Russia; [Osokin, Nikolay] Russian Acad Sci, Inst Geog, Dept Glaciol, Moscow, Russia; [Miamin, Vladislav] Natl Acad Sci Belarus, Sci &amp; Pract Ctr Bioresources, Dept Biol, Minsk, BELARUS</t>
  </si>
  <si>
    <t>Masaryk University Brno; Universidade de Lisboa; University of Barcelona; University of Waikato; University of Insubria; Universidad de Alcala; Universidad de Alcala; University of Buenos Aires; Rhodes University; Russian Academy of Sciences; Pushchino Scientific Center for Biological Research (PSCBI) of the Russian Academy of Sciences; Institute of Physicohemical &amp; Biological Problems of Soil Science; Sapienza University Rome; National University of Cordoba; Hokkaido University; Research Organization of Information &amp; Systems (ROIS); National Institute of Polar Research (NIPR) - Japan; Russian Academy of Sciences; Institute of Geography, Russian Academy of Sciences; Russian Academy of Sciences; Institute of Geography, Russian Academy of Sciences; National Academy of Sciences of Belarus (NASB); Scientific &amp; Practical Center for Bioresources of the National Academy of Sciences of Belarus</t>
  </si>
  <si>
    <t>De Pablo, Miguel Ángel/J-6442-2014; Goyanes Díaz, Gabriel Alejandro/JXM-1643-2024; Molina, Antonio/AAE-1314-2020; Laska, Kamil/L-7875-2013; Mergelov, Nikita S/D-2585-2015; Hrbacek, Filip/ABG-4319-2020; Добрянский, Александр/AAG-6075-2021; Sone, Toshio/D-9750-2012; Vieira, Goncalo/G-5958-2010; Dolgikh, Andrey/D-2575-2015; Zazovskaya, Elya/J-4800-2018; Meiklejohn, Ian/F-3183-2012; Nyvlt, Daniel/J-6504-2019; Oliva, Marc/K-5423-2014; FUKUI, Kotaro/H-5600-2018; Abramov, Andrey/A-2705-2012</t>
  </si>
  <si>
    <t>De Pablo, Miguel Ángel/0000-0002-4496-2741; Goyanes Díaz, Gabriel Alejandro/0000-0001-5241-254X; Molina, Antonio/0000-0002-5038-2022; Laska, Kamil/0000-0002-5199-9737; Hrbacek, Filip/0000-0001-5032-9216; Vieira, Goncalo/0000-0001-7611-3464; Dolgikh, Andrey/0000-0002-9316-9440; Zazovskaya, Elya/0000-0002-1202-657X; Meiklejohn, Ian/0000-0001-8890-2938; Nyvlt, Daniel/0000-0002-6876-490X; Oliva, Marc/0000-0001-6521-6388; FUKUI, Kotaro/0000-0003-2106-0232; Abramov, Andrey/0000-0002-3602-1159</t>
  </si>
  <si>
    <t>Masaryk University [MUNI/A/1315/2015]; Ministry of Education Youth and Sports (MEYS) [LM2015078]; Portuguese Polar Program; Fundacao para a Ciencia e a Tecnologia; Ramon y Cajal Program of the Spanish Ministry of Economy and Competitiveness [RYC-2015-17597]; Government of Spain; project PERMASNOW [CTM2014-52021-R]; project ANTARPERMA [CTM2011-15565-E]; project PERMAPLANET [CTM2009-10165]; project PERMAMODEL [POL-2006/01918]; Russian Science Foundation [14-27-00133]; Russian Fund for Basic Research [16-04-01050]; National Research Foundation (South Africa); Italian Antarctic National Research Program (PNRA)</t>
  </si>
  <si>
    <t>Masaryk University; Ministry of Education Youth and Sports (MEYS)(Ministry of Education, Youth &amp; Sports - Czech Republic); Portuguese Polar Program; Fundacao para a Ciencia e a Tecnologia(Fundacao para a Ciencia e a Tecnologia (FCT)); Ramon y Cajal Program of the Spanish Ministry of Economy and Competitiveness(Spanish Government); Government of Spain(Spanish Government); project PERMASNOW; project ANTARPERMA; project PERMAPLANET; project PERMAMODEL; Russian Science Foundation(Russian Science Foundation (RSF)); Russian Fund for Basic Research(Russian Foundation for Basic Research (RFBR)); National Research Foundation (South Africa)(National Research Foundation - South AfricaSouth African Medical Research Council); Italian Antarctic National Research Program (PNRA)</t>
  </si>
  <si>
    <t>The research was supported by the Masaryk University project MUNI/A/1315/2015: Integrated research of environmental changes in the landscape sphere. The work was also supported by the Ministry of Education Youth and Sports (MEYS) large infrastructure project LM2015078 `Czech Polar Research Infrastructure'. G. Vieira contribution has been supported by the Portuguese Polar Program and the Fundacao para a Ciencia e a Tecnologia. Marc Oliva is supported by the Ramon y Cajal Program of the Spanish Ministry of Economy and Competitiveness (RYC-2015-17597). Monitoring stations at Livingston and Deception islands have been supported in the last decade by different projects funded by the Government of Spain, including projects PERMASNOW(CTM2014-52021-R), ANTARPERMA (CTM2011-15565-E), PERMAPLANET (CTM2009-10165) and PERMAMODEL (POL-2006/01918), with the collaboration of Portuguese, Russian, Swiss and Czech researchers. Research and data processing at Bellingshausen, Novolazarevskaya, Molodyozhnaya and Progress stations were supported by the Russian Science Foundation, Project No. 14-27-00133; Russian Fund for Basic Research, Project No. 16-04-01050; Russian Antarctic expedition (logistical support) and UAF (data loggers for ground temperature). The work of I. Meiklejohn is based on the research supported by the National Research Foundation (South Africa). The research of R. Raffi was funded by the Italian Antarctic National Research Program (PNRA). This research waspromoted within the SCAR/IPA ANTPAS Expert Group.</t>
  </si>
  <si>
    <t>1088-937X</t>
  </si>
  <si>
    <t>1939-0513</t>
  </si>
  <si>
    <t>POLAR GEOGR</t>
  </si>
  <si>
    <t>Polar Geogr.</t>
  </si>
  <si>
    <t>10.1080/1088937X.2017.1420105</t>
  </si>
  <si>
    <t>XJ8UR</t>
  </si>
  <si>
    <t>WOS:000727056000001</t>
  </si>
  <si>
    <t>Ravichandran, M; Gupta, AK; Mohan, K; Lakshumanan, C</t>
  </si>
  <si>
    <t>Ravichandran, Muthusamy; Gupta, Anil K.; Mohan, Kuppusamy; Lakshumanan, Chokkalingam</t>
  </si>
  <si>
    <t>Indian monsoon wind variability since-11 kyr in the northwestern and northeastern Arabian Sea</t>
  </si>
  <si>
    <t>JOURNAL OF ASIAN EARTH SCIENCES</t>
  </si>
  <si>
    <t>Planktic foraminifera; Upwelling; Summer monsoon; Wind stress; Productivity; Arabian Sea</t>
  </si>
  <si>
    <t>OXYGEN MINIMUM ZONE; GLOBIGERINA BULLOIDES IMPLICATIONS; ASIAN SOUTHWEST MONSOON; PLANKTONIC-FORAMINIFERA; LATE QUATERNARY; HIGH-RESOLUTION; PHYTOPLANKTON BIOMASS; AGE CALIBRATION; ABRUPT CHANGES; CLIMATE-CHANGE</t>
  </si>
  <si>
    <t>In this paper, we use planktic foraminifera and mixed-layer species from cores SK-240/327, SK-243/I- and ABP25/03, northeastern Arabian Sea to investigate monsoon wind variability. Planktic foraminifera include Globigerina bulloides, a monsoon proxy and mixed-layer species Globigerinoides ruber, Gs. sacculifer, Gs. obliquus and Gs. extremus from cores SK-240/327, SK-243/I-1 and ABP-25/03 encompassing last -11 calibrated kilo years before the Present (-11 cal kyr BP). The population abundances of Globigerina bulloides and mixed-layer species were compared with published Globigerina bulloides percentages from the western Arabian Sea Ocean Drilling Program Holes 723A, 724B and 727B, and eastern Arabian Sea core ABP-25, 02 to understand variations in Indian monsoon winds during the Holocene. In the eastern Arabian Sea, upwelling induced productivity was higher during 10-6.5 cal kyr BP which decreased during 6.5-3 cal kyr BP. In the northwestern Arabian Sea, we observe a similar scenario but not every site captured this change owing to spatial diverseness in monsoon wind stress. The productivity increased since 3 cal kyr BP due to intense summer monsoon winds in the northeastern Arabian Sea, whereas productivity began to increase at -1.5 cal kyr BP in the northwestern Arabian Sea. The upwelling intensity shows large spatial and temporal variations in the eastern and western Arabian Sea, indicating varying monsoon wind strength across the Arabian Sea during the Holocene. The spectral analysis performed on Globigerina bulloides shows cyclicity which is associated with solar variability during the past 11 kyr record in the northeastern Arabian Sea.</t>
  </si>
  <si>
    <t>[Ravichandran, Muthusamy; Lakshumanan, Chokkalingam] Bharathidasan Univ, Ctr Disaster Management &amp; Coastal Res, Tiruchirappalli 620023, Tamil Nadu, India; [Ravichandran, Muthusamy; Gupta, Anil K.] Indian Inst Technol Kharagpur, Dept Geol &amp; Geophys, Kharagpur 721302, W Bengal, India; [Mohan, Kuppusamy] Vellore Inst Technol, Sch Civil Engn, Chennai 600127, Tamil Nadu, India</t>
  </si>
  <si>
    <t>Bharathidasan University; Indian Institute of Technology System (IIT System); Indian Institute of Technology (IIT) - Kharagpur; Vellore Institute of Technology (VIT); VIT Chennai</t>
  </si>
  <si>
    <t>Gupta, AK (corresponding author), Indian Inst Technol Kharagpur, Dept Geol &amp; Geophys, Kharagpur 721302, W Bengal, India.</t>
  </si>
  <si>
    <t>anilg@gg.iitkgp.ac.in</t>
  </si>
  <si>
    <t>Chokkalingam, Lakshumanan/ABA-6929-2021</t>
  </si>
  <si>
    <t>Chokkalingam, Lakshumanan/0000-0001-9238-5654; Kuppusamy, Mohan/0000-0002-2558-057X</t>
  </si>
  <si>
    <t>Ministry of Earth Sciences, New Delhi [MoES/16/49/09-RDEAS]; DST, New Delhi [SR/S2/JCB80/2011]</t>
  </si>
  <si>
    <t>Ministry of Earth Sciences, New Delhi; DST, New Delhi(Department of Science &amp; Technology (India))</t>
  </si>
  <si>
    <t>Ocean Drilling Program (ODP) and National Centre for Antarctic and Ocean Research (NCAOR) , Goa are thanked for providing the samples for the present study. Eastern Arabian Sea core samples were collected during cruises of R/V Akademik Boris Petrov (ABP- 25) and Sagar Kanya. Authors thankfully acknowledge the financial support from the Ministry of Earth Sciences, New Delhi (MoES/16/49/09-RDEAS) . AKG thanks DST, New Delhi for J.C. Bose fellowship (No.SR/S2/JCB80/2011) . We acknowledge with thank IIT Kharagpur for infrastructure support. The first version of this manuscript was improved from very constructive comments by the reviewers.</t>
  </si>
  <si>
    <t>1367-9120</t>
  </si>
  <si>
    <t>1878-5786</t>
  </si>
  <si>
    <t>J ASIAN EARTH SCI</t>
  </si>
  <si>
    <t>J. Asian Earth Sci.</t>
  </si>
  <si>
    <t>10.1016/j.jseaes.2021.104882</t>
  </si>
  <si>
    <t>TZ2FI</t>
  </si>
  <si>
    <t>WOS:000684290600004</t>
  </si>
  <si>
    <t>Daniels, C</t>
  </si>
  <si>
    <t>Daniels, Chris</t>
  </si>
  <si>
    <t>Antarctic bears</t>
  </si>
  <si>
    <t>NEW SCIENTIST</t>
  </si>
  <si>
    <t>REED BUSINESS INFORMATION LTD</t>
  </si>
  <si>
    <t>SUTTON</t>
  </si>
  <si>
    <t>QUADRANT HOUSE THE QUADRANT, SUTTON SM2 5AS, SURREY, ENGLAND</t>
  </si>
  <si>
    <t>0262-4079</t>
  </si>
  <si>
    <t>NEW SCI</t>
  </si>
  <si>
    <t>New Sci.</t>
  </si>
  <si>
    <t>TI1JQ</t>
  </si>
  <si>
    <t>WOS:000672539100042</t>
  </si>
  <si>
    <t>Last, R</t>
  </si>
  <si>
    <t>Last, Rex</t>
  </si>
  <si>
    <t>WOS:000672539100043</t>
  </si>
  <si>
    <t>Wallace, J</t>
  </si>
  <si>
    <t>Wallace, Jonathan</t>
  </si>
  <si>
    <t>WOS:000672539100044</t>
  </si>
  <si>
    <t>Jones, C</t>
  </si>
  <si>
    <t>Jones, Conrad</t>
  </si>
  <si>
    <t>WOS:000672539100046</t>
  </si>
  <si>
    <t>Warman, C</t>
  </si>
  <si>
    <t>Warman, Chris</t>
  </si>
  <si>
    <t>WOS:000672539100045</t>
  </si>
  <si>
    <t>Zebek, E; Napiórkowska-Krzebietke, A; Swiatecki, A; Górniak, D</t>
  </si>
  <si>
    <t>Zebek, Elzbieta; Napiorkowska-Krzebietke, Agnieszka; Swiatecki, Aleksander; Gorniak, Dorota</t>
  </si>
  <si>
    <t>Biodiversity of periphytic cyanobacteria and algae assemblages in polar region: a case study of the vicinity of Arctowski Polish Antarctic Station (King George Island, Antarctica)</t>
  </si>
  <si>
    <t>BIODIVERSITY AND CONSERVATION</t>
  </si>
  <si>
    <t>Ecology; Cyanobacteria and algae; Small water bodies; Streams; Global climate changes; Legal status</t>
  </si>
  <si>
    <t>CLIMATE-CHANGE; FRESH-WATER; BIOMASS; STREAMS; ECOSYSTEM; DYNAMICS; SOUTHERN; MARINE; EUTROPHICATION; PERSPECTIVES</t>
  </si>
  <si>
    <t>This study was carried out on periphytic cyanobacteria and algae assemblages of microbial mats in streams and small water bodies during the Antarctic summer of 2019 in the vicinity of Ecology Glacier (King George Island, Antarctica). The significantly diversified assemblages between the microbial mats of small water bodies and streams were observed. The higher biomass and proportion of periphytic cyanobacteria with Planktothix agardhii as dominant species were found in the streams at lower mean water temperature and higher nutrient content while diatoms generally dominated in the small water bodies (primarily Fragilaria capucina). Chlorophyta also reached a significant proportion in the total biomass of periphyton with dominant species of Prasiola crispa and Keratococcus mucicola. The growth of periphytic cyanobacteria and algae was determined mainly by type of substrate, water temperature and nutrient concentrations. The results also suggest the phenomenon of nutrient uptake by these assemblages from the waters, confirmed by the negative correlations between some species and nutrients (TN, TP, N-NH4, P-PO4). A large share of commonly occurring periphytic species and limitation of typically polar ones, suggest progressive changes in the eutrophication of Antarctic waters caused by the global climate change and increased pollution in the environment. Therefore, these areas should be subject to a special legal protection, preceded by detailed research of these ecosystems.</t>
  </si>
  <si>
    <t>[Zebek, Elzbieta] Univ Warmia &amp; Mazury, Dept Int Publ Law &amp; European Union Law, Obitza 2, PL-10725 Olsztyn, Poland; [Napiorkowska-Krzebietke, Agnieszka] S Sakowicz Inland Fisheries Inst, Dept Ichthyol Hydrobiol &amp; Aquat Ecol, Oczapowskiego 10, PL-10719 Olsztyn, Poland; [Swiatecki, Aleksander; Gorniak, Dorota] Univ Warmia &amp; Mazury, Dept Microbiol &amp; Mycol, Olsztyn, Oczapowskiego 1A, PL-10719 Olsztyn, Poland</t>
  </si>
  <si>
    <t>University of Warmia &amp; Mazury; University of Warmia &amp; Mazury</t>
  </si>
  <si>
    <t>Napiórkowska-Krzebietke, A (corresponding author), S Sakowicz Inland Fisheries Inst, Dept Ichthyol Hydrobiol &amp; Aquat Ecol, Oczapowskiego 10, PL-10719 Olsztyn, Poland.</t>
  </si>
  <si>
    <t>elzbieta.zebek@uwm.edu.pl; a.napiorkowska-krzebietke@infish.com.pl; aswiat@uwm.edu.pl; gorniak@uwm.edu.pl</t>
  </si>
  <si>
    <t>Gorniak, Dorota/X-8468-2018; Napiorkowska-Krzebietke, Agnieszka/I-3874-2018</t>
  </si>
  <si>
    <t>Gorniak, Dorota/0000-0001-6567-1057; Napiorkowska-Krzebietke, Agnieszka/0000-0001-8361-0290; Zebek, Elzbieta/0000-0002-8637-8391</t>
  </si>
  <si>
    <t>NCN [2017/25/B/NZ8/01915]; Faculty of Law and Administration, University of Warmia and Mazury [24.610.044-110]; S. Sakowicz Inland Fisheries Institute in Olsztyn (SSIFI) [S-009]</t>
  </si>
  <si>
    <t>NCN; Faculty of Law and Administration, University of Warmia and Mazury; S. Sakowicz Inland Fisheries Institute in Olsztyn (SSIFI)</t>
  </si>
  <si>
    <t>The research was funded within the grant of NCN no. 2017/25/B/NZ8/01915. Analyses and preparation of manuscript were supported by the Faculty of Law and Administration, University of Warmia and Mazury (statutory research topic no. 24.610.044-110) and by S. Sakowicz Inland Fisheries Institute in Olsztyn (SSIFI statutory research topic no. S-009).</t>
  </si>
  <si>
    <t>0960-3115</t>
  </si>
  <si>
    <t>1572-9710</t>
  </si>
  <si>
    <t>BIODIVERS CONSERV</t>
  </si>
  <si>
    <t>Biodivers. Conserv.</t>
  </si>
  <si>
    <t>10.1007/s10531-021-02219-2</t>
  </si>
  <si>
    <t>TK5AP</t>
  </si>
  <si>
    <t>WOS:000669289800001</t>
  </si>
  <si>
    <t>Stokke, OS</t>
  </si>
  <si>
    <t>Stokke, Olav Schram</t>
  </si>
  <si>
    <t>Introductory essay: Polar regions and multi-level governance</t>
  </si>
  <si>
    <t>POLAR JOURNAL</t>
  </si>
  <si>
    <t>Arctic; Antarctic; governance; international institutions; legitimacy; CCAMLR; marine protected areas; Svalbard; scientific research</t>
  </si>
  <si>
    <t>REGIME COMPLEXES; MANAGEMENT</t>
  </si>
  <si>
    <t>This introductory essay synthesises the contributions to this special issue on polar regions and multi-level governance, showing how they address three important themes in the study of institutional complexes: interplay management; the influence that global institutions and processes exert on regional regimes; and the ways in which states and other actors pursue their interests within complexes of institutions. The institutional complexes in focus here comprise institutions relevant to Arctic Ocean governance, EU-Arctic relationships, Arctic maritime boundary disputes, the Antarctic Treaty System (including CCAMLR), the preservation of cultural heritage and the traditional economy in Newfoundland and Labrador, and scientific research in Svalbard.</t>
  </si>
  <si>
    <t>[Stokke, Olav Schram] Univ Oslo, Dept Polit Sci, Oslo, Norway; [Stokke, Olav Schram] Fridtjof Nansen Inst Polhogda, Oslo, Norway; [Stokke, Olav Schram] Univ Oslo, Dept Polit Sci, PB 0317, N-1097 Oslo, Norway; [Stokke, Olav Schram] Fridtjof Nansen Inst Polhogda, PB 0317, N-1097 Oslo, Norway</t>
  </si>
  <si>
    <t>University of Oslo; University of Oslo</t>
  </si>
  <si>
    <t>Stokke, OS (corresponding author), Univ Oslo, Dept Polit Sci, PB 0317, N-1097 Oslo, Norway.;Stokke, OS (corresponding author), Fridtjof Nansen Inst Polhogda, PB 0317, N-1097 Oslo, Norway.</t>
  </si>
  <si>
    <t>o.s.stokke@stv.uio.no</t>
  </si>
  <si>
    <t>2154-896X</t>
  </si>
  <si>
    <t>2154-8978</t>
  </si>
  <si>
    <t>POLAR J-UK</t>
  </si>
  <si>
    <t>Polar J.</t>
  </si>
  <si>
    <t>10.1080/2154896X.2021.2007460</t>
  </si>
  <si>
    <t>Area Studies; Environmental Studies; Geography; International Relations</t>
  </si>
  <si>
    <t>Area Studies; Environmental Sciences &amp; Ecology; Geography; International Relations</t>
  </si>
  <si>
    <t>X5AN5</t>
  </si>
  <si>
    <t>WOS:001098576000001</t>
  </si>
  <si>
    <t>Haward, M</t>
  </si>
  <si>
    <t>Haward, Marcus</t>
  </si>
  <si>
    <t>Biodiversity in Areas Beyond National Jurisdiction (BBNJ): the Commission for the Conservation of Antarctic Marine Living Resources (CCAMLR) and the United Nations BBNJ agreement</t>
  </si>
  <si>
    <t>Areas beyond national jurisdiction; biodiversity; conservation; ecosystem-based management; fisheries</t>
  </si>
  <si>
    <t>SOUTHERN-OCEAN; MANAGEMENT; IMPLEMENTATION; FISHERIES; REGIME; CHALLENGES; ECOSYSTEMS; TREATY</t>
  </si>
  <si>
    <t>The Commission for the Conservation of Antarctic Marine Living Resources (CCAMLR) has addressed the management of biodiversity in areas beyond national jurisdiction since its establishment under the 1980 Convention on the Conservation of Antarctic Marine Living Resources (CAMLR Convention). The development of a draft Agreement under the United Nations Convention on the Law of the Sea on the Conservation and Sustainable Use of Marine Biological Diversity of Areas Beyond National Jurisdiction (BBNJ Agreement) reinforces the significance of conservation oriented, ecosystem-based management in areas beyond national jurisdiction pioneered by CCAMLR. This paper explores the potential interplay between CCAMLR and the BBNJ Agreement, noting that while the BBNJ Agreement commits not to 'undermine relevant legal instruments and frameworks and relevant global, regional, subregional and sectoral bodies', it is likely to sharpen assessments of CCAMLR's performance.</t>
  </si>
  <si>
    <t>[Haward, Marcus] Inst Marine &amp; Antarctic Studies IMAS, Oceans &amp; Cryosphere Ctr, Oceans &amp; Antarctic Governance, Battery Point, Australia; [Haward, Marcus] Univ Tasmania, Coll Sci &amp; Engn, Hobart, Australia</t>
  </si>
  <si>
    <t>Haward, M (corresponding author), Inst Marine &amp; Antarctic Studies IMAS, Oceans &amp; Cryosphere Ctr, Oceans &amp; Antarctic Governance, Battery Point, Australia.</t>
  </si>
  <si>
    <t>Marcus.haward@utas.edu.au</t>
  </si>
  <si>
    <t>Haward, Marcus/G-3369-2014</t>
  </si>
  <si>
    <t>Haward, Marcus/0000-0003-4775-0864</t>
  </si>
  <si>
    <t>I wish to thank the paper's anonymous reviewers and issue editor Professor Olav Schram Stokke for their insights and detailed comments on an earlier version of the paper.</t>
  </si>
  <si>
    <t>10.1080/2154896X.2021.1984658</t>
  </si>
  <si>
    <t>WOS:001098576000004</t>
  </si>
  <si>
    <t>Yermakova, Y</t>
  </si>
  <si>
    <t>Yermakova, Yelena</t>
  </si>
  <si>
    <t>Legitimacy of the Antarctic Treaty System: is it time for a reform?</t>
  </si>
  <si>
    <t>Antarctic Treaty System; legitimacy; international institutions; Antarctic; global governance</t>
  </si>
  <si>
    <t>GOVERNANCE</t>
  </si>
  <si>
    <t>The Antarctic Treaty System (ATS) has governed the Antarctic for the last six decades ensuring it to be a place of peace and scientific cooperation. Like any institution, the ATS exists in order to solve collective action problems through coordination and the creation of norms. But how do we know if a particular institution is the right one to solve a specific problem or address issues regarding the governance of a region? And when is it time to replace or reform such an institution? To answer these questions, we need an account of institutional legitimacy. An assessment of the legitimacy of the ATS is necessary in order to determine whether it is worthy of being empowered through support, or if it is time to reform some aspects of it. Building on the account of legitimacy of global governance institutions proposed by Buchanan and Keohane, the paper assesses the legitimacy of the ATS and argues that it is time to reform some components of it. Specifically, the paper assesses the legitimacy of the ATS based on the following criteria: minimal moral acceptability; comparative benefit; institutional integrity; and accountability. The paper highlights the ATS' shortcomings based on these criteria and suggests reforms that will strengthen the legitimacy of the ATS</t>
  </si>
  <si>
    <t>[Yermakova, Yelena] Univ Oslo, Dept Philosophy, Oslo, Norway</t>
  </si>
  <si>
    <t>University of Oslo</t>
  </si>
  <si>
    <t>Yermakova, Y (corresponding author), Univ Oslo, Dept Philosophy, Oslo, Norway.</t>
  </si>
  <si>
    <t>yelena.yermakova@ifikk.uio.no</t>
  </si>
  <si>
    <t>This paper is based on a chapter of my PhD dissertation Governing Antarctica: Assessing the Legitimacy and Justice of the Antarctic Treaty System, which is part of the project Political Philosophy Looks to Antarctica. The project is financed by the Pol; Polar Programme of the Research Council of Norway</t>
  </si>
  <si>
    <t>This paper is based on a chapter of my PhD dissertation Governing Antarctica: Assessing the Legitimacy and Justice of the Antarctic Treaty System, which is part of the project Political Philosophy Looks to Antarctica. The project is financed by the Polar Programme of the Research Council of Norway. I am grateful to the editor Olav Schram Stokke for inviting me to contribute and for valuable feedback. I would like to thank two anonymous reviewers who provided extensive and helpful feedback. Many thanks to my PhD supervisor Alejandra Mancilla for valuable feedback and suggestions. For their comments I am grateful to the audiences of the Practical Philosophy Group Annual Workshop and PhD seminars at the University of Oslo. Many thanks to Akiho Shibata and Julia Jabour for insightful feedback and comments.</t>
  </si>
  <si>
    <t>10.1080/2154896X.2021.1977048</t>
  </si>
  <si>
    <t>WOS:001098576000006</t>
  </si>
  <si>
    <t>Molenaar, EJ</t>
  </si>
  <si>
    <t>Molenaar, Erik J.</t>
  </si>
  <si>
    <t>Participation in the Antarctic Treaty</t>
  </si>
  <si>
    <t>Antarctica; territorial sovereignty; decision-making; research</t>
  </si>
  <si>
    <t>Participation in the Antarctic Treaty and its main decision-making body - the Antarctic Treaty Consultative Meeting (ATCM) - has been highly sensitive from the outset, in particular due to the fundamental issue of Antarctic territorial sovereignty and the ATCM's decision-making by unanimity. Broader participation means enhanced applicability of the Antarctic Treaty and acts adopted by the ATCM, but does not necessarily improve effectiveness because each new participant obtains a de facto right to veto. There are multiple reasons why States want to participate in the Antarctic Treaty and other key instruments of the Antarctic Treaty System, including reasons related to the issue of Antarctic territorial sovereignty and the ability to engage in activities such as scientific research, tourism and exploitation of resources. The objective of this article is to analyse the grounds and requirements for participation in the Antarctic Treaty, their genesis during the negotiations on the Antarctic Treaty, and their subsequent operationalisation and application in practice.</t>
  </si>
  <si>
    <t>[Molenaar, Erik J.] Univ Utrecht, Netherlands Inst Law Sea NILOS, Utrecht, Netherlands</t>
  </si>
  <si>
    <t>Utrecht University</t>
  </si>
  <si>
    <t>Molenaar, EJ (corresponding author), Univ Utrecht, Netherlands Inst Law Sea NILOS, Utrecht, Netherlands.</t>
  </si>
  <si>
    <t>e.j.molenaar@uu.nl</t>
  </si>
  <si>
    <t>Molenaar, Erik/0000-0003-3070-5610</t>
  </si>
  <si>
    <t>10.1080/2154896X.2021.1972257</t>
  </si>
  <si>
    <t>WOS:001098576000007</t>
  </si>
  <si>
    <t>Apelgren, N; Brooks, CM</t>
  </si>
  <si>
    <t>Apelgren, Nora; Brooks, Cassandra M.</t>
  </si>
  <si>
    <t>Norwegian interests and participation towards the creation of marine protected areas in the Southern Ocean</t>
  </si>
  <si>
    <t>Marine protected areas; Antarctic; Southern Ocean; Norway; international ocean policy; CCAMLR</t>
  </si>
  <si>
    <t>SCIENCE</t>
  </si>
  <si>
    <t>Norway is an important player in Antarctic governance. As a claimant state with historic whaling interests, it has long held influence in decision-making. Today, Norway lands the largest catch of the Antarctic krill (Euphausia superba) while also leading innovations in sustainable management. The Commission for the Conservation of Antarctic Marine Living Resources (CCAMLR) - a 26-member body (including Norway) which manages marine living resources in the Southern Ocean - has been moving towards adopting a network of marine protected areas (MPAs). Norway has been very influential in this effort - at times supporting and at other times opposing. Here, our research seeks to understand how Norwegian interests in Antarctica - including historic, political and economic - impact the adoption of MPAs. To complete this research, we performed a content analysis of Norwegian government documents and CCAMLR meeting reports combined with interviews with key informants. Norway has shown a complex combination of support and concern, often related to economic interests, the role of science, and Norway's positions in other global realms (e.g., the Arctic). A variety of themes emerged that help describe Norwegian positions and actions in the Southern Ocean MPA process: Norway as a leader in the Antarctic, and in global ocean industries and sustainability; Norway as an active supporter of international cooperation; the importance of science which informs utilisation and protection; and CCAMLR's purpose as a marine living resource management organisation. This research helps provide insight into Norway's positions and into understanding consensus in the CCAMLR MPA process.</t>
  </si>
  <si>
    <t>[Apelgren, Nora; Brooks, Cassandra M.] Univ Colorado Boulder, Environm Studies Program, Boulder, CO USA; [Brooks, Cassandra M.] Univ Colorado Boulder, Environm Studies Program, Boulder, CO 80303 USA</t>
  </si>
  <si>
    <t>Brooks, CM (corresponding author), Univ Colorado Boulder, Environm Studies Program, Boulder, CO 80303 USA.</t>
  </si>
  <si>
    <t>cassandra.brooks@colorado.edu</t>
  </si>
  <si>
    <t>The authors thank Dale Miller and Michael Readey, as well as Alejandra Mancilla, for their valuable advising and support during this research. We also thank two anonymous reviewers and editor Olav Schram Stokke for their valuable edits and comments, which; University of Colorado Boulder Undergraduate Research Opportunities Program grant; Pew Charitable Trusts; National Science Foundation</t>
  </si>
  <si>
    <t>The authors thank Dale Miller and Michael Readey, as well as Alejandra Mancilla, for their valuable advising and support during this research. We also thank two anonymous reviewers and editor Olav Schram Stokke for their valuable edits and comments, which; University of Colorado Boulder Undergraduate Research Opportunities Program grant; Pew Charitable Trusts; National Science Foundation(National Science Foundation (NSF))</t>
  </si>
  <si>
    <t>The authors thank Dale Miller and Michael Readey, as well as Alejandra Mancilla, for their valuable advising and support during this research. We also thank two anonymous reviewers and editor Olav Schram Stokke for their valuable edits and comments, which greatly improved the manuscript. Travel support for the lead author to conduct research interviews was provided through a University of Colorado Boulder Undergraduate Research Opportunities Program grant. The second author receives support from the Pew Charitable Trusts and the National Science Foundation. This research had ethics approval through the University of Colorado Boulder Institutional Review Board, Protocol # 19-0656.</t>
  </si>
  <si>
    <t>10.1080/2154896X.2021.1994197</t>
  </si>
  <si>
    <t>WOS:001098576000009</t>
  </si>
  <si>
    <t>Weikart, MR</t>
  </si>
  <si>
    <t>Weikart, Martin R.</t>
  </si>
  <si>
    <t>US Coast Guard icebreaker operations and science support in Antarctica</t>
  </si>
  <si>
    <t>US Coast Guard; icebreaker; Operation Deep Freeze; Antarctica</t>
  </si>
  <si>
    <t>U.S. ships and sailors have contributed significantly to Antarctic exploration and research since the first land sightings of Antarctica in 1820. Since Operation High Jump in 1946-1947, the U.S. Coast Guard and U.S. Navy have operated polar icebreakers in support of United States national interests in Antarctica and the Southern Ocean. In the early years of continuous U.S. presence in Antarctica, they were critical to logistical support in the building of research stations at McMurdo, Wilkes Land, Cape Hallett, Gould Bay (Ellsworth), Marie Byrd Land (Byrd), and Palmer (Antarctic Peninsula). Their icebreaking capabilities have been key to the annual ice escort operations of supply ships in McMurdo Sound and other coastal stations. These icebreakers and their assigned aviation detachments have supported numerous U.S. and international research expeditions and projects in waters that had rarely been previously explored, expanding knowledge in all the natural sciences. U.S. Coast Guard icebreakers supported U.S. State Department Antarctic Treaty inspections for many years. Recently, the role of USCG icebreakers in Antarctic science research has diminished, both in number of projects assigned and areas deployed. A new class of U.S. Coast Guard polar icebreakers is in work, designated as polar security cutters, and it is hoped that these icebreakers will be able to continue supporting Antarctic science activities.</t>
  </si>
  <si>
    <t>[Weikart, Martin R.] 23912 31st Pl West, Brier, WA 98036 USA</t>
  </si>
  <si>
    <t>Weikart, MR (corresponding author), 23912 31st Pl West, Brier, WA 98036 USA.</t>
  </si>
  <si>
    <t>martyweikart@hotmail.com</t>
  </si>
  <si>
    <t>10.1080/2154896X.2021.1978233</t>
  </si>
  <si>
    <t>WOS:001098576000014</t>
  </si>
  <si>
    <t>Jackson, A; Sancton, J</t>
  </si>
  <si>
    <t>Jackson, Andrew; Sancton, Julian</t>
  </si>
  <si>
    <t>Madhouse at the end of the world: the Belgica's journey into the dark Antarctic night</t>
  </si>
  <si>
    <t>Book Review</t>
  </si>
  <si>
    <t>[Jackson, Andrew] Univ Tasmania, Hobart, Australia</t>
  </si>
  <si>
    <t>Jackson, A (corresponding author), Univ Tasmania, Hobart, Australia.</t>
  </si>
  <si>
    <t>a.jackson@utas.edu.au</t>
  </si>
  <si>
    <t>10.1080/2154896X.2021.1978995</t>
  </si>
  <si>
    <t>WOS:001098576000018</t>
  </si>
  <si>
    <t>Zhang, T; Wang, NF; Yu, LY</t>
  </si>
  <si>
    <t>Zhang, Tao; Wang, Nengfei; Yu, Liyan</t>
  </si>
  <si>
    <t>Host-specificity of moss-associated fungal communities in the Ny-Ålesund region (Svalbard, High Arctic) as revealed by amplicon pyrosequencing</t>
  </si>
  <si>
    <t>FUNGAL ECOLOGY</t>
  </si>
  <si>
    <t>Fungal diversity; Community composition; High-throughput sequencing; Geographical factor; Moss</t>
  </si>
  <si>
    <t>ENDOLICHENIC FUNGI; GEOGRAPHIC STRUCTURE; ENDOPHYTES; BOREAL; SHIFTS; TOOL</t>
  </si>
  <si>
    <t>Fungal communities play a significant role in regulating ecological processes in the Arctic tundra. However, the extent to which the Arctic moss species and host types (moss, lichen and vascular plant) determine the richness, diversity, and composition of fungal communities at a local scale has not been quantitatively explored. Using 454 pyrosequencing in the current study, we characterized the fungal communities associated with six moss species (Andreaea rupestris, Bryum pseudotriquetrum, Hymenoloma crispulum, Polytrichastrum alpinum, Racomitrium lanu-ginosum, and Sanionia uncinata) and compared them with fungal communities associated with lichens and vascular plants in the Ny-angstrom lesund region (High Arctic). Host-species preference had greater explanatory power than geographical factors (longitude, latitude, elevation) in shaping moss-associated fungal communities. Fungal communities associated with mosses differed significantly from those associated with vascular plants and lichens, suggesting specificity of the fungal communities among three host types. Pairwise comparison analysis also indicated that the relative abundance of many taxonomic groups (e.g., Chaetothyriales, Leotiales, Catenulifera, Alatospora, and Toxicocladosporium) significantly differed between mosses and the other two host types. These results suggest host factors significantly affect the distribution of the fungal species associated with these moss species in the local-scale Arctic tundra.</t>
  </si>
  <si>
    <t>[Zhang, Tao; Yu, Liyan] Chinese Acad Med Sci &amp; Peking Union Med Coll, Inst Med Biotechnol, China Pharmaceut Culture Collect, Beijing, Peoples R China; [Wang, Nengfei] Minist Nat Resources, Inst Oceanog 1, Key Lab Marine Bioact Subst, Qingdao, Peoples R China</t>
  </si>
  <si>
    <t>Chinese Academy of Medical Sciences - Peking Union Medical College; Peking Union Medical College; Ministry of Natural Resources of the People's Republic of China; First Institute of Oceanography, Ministry of Natural Resources</t>
  </si>
  <si>
    <t>Zhang, T; Yu, LY (corresponding author), Chinese Acad Med Sci &amp; Peking Union Med Coll, Inst Med Biotechnol, China Pharmaceut Culture Collect, Beijing, Peoples R China.</t>
  </si>
  <si>
    <t>zhangt@cpcc.ac.cn; yly@cpcc.ac.cn</t>
  </si>
  <si>
    <t>yu, liyan/GYD-2950-2022</t>
  </si>
  <si>
    <t>yu, liyan/0000-0002-8861-9806</t>
  </si>
  <si>
    <t>National Natural Science Foundation of China (NSFC) [31670025]; CAMS Innovation Fund for Medical Sciences [2016-I2M-2-002]; Projects of the Chinese Arctic and Antarctic Administration, State Oceanic Administration; National Infrastructure of Microbial Resources [NIMR-2018-3]</t>
  </si>
  <si>
    <t>National Natural Science Foundation of China (NSFC)(National Natural Science Foundation of China (NSFC)); CAMS Innovation Fund for Medical Sciences; Projects of the Chinese Arctic and Antarctic Administration, State Oceanic Administration; National Infrastructure of Microbial Resources</t>
  </si>
  <si>
    <t>This research was supported by National Natural Science Foundation of China (NSFC) (Grant nos. 31670025) ; CAMS Innovation Fund for Medical Sciences (Grant no. 2016I2M2002) ; Projects of the Chinese Arctic and Antarctic Administration, State Oceanic Administration; National Infrastructure of Microbial Resources (Grant no. NIMR20183) .</t>
  </si>
  <si>
    <t>1754-5048</t>
  </si>
  <si>
    <t>1878-0083</t>
  </si>
  <si>
    <t>FUNGAL ECOL</t>
  </si>
  <si>
    <t>Fungal Ecol.</t>
  </si>
  <si>
    <t>10.1016/j.funeco.2021.101092</t>
  </si>
  <si>
    <t>Ecology; Mycology</t>
  </si>
  <si>
    <t>Environmental Sciences &amp; Ecology; Mycology</t>
  </si>
  <si>
    <t>UB9BI</t>
  </si>
  <si>
    <t>WOS:000686132100002</t>
  </si>
  <si>
    <t>Collins, M; Peck, LS; Clark, MS</t>
  </si>
  <si>
    <t>Collins, Michael; Peck, Lloyd S.; Clark, Melody S.</t>
  </si>
  <si>
    <t>Large within, and between, species differences in marine cellular responses: Unpredictability in a changing environment</t>
  </si>
  <si>
    <t>Oxygen and capacity limitation of thermal tolerance (OCLTT); Heat shock proteins; Antioxidant; Marine invertebrate; Antarctic; Gene expression; Stress response; Biodiversity</t>
  </si>
  <si>
    <t>THERMAL TOLERANCE; GENE-EXPRESSION; STRESS; TEMPERATURE; EVOLUTIONARY; BIODIVERSITY; ADAPTATIONS; SCALLOP; LIFE</t>
  </si>
  <si>
    <t>Predicting the impacts of altered environments on future biodiversity requires a detailed understanding of organism responses to change. To date, studies evaluating mechanisms underlying marine organism stress responses have largely concentrated on oxygen limitation and the use of heat shock proteins as biomarkers. However, whether these biomarkers represent responses that are consistent across species and different environmental stressors remains open to question. Here we show that responses to four different thermal stresses (three rates of thermal ramping (1 degrees C h(-1), 1 degrees C day(-1) or 1 degrees C 3 day(-1)) and a three-month acclimation to warming of 2 degrees C) applied to three species of Antarctic marine invertebrate produced highly individual responses in gene expression profiles, both within and between species. Mapping the gene expression profiles from each treatment for each of the three species, identified considerable difference in numbers of differentially regulated transcripts ranging from 10 to 3011. When these data were correlated across the different temperature treatments, there was no evidence for a common response with only 0-2 transcripts shared between all four treatments within any one species. There were also no shared differentially expressed genes across species, even at the same thermal ramping rates. The classical cellular stress response (CSR) i.e. up-regulation of heat shock proteins, was only strongly present in two species at the fastest ramping rate of 1 degrees C h(-1), albeit with different sets of stress genes expressed in each species. These data demonstrate the wide variability in response to warming at the molecular level in marine species. Therefore, identification of biodiversity stress responses engendered by changing conditions will require evaluation at the species level using targeted key members of the ecosystem, strongly correlated to the local biotic and abiotic factors. (C) 2021 The Authors. Published by Elsevier B.V.</t>
  </si>
  <si>
    <t>[Collins, Michael; Peck, Lloyd S.; Clark, Melody S.] NERC, British Antarct Survey, High Cross,Madingley Rd, Cambridge CB3 OET, England; [Collins, Michael] Univ Plymouth, Sch Biol &amp; Marine Sci, Marine Biol &amp; Ecol Res Ctr, Drake Circus, Plymouth PL4 8AA, Devon, England</t>
  </si>
  <si>
    <t>UK Research &amp; Innovation (UKRI); Natural Environment Research Council (NERC); NERC British Antarctic Survey; University of Plymouth</t>
  </si>
  <si>
    <t>Clark, MS (corresponding author), NERC, British Antarct Survey, High Cross,Madingley Rd, Cambridge CB3 OET, England.</t>
  </si>
  <si>
    <t>mscl@bas.ac.uk</t>
  </si>
  <si>
    <t>Clark, Melody S/D-7371-2014</t>
  </si>
  <si>
    <t>Collins, Michael/0000-0003-2112-5294</t>
  </si>
  <si>
    <t>NERC</t>
  </si>
  <si>
    <t>This project was financed by NERC core funding to BAS. The authors would like to thank all members of the Rothera dive team for providing samples, Michelle King for performing some of the RNA extractions and Jamie Oliver for creating the graphical abstract.</t>
  </si>
  <si>
    <t>NOV 10</t>
  </si>
  <si>
    <t>10.1016/j.scitotenv.2021.148594</t>
  </si>
  <si>
    <t>UK0NT</t>
  </si>
  <si>
    <t>WOS:000691672900005</t>
  </si>
  <si>
    <t>Lee, MR; Cohen, BE; Boyce, AJ; Hallis, LJ; Daly, L</t>
  </si>
  <si>
    <t>Lee, Martin R.; Cohen, Benjamin E.; Boyce, Adrian J.; Hallis, Lydia J.; Daly, Luke</t>
  </si>
  <si>
    <t>The pre-atmospheric hydrogen inventory of CM carbonaceous chondrites</t>
  </si>
  <si>
    <t>Carbonaceous chondrite; Hydrogen; Phyllosilicate; Organic matter; Contamination</t>
  </si>
  <si>
    <t>AQUEOUS ALTERATION; ISOTOPIC COMPOSITION; WEATHERING PRODUCTS; WATER; METEORITES; ORIGIN; CI; MINERALOGY; EVOLUTION; ASTEROIDS</t>
  </si>
  <si>
    <t>Understanding the quantity and isotopic composition of water that has been delivered to Earth over its history is crucial for models our planet's evolution, and predicting habitability across the solar system. Here we have used stepwise pyrolysis to measure the hydrogen inventory of CM carbonaceous chondrites, which are likely to have been a major source of volatiles for the early Earth. Stepwise pyrolysis potentially enables the carriers of pre-terrestrial hydrogen to be identified, and distinguished from hydrogen that may have been added during the meteorite's time on Earth. Twelve CM meteorites were analysed, and from their bulk hydrogen composition, petrologic type and nature of parent body processing, they can be divided into three subsets. The CMs of subset A have been mildly aqueously altered. Their hydrogen is hosted by isotopically light phyllosilicate, isotopically heavy organic matter, and adsorbed terrestrial water that is comparable to or slightly heavier than phyllosilicate. The subset B meteorites have been heavily aqueously altered and their hydrogen is also in phyllosilicate, organic matter and adsorbed terrestrial water. Their pyrolysis profiles differ from subset A in that the phyllosilicates dehydroxylate at higher temperatures owing to differences in mineralogy and chemical composition. The hydrogen that was evolved from organic matter may also have been isotopically lighter owing to loss of deuterium during aqueous alteration. Subset C meteorites were heated on their parent body after aqueous alteration, leading to loss of hydrogen from phyllosilicates and organic matter such that half of the water that they evolve was added after falling to Earth. Taking the 12 CMs together, an average of 0.20 wt.% H (21 % of total H) is terrestrial, and recalculation of bulk compositions without this component can raise bulk delta D of individual meteorites by up to 73 parts per thousand. Carbonaceous chondrites in our collections differ in the abundance and isotopic composition of hydrogen relative to their parent asteroid(s). An accurate understanding of the nature of water that was delivered to early Earth can only come from the analysis of materials that have been isolated from the terrestrial atmosphere, such as those returned from Ryugu and Bennu. (C) 2021 The Author(s). Published by Elsevier Ltd.</t>
  </si>
  <si>
    <t>[Lee, Martin R.; Cohen, Benjamin E.; Hallis, Lydia J.; Daly, Luke] Univ Glasgow, Sch Geog &amp; Earth Sci, Glasgow G12 8QQ, Lanark, Scotland; [Cohen, Benjamin E.] Univ Edinburgh, Sch GeoSci, Edinburgh EH9 3FE, Midlothian, Scotland; [Cohen, Benjamin E.; Boyce, Adrian J.] Scottish Univ Environm Res Ctr, Rankine Ave,Scottish Enterprise Technol Pk, E Kilbride G75 0QF, Lanark, Scotland; [Daly, Luke] Curtin Univ, Space Sci &amp; Technol Ctr, Sch Earth &amp; Planetary Sci, GPO Box U1987, Perth, WA 6102, Australia; [Daly, Luke] Univ Sydney, Australian Ctr Microscopy &amp; Microanal, Sydney, NSW 2006, Australia; [Daly, Luke] Univ Oxford, Dept Mat, Oxford OX1 3PH, England</t>
  </si>
  <si>
    <t>University of Glasgow; University of Edinburgh; Scottish Universities Research &amp; Reactor Center; Curtin University; University of Sydney; University of Oxford</t>
  </si>
  <si>
    <t>Lee, MR (corresponding author), Univ Glasgow, Sch Geog &amp; Earth Sci, Glasgow G12 8QQ, Lanark, Scotland.</t>
  </si>
  <si>
    <t>Boyce, Adrian/AAH-3203-2020; Lee, Martin/D-9169-2011</t>
  </si>
  <si>
    <t>Boyce, Adrian/0000-0002-9680-0787; Daly, Luke/0000-0002-7150-4092; Lee, Martin/0000-0002-6004-3622</t>
  </si>
  <si>
    <t>NSF; NASA; UK Science and Technology Facilities Council [ST/T002328/1, ST/T506096/1]; STFC [ST/T506096/1, ST/T002328/1] Funding Source: UKRI</t>
  </si>
  <si>
    <t>NSF(National Science Foundation (NSF)); NASA(National Aeronautics &amp; Space Administration (NASA)); UK Science and Technology Facilities Council(UK Research &amp; Innovation (UKRI)Science &amp; Technology Facilities Council (STFC)); STFC(UK Research &amp; Innovation (UKRI)Science &amp; Technology Facilities Council (STFC))</t>
  </si>
  <si>
    <t>We thank Alison McDonald, Julie Dougans and Paige Bailey for analytical assistance at SUERC, and Peter Chung at Glasgow. We are grateful to the Natural History Museum London and ANSMET for providing the samples used.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Conel Alexander, Martin Suttle and an anonymous reviewer are thanked for their careful and constructive comments, which have greatly improved this manuscript. This work was funded by the UK Science and Technology Facilities Council through grants ST/T002328/1 and ST/T506096/1. Author contributions: M.R.L. and B.E.C designed the research project; B.E.C. undertook analyses; M.R.L., B.E.C., A.J.B., L.H. and L.D. contributed to data interpretation, and writing and editing of the paper; M.R.L. and L.D. acquired funding.</t>
  </si>
  <si>
    <t>10.1016/j.gca.2021.06.013</t>
  </si>
  <si>
    <t>TX2WC</t>
  </si>
  <si>
    <t>WOS:000682950000003</t>
  </si>
  <si>
    <t>Wilckens, H; Miramontes, E; Schwenk, T; Artana, C; Zhang, WY; Piola, AR; Baques, M; Provost, C; Hernández-Molina, FJ; Felgendreher, M; Spiess, V; Kasten, S</t>
  </si>
  <si>
    <t>Wilckens, Henriette; Miramontes, Elda; Schwenk, Tilmann; Artana, Camila; Zhang, Wenyan; Piola, Alberto R.; Baques, Michele; Provost, Christine; Hernandez-Molina, F. Javier; Felgendreher, Meret; Spiess, Volkhard; Kasten, Sabine</t>
  </si>
  <si>
    <t>The erosive power of the Malvinas Current: Influence of bottom currents on morpho-sedimentary features along the northern Argentine margin (SW Atlantic Ocean)</t>
  </si>
  <si>
    <t>Contour current; Deep-water environment; Sediment drift; Contourite Depositional Systems; Sediment transport; Argentine Margin</t>
  </si>
  <si>
    <t>CONTOURITE DEPOSITIONAL SYSTEM; ANTARCTIC INTERMEDIATE WATER; SEDIMENT DYNAMICS; MORPHOBATHYMETRIC ANALYSIS; OCEANOGRAPHIC PROCESSES; CONTINENTAL-SLOPE; SUBMARINE-CANYON; CORAL-REEFS; DEEP; CIRCULATION</t>
  </si>
  <si>
    <t>Sediment deposits formed mainly under the influence of bottom currents (contourites) are widely used as high-resolution archives for reconstructing past ocean conditions. However, the driving processes of Contourite Depositional Systems (CDS) are not entirely understood. The aim of this study is to establish a clearer link between contourite features and the oceanographic processes that form them. The morphosedimentary characteristics of a large CDS were analysed together with the current dynamics along the northern Argentine continental margin. This study combines multibeam bathymetry, seismo-acoustic data, sediment samples, vessel-mounted Acoustic Doppler Current Profiler (VM-ADCP) data and numerical modelling of ocean currents. The contouritic features include large contourite terraces (La Plata Terrace, Ewing Terrace) and an abraded surface connecting the terraces, as well as smaller erosional and depositional features like moats, erosion surfaces on the Ewing Terrace, sediment waves and contourite drifts. Measured and modelled near-bottom currents are vigorous (up to 63 cm/s at 150-200 m above the seafloor) where abraded surfaces and moats are present, and relatively weak (below 30 cm/s) on the La Plata Terrace and the Ewing Terrace. Generally, bottom currents follow the upper and middle slope morphology. Decreasing velocity of water masses flowing northward leads to less erosion and finer sediment deposits. ADCP data and the hydrodynamic model show the formation of eddies near the seafloor which probably lead to the small erosion surfaces on the Ewing Terrace, even though it is mainly a depositional environment. Overall, this study contributes to a better understanding of the formation of CDS and can help future reconstructions of past ocean conditions based on sedimentary structures.</t>
  </si>
  <si>
    <t>[Wilckens, Henriette; Miramontes, Elda; Schwenk, Tilmann; Spiess, Volkhard; Kasten, Sabine] Univ Bremen, Fac Geosci, Bremen, Germany; [Wilckens, Henriette; Miramontes, Elda; Kasten, Sabine] Univ Bremen, MARUM Ctr Marine Environm Sci, Bremen, Germany; [Artana, Camila] MERCATOR OCEAN, Parc Technol Canal, Ramonville St Agne, France; [Zhang, Wenyan] Helmholtz Zentrum Hereon, Inst Coastal Syst, Geesthacht, Germany; [Piola, Alberto R.; Baques, Michele] Serv Hidrog Naval, Dept Oceanog, Buenos Aires, DF, Argentina; [Piola, Alberto R.] UMI IFAECI CNRS CONICET UBA, Inst Franco Argentino Estudio Clima &amp; Sus Impacto, Buenos Aires, DF, Argentina; [Baques, Michele] Argentinian Navy Res Off, Acoust Propagat Dept, Buenos Aires, DF, Argentina; [Baques, Michele] Natl Council Sci &amp; Tech Res, Minist Def, UNIDEF, Buenos Aires, DF, Argentina; [Provost, Christine] Univ Paris 06, Lab LOCEAN IPSL, Sorbonne Univ UPMC, CNRS IRD MNHN, Paris, France; [Hernandez-Molina, F. Javier] Royal Holloway Univ London, Dept Earth Sci, Egham, Surrey, England; [Felgendreher, Meret] Univ Kiel, Inst Geosci, Kiel, Germany; [Kasten, Sabine] Helmholtz Ctr Polar &amp; Marine, Alfred Wegener Inst, Bremerhaven, Germany</t>
  </si>
  <si>
    <t>University of Bremen; University of Bremen; Helmholtz Association; Helmholtz-Zentrum Hereon; Servicio de Hidrografia Naval; Institut de Recherche pour le Developpement (IRD); Sorbonne Universite; Museum National d'Histoire Naturelle (MNHN); University of London; Royal Holloway University London; University of Kiel; Helmholtz Association; Alfred Wegener Institute, Helmholtz Centre for Polar &amp; Marine Research</t>
  </si>
  <si>
    <t>Wilckens, H (corresponding author), Univ Bremen, Fac Geosci, Bremen, Germany.</t>
  </si>
  <si>
    <t>cwilcken@uni-bremen.de</t>
  </si>
  <si>
    <t>Schwenk, Tilmann/AGD-5168-2022; Zhang, Wenyan/X-6756-2018; Spiess, Volkhard/E-4376-2010; Piola, Alberto/HZI-5475-2023; Piola, Alberto R/O-2280-2013</t>
  </si>
  <si>
    <t>Schwenk, Tilmann/0000-0002-9916-0340; Zhang, Wenyan/0000-0002-6239-8312; Spiess, Volkhard/0000-0001-5019-5844; Miramontes, Elda/0000-0001-5968-9277; Wilckens, Henriette/0000-0002-3365-9528</t>
  </si>
  <si>
    <t>DFG Research Centre/Cluster of Excellence 'The Ocean in the Earth System' (MARUM -Center for Marine Environmental Sciences at the University of Bremen); Helmholtz Association (Alfred Wegener Institute Helmholtz Centre for Polar and Marine Research, Bremerhaven); GLOMAR -Bremen International Graduate School for Marine Sciences</t>
  </si>
  <si>
    <t>We thank the captains, crews and onboard scientific teams for their support during R/V SONNE cruise SO260 in 2018, R/V Meteor cruise M78/3 in 2009 and R/V Meteor cruise M49/2 in 2001. We appreciate the help of K. Zonneveld and K.-H. Baumann for processing the CTD data during the SO260 cruise. We thank Brit Kockisch for her support during the collection and analysis of sediment samples. For funding of the cruise SO260 we acknowledge the DFG Research Centre/Cluster of Excellence `The Ocean in the Earth System' (MARUM -Center for Marine Environmental Sciences at the University of Bremen). For additional funding we thank the Helmholtz Association (Alfred Wegener Institute Helmholtz Centre for Polar and Marine Research, Bremerhaven). The sediment sample material was provided by the GeoB Core Repository at the MARUM -Center for Marine Environmental Sciences, University of Bremen, Germany. The project was funded by the University of Bremen and supported by the GLOMAR -Bremen International Graduate School for Marine Sciences. This work has been done in collaboration with The Drifters Research Group at Royal Holloway University of London (RHUL). We thank the two anonymous reviewers and the guest editor A. Wahlin for their comments that greatly improved our manuscript.</t>
  </si>
  <si>
    <t>10.1016/j.margeo.2021.106539</t>
  </si>
  <si>
    <t>WOS:000680656200001</t>
  </si>
  <si>
    <t>Fernández-Martínez, MA; García-Villadangos, M; Moreno-Paz, M; Gangloff, V; Carrizo, D; Blanco, Y; González, S; Sánchez-García, L; Prieto-Ballesteros, O; Altshuler, I; Whyte, LG; Parro, V; Fairén, AG</t>
  </si>
  <si>
    <t>Angel Fernandez-Martinez, Miguel; Garcia-Villadangos, Miriam; Moreno-Paz, Mercedes; Gangloff, Valentin; Carrizo, Daniel; Blanco, Yolanda; Gonzalez, Sergi; Sanchez-Garcia, Laura; Prieto-Ballesteros, Olga; Altshuler, Ianina; Whyte, Lyle G.; Parro, Victor; Fairen, Alberto G.</t>
  </si>
  <si>
    <t>Geomicrobiological Heterogeneity of Lithic Habitats in the Extreme Environment of Antarctic Nunataks: A Potential Early Mars Analog</t>
  </si>
  <si>
    <t>polar microbiology; nunatak; environmental microbiology; terrestrial analogs of Martian habitats; astrobiology</t>
  </si>
  <si>
    <t>MCMURDO DRY VALLEYS; SOUTH SHETLAND ISLANDS; KING-GEORGE ISLAND; LIVINGSTON ISLAND; MICROBIAL DIVERSITY; HURD PENINSULA; ENDOLITHIC MICROORGANISMS; ARCHAEAL DIVERSITY; CARBON; SOILS</t>
  </si>
  <si>
    <t>Nunataks are permanent ice-free rocky peaks that project above ice caps in polar regions, thus being exposed to extreme climatic conditions throughout the year. They undergo extremely low temperatures and scarcity of liquid water in winter, while receiving high incident and reflected (albedo) UVA-B radiation in summer. Here, we investigate the geomicrobiology of the permanently exposed lithic substrates of nunataks from Livingston Island (South Shetlands, Antarctic Peninsula), with focus on prokaryotic community structure and their main metabolic traits. Contrarily to first hypothesis, an extensive sampling based on different gradients and multianalytical approaches demonstrated significant differences for most geomicrobiological parameters between the bedrock, soil, and loose rock substrates, which overlapped any other regional variation. Brevibacillus genus dominated on bedrock and soil substrates, while loose rocks contained a diverse microbial community, including Actinobacteria, Alphaproteobacteria and abundant Cyanobacteria inhabiting the milder and diverse microhabitats within. Archaea, a domain never described before in similar Antarctic environments, were also consistently found in the three substrates, but being more abundant and potentially more active in soils. Stable isotopic ratios of total carbon (delta C-13) and nitrogen (delta N-15), soluble anions concentrations, and the detection of proteins involved in key metabolisms via the Life Detector Chip (LDChip), suggest that microbial primary production has a pivotal role in nutrient cycling at these exposed areas with limited deposition of nutrients. Detection of stress-resistance proteins, such as molecular chaperons, suggests microbial molecular adaptation mechanisms to cope with these harsh conditions. Since early Mars may have encompassed analogous environmental conditions as the ones found in these Antarctic nunataks, our study also contributes to the understanding of the metabolic features and biomarker profiles of a potential Martian microbiota, as well as the use of LDChip in future life detection missions.</t>
  </si>
  <si>
    <t>[Angel Fernandez-Martinez, Miguel; Garcia-Villadangos, Miriam; Moreno-Paz, Mercedes; Gangloff, Valentin; Carrizo, Daniel; Blanco, Yolanda; Sanchez-Garcia, Laura; Prieto-Ballesteros, Olga; Parro, Victor; Fairen, Alberto G.] CSIC INTA, Ctr Astrobiol, Madrid, Spain; [Angel Fernandez-Martinez, Miguel; Altshuler, Ianina; Whyte, Lyle G.] McGill Univ, Fac Agr &amp; Environm Sci, Dept Nat Resource Sci, Ste Anne De Bellevue, PQ, Canada; [Gonzalez, Sergi] Agencia Estatal Meteorol, Antarctic Grp, Barcelona, Spain; [Fairen, Alberto G.] Cornell Univ, Dept Astron, Ithaca, NY 14853 USA</t>
  </si>
  <si>
    <t>Consejo Superior de Investigaciones Cientificas (CSIC); CSIC - Centro de Astrobiologia (INTA); McGill University; Agencia Estatal de Meteorologia (AEMET); Cornell University</t>
  </si>
  <si>
    <t>Fernández-Martínez, MA (corresponding author), CSIC INTA, Ctr Astrobiol, Madrid, Spain.;Fernández-Martínez, MA (corresponding author), McGill Univ, Fac Agr &amp; Environm Sci, Dept Nat Resource Sci, Ste Anne De Bellevue, PQ, Canada.</t>
  </si>
  <si>
    <t>miguel.femandezmartinez@mcgill.ca</t>
  </si>
  <si>
    <t>Sanchez-Garcia, Laura/N-1172-2013; Gonzalez-Herrero, Sergi/Y-7279-2018; Parro, Victor/K-3788-2014; Prieto-Ballesteros, Olga/J-8510-2012; Paz, Mercedes Moreno/F-3517-2015; Fairen, Alberto/T-9374-2017</t>
  </si>
  <si>
    <t>Sanchez-Garcia, Laura/0000-0002-7444-1242; Gonzalez-Herrero, Sergi/0000-0002-2505-2435; Prieto-Ballesteros, Olga/0000-0002-2278-1210; Moreno-Paz, Mercedes/0000-0003-1245-3253; Fairen, Alberto/0000-0002-2938-6010; , Miriam/0000-0002-3928-3592; Parro, Victor/0000-0003-3738-0724; Altshuler, Ianina/0000-0003-2235-1664</t>
  </si>
  <si>
    <t>Spanish Ministry of Science and Innovation (MICINN)/European Regional Development Fund (FEDER) [RTI2018-094368-B-I00]; European Research Council [818602]; Spanish State Research Agency (AEI) [MDM-2017-0737]; Unidad de Excelencia Maria de Maeztu; Project 'MarsFirstWater', European Research Council [818602]</t>
  </si>
  <si>
    <t>Spanish Ministry of Science and Innovation (MICINN)/European Regional Development Fund (FEDER); European Research Council(European Research Council (ERC)); Spanish State Research Agency (AEI)(Spanish Government); Unidad de Excelencia Maria de Maeztu(Spanish Government); Project 'MarsFirstWater', European Research Council</t>
  </si>
  <si>
    <t>This project has been funded by the Spanish Ministry of Science and Innovation (MICINN)/European Regional Development Fund (FEDER) project no. RTI2018-094368-B-I00; the European Research Council Consolidator grant no. 818602; and the Spanish State Research Agency (AEI) project no. MDM-2017-0737, Unidad de Excelencia Maria de Maeztu to Centro de Astrobiologia. MF-M was a postdoctoral fellow from Consejeria de Educacion e Investigacion, Comunidad Autonoma de Madrid/European Social Fund program. MF-M and AF were also supported by the Project 'MarsFirstWater', European Research Council Consolidator grant no. 818602.</t>
  </si>
  <si>
    <t>JUL 2</t>
  </si>
  <si>
    <t>10.3389/fmicb.2021.670982</t>
  </si>
  <si>
    <t>TK3AN</t>
  </si>
  <si>
    <t>WOS:000674035700001</t>
  </si>
  <si>
    <t>Nielsen-Englyst, P; Hoyer, JL; Madsen, KS; Tonboe, RT; Dybkjær, G; Skarpalezos, S</t>
  </si>
  <si>
    <t>Nielsen-Englyst, Pia; Hoyer, Jacob L.; Madsen, Kristine S.; Tonboe, Rasmus T.; Dybkjaer, Gorm; Skarpalezos, Sotirios</t>
  </si>
  <si>
    <t>Deriving Arctic 2 m air temperatures over snow and ice from satellite surface temperature measurements</t>
  </si>
  <si>
    <t>GREENLAND CLIMATE-CHANGE; AVHRR CLOUD DETECTION; SEA-ICE; RADIATIVE-TRANSFER; REANALYSIS PRODUCTS; DYNAMIC THRESHOLDS; OCEAN; SUMMIT; WINTER; MODIS</t>
  </si>
  <si>
    <t>The Arctic region is responding heavily to climate change, and yet, the air temperature of ice-covered areas in the Arctic is heavily under-sampled when it comes to in situ measurements, resulting in large uncertainties in existing weather and reanalysis products. This paper presents a method for estimating daily mean clear-sky 2 m air temperatures (T2m) in the Arctic from satellite observations of skin temperature, using the Arctic and Antarctic ice Surface Temperatures from thermal Infrared (AASTI) satellite dataset, providing spatially detailed observations of the Arctic. The method is based on a linear regression model, which has been tuned against in situ observations to estimate daily mean T2m based on clear-sky satellite ice surface skin temperatures. The daily satellite-derived T2m product includes estimated uncertainties and covers the Arctic sea ice and the Greenland Ice Sheet during clear skies for the period 2000-2009, provided on a 0.25 degrees regular latitude-longitude grid. Comparisons with independent in situ measured T2m show average biases of 0.30 and 0.35 degrees C and average root-mean-square errors of 3.47 and 3.20 degrees C for land ice and sea ice, respectively. The associated uncertainties are verified to be very realistic for both land ice and sea ice, using in situ observations. The reconstruction provides a much better spatial coverage than the sparse in situ observations of T2m in the Arctic and is independent of numerical weather prediction model input. Therefore, it provides an important supplement to simulated air temperatures to be used for assimilation or global surface temperature reconstructions. A comparison of T2m derived from satellite and ERA-Interim/ERAS estimates shows that the satellite-derived T2m validates similar to or better than ERA-Interim/ERAS against in situ measurements in the Arctic.</t>
  </si>
  <si>
    <t>[Nielsen-Englyst, Pia] Tech Univ Denmark, 1DTU Space, DK-2800 Lyngby, Denmark; [Nielsen-Englyst, Pia; Hoyer, Jacob L.; Madsen, Kristine S.; Tonboe, Rasmus T.; Dybkjaer, Gorm; Skarpalezos, Sotirios] Danish Meteorol Inst DMI, Res &amp; Dev, DK-2100 Copenhagen O, Denmark</t>
  </si>
  <si>
    <t>Technical University of Denmark</t>
  </si>
  <si>
    <t>Nielsen-Englyst, P (corresponding author), Tech Univ Denmark, 1DTU Space, DK-2800 Lyngby, Denmark.;Nielsen-Englyst, P (corresponding author), Danish Meteorol Inst DMI, Res &amp; Dev, DK-2100 Copenhagen O, Denmark.</t>
  </si>
  <si>
    <t>pne@dmi.dk</t>
  </si>
  <si>
    <t>Madsen, Kristine Skovgaard/KCL-3477-2024</t>
  </si>
  <si>
    <t>Madsen, Kristine Skovgaard/0000-0001-6371-1078; Nielsen-Englyst, Pia/0000-0001-6915-3388; Hoyer, Jacob Lorentsen/0000-0002-4141-0490; Tonboe, Rasmus Tage/0000-0003-1463-4832</t>
  </si>
  <si>
    <t>Horizon 2020 (EUSTACE) [640171]; H2020 - Industrial Leadership [640171] Funding Source: H2020 - Industrial Leadership</t>
  </si>
  <si>
    <t>Horizon 2020 (EUSTACE); H2020 - Industrial Leadership(European Union (EU)H2020 - Industrial Leadership)</t>
  </si>
  <si>
    <t>This research has been supported by the Horizon 2020 (EUSTACE (grant no. 640171)).</t>
  </si>
  <si>
    <t>10.5194/tc-15-3035-2021</t>
  </si>
  <si>
    <t>TF3PQ</t>
  </si>
  <si>
    <t>WOS:000670629600001</t>
  </si>
  <si>
    <t>Porter-Smith, R; McKinlay, J; Fraser, AD; Massom, RA</t>
  </si>
  <si>
    <t>Porter-Smith, Richard; McKinlay, John; Fraser, Alexander D.; Massom, Robert A.</t>
  </si>
  <si>
    <t>Coastal complexity of the Antarctic continent</t>
  </si>
  <si>
    <t>EARTH SYSTEM SCIENCE DATA</t>
  </si>
  <si>
    <t>STATISTICAL SELF-SIMILARITY; SEA-ICE DISTRIBUTION; FRACTAL ANALYSIS; VARIABILITY; CLUSTERS; NUMBER; RESOLUTION; SCALE; LAND</t>
  </si>
  <si>
    <t>The Antarctic outer coastal margin (i.e. the coastline itself or the terminus or front of ice shelves, whichever is adjacent to the ocean) is a key interface between the ice sheet and terrestrial environments and the Southern Ocean. Its physical configuration (including both length scale of variation, orientation, and aspect) has direct bearing on several closely associated cryospheric, biological, oceanographical, and ecological processes, yet no study has quantified the coastal complexity or orientation of Antarctica's coastal margin. This first-of-a-kind characterization of Antarctic coastal complexity aims to address this knowledge gap. We quantify and investigate the physical configuration and complexity of Antarctica's circumpolar outer coastal margin using a novel technique based on similar to 40 000 random points selected along a vector coastline derived from the MODIS Mosaic of Antarctica dataset. At each point, a complexity metric is calculated at length scales from 1 to 256 km, giving a multiscale estimate of the magnitude and direction of undulation or complexity at each point location along the entire coastline. Using a cluster analysis to determine characteristic complexity signatures for random nodes, the coastline is found to comprise three basic groups or classes: (i) low complexity at all scales, (ii) most complexity at shorter scales, and (iii) most complexity at longer scales. These classes are somewhat heterogeneously distributed throughout the continent. We also consider bays and peninsulas separately and characterize their multiscale orientation. This unique dataset and its summary analysis have numerous applications for both geophysical and biological studies.</t>
  </si>
  <si>
    <t>[Porter-Smith, Richard; Fraser, Alexander D.; Massom, Robert A.] Univ Tasmania, Antarctic Climate &amp; Ecosyst Corp Res Ctr, Hobart, Tas, Australia; [McKinlay, John; Massom, Robert A.] Australian Antarctic Div, Kingston, Tas, Australia; [Fraser, Alexander D.] Univ Tasmania, Inst Marine &amp; Antarctic Studies, Hobart, Tas, Australia</t>
  </si>
  <si>
    <t>University of Tasmania; Australian Antarctic Division; University of Tasmania</t>
  </si>
  <si>
    <t>Porter-Smith, R; Fraser, AD (corresponding author), Univ Tasmania, Antarctic Climate &amp; Ecosyst Corp Res Ctr, Hobart, Tas, Australia.;Fraser, AD (corresponding author), Univ Tasmania, Inst Marine &amp; Antarctic Studies, Hobart, Tas, Australia.</t>
  </si>
  <si>
    <t>r.smith@utas.edu.au; alexander.fraser@utas.edu.au</t>
  </si>
  <si>
    <t>Fraser, Alexander/AFO-7186-2022</t>
  </si>
  <si>
    <t>Fraser, Alexander/0000-0003-1924-0015; Massom, Robert/0000-0003-1533-5084</t>
  </si>
  <si>
    <t>Australian Government (Antarctic Climate &amp; Ecosystems Cooperative Research Centre); Australian Research Council [SR140300001]; Australian Research Council [SR140300001] Funding Source: Australian Research Council</t>
  </si>
  <si>
    <t>Australian Government (Antarctic Climate &amp; Ecosystems Cooperative Research Centre); Australian Research Council(Australian Research Council); Australian Research Council(Australian Research Council)</t>
  </si>
  <si>
    <t>This research has been supported by the Australian Government (Antarctic Climate &amp; Ecosystems Cooperative Research Centre) and the Australian Research Council (grant no. SR140300001).</t>
  </si>
  <si>
    <t>1866-3508</t>
  </si>
  <si>
    <t>1866-3516</t>
  </si>
  <si>
    <t>EARTH SYST SCI DATA</t>
  </si>
  <si>
    <t>Earth Syst. Sci. Data</t>
  </si>
  <si>
    <t>10.5194/essd-13-3103-2021</t>
  </si>
  <si>
    <t>TF3NX</t>
  </si>
  <si>
    <t>WOS:000670623800001</t>
  </si>
  <si>
    <t>Blacker, S; Kimura, AH; Kinchy, A</t>
  </si>
  <si>
    <t>Blacker, Sarah; Kimura, Aya H.; Kinchy, Abby</t>
  </si>
  <si>
    <t>When citizen science is public relations</t>
  </si>
  <si>
    <t>SOCIAL STUDIES OF SCIENCE</t>
  </si>
  <si>
    <t>citizen science; science-market relations; corporate knowledge production; polluting industries; public relations; corporate social responsibility</t>
  </si>
  <si>
    <t>POLITICS; TRANSGENES; CAPITALISM; HEALTH; GMOS</t>
  </si>
  <si>
    <t>Amid rising interest in participatory research, some industries have recently begun to practice public relations citizen science (PRCS). Unlike citizen science and crowdsourcing projects that generate raw materials for product development, PRCS benefits capitalist firms primarily by improving their public image and deflecting accusations of causing harm. Three cases illustrate how PRCS works: (1) a growing assortment of citizen science projects associated with Antarctic tourism, (2) an initiative to document biodiversity, linked to Canada's oil and gas industry, and (3) a study sponsored by Biology Fortified, a nonprofit organization that works to communicate positive information about agricultural biotechnology. Scientists and research organizations may have legitimate reasons for entering into these partnerships, but PRCS can benefit industries in problematic ways. First, by supporting environmental science, PRCS can attach a 'sustainable' image to a polluting industry, without changing its core practices. Second, PRCS can accumulate data and steer volunteers' observations in ways that undermine claims about the harms caused by the industry's practices or products. Finally, in some cases, PRCS organizers hope to induce people to view an industry more 'rationally' than those who make 'emotional' or 'ideological' claims about its harms.</t>
  </si>
  <si>
    <t>[Blacker, Sarah] York Univ, Toronto, ON, Canada; [Kimura, Aya H.] Univ Hawaii Manoa, Honolulu, HI 96822 USA; [Kinchy, Abby] Rensselaer Polytech Inst, Troy, NY 12180 USA</t>
  </si>
  <si>
    <t>York University - Canada; University of Hawaii System; University of Hawaii Manoa; Rensselaer Polytechnic Institute</t>
  </si>
  <si>
    <t>Kinchy, A (corresponding author), Rensselaer Polytech Inst, Sci &amp; Technol Studies, 110 8th St, Troy, NY 12180 USA.</t>
  </si>
  <si>
    <t>kincha@rpi.edu</t>
  </si>
  <si>
    <t>Blacker, Sarah/0000-0002-6146-8972; Kinchy, Abby/0000-0001-5296-482X</t>
  </si>
  <si>
    <t>Social Sciences and Humanities Research Council of Canada</t>
  </si>
  <si>
    <t>Social Sciences and Humanities Research Council of Canada(Social Sciences and Humanities Research Council of Canada (SSHRC))</t>
  </si>
  <si>
    <t>The author(s) disclosed receipt of the following financial support for the research, authorship, and/or publication of this article: This research was supported by a Social Sciences and Humanities Research Council of Canada Postdoctoral Fellowship (Blacker).</t>
  </si>
  <si>
    <t>0306-3127</t>
  </si>
  <si>
    <t>1460-3659</t>
  </si>
  <si>
    <t>SOC STUD SCI</t>
  </si>
  <si>
    <t>Soc. Stud. Sci.</t>
  </si>
  <si>
    <t>10.1177/03063127211027662</t>
  </si>
  <si>
    <t>History &amp; Philosophy Of Science</t>
  </si>
  <si>
    <t>Science Citation Index Expanded (SCI-EXPANDED); Social Science Citation Index (SSCI); Arts &amp; Humanities Citation Index (A&amp;HCI)</t>
  </si>
  <si>
    <t>History &amp; Philosophy of Science</t>
  </si>
  <si>
    <t>UU4CN</t>
  </si>
  <si>
    <t>WOS:000671425700001</t>
  </si>
  <si>
    <t>Hoem, FS; Valero, L; Evangelinos, D; Escutia, C; Duncan, B; McKay, RM; Brinkhuis, H; Sangiorgi, F; Bijl, PK</t>
  </si>
  <si>
    <t>Hoem, Frida S.; Valero, Luis; Evangelinos, Dimitris; Escutia, Carlota; Duncan, Bella; McKay, Robert M.; Brinkhuis, Henk; Sangiorgi, Francesca; Bijl, Peter K.</t>
  </si>
  <si>
    <t>Temperate Oligocene surface ocean conditions offshore of Cape Adare, Ross Sea, Antarctica</t>
  </si>
  <si>
    <t>ICE-SHEET VARIABILITY; WALLED DINOFLAGELLATE CYSTS; VICTORIA LAND BASIN; WILKES LAND; SOUTHWEST PACIFIC; PLANKTONIC ARCHAEA; EAST ANTARCTICA; ORGANIC-MATTER; CLIMATE; EVOLUTION</t>
  </si>
  <si>
    <t>Antarctic continental ice masses fluctuated considerably during the Oligocene coolhouse, at elevated atmospheric CO2 concentrations of similar to 600-800 ppm. To assess the role of the ocean in the Oligocene ice sheet variability, reconstruction of past ocean conditions in the proximity of the Antarctic margin is needed. While relatively warm ocean conditions have been reconstructed for the Oligocene offshore of Wilkes Land, the geographical extent of that warmth is unknown. In this study, we reconstruct past surface ocean conditions from glaciomarine sediments recovered from Deep Sea Drilling Project (DSDP) Site 274 offshore of the Ross Sea continental margin. This site, located offshore of Cape Adare is ideally situated to characterise Oligocene regional surface ocean conditions, as it is situated between the colder, higher-latitude Ross Sea continental shelf and the warm-temperate Wilkes Land margin in the Oligocene. We first improve the age model of DSDP Site 274 using integrated bio- and magnetostratigraphy. Subsequently, we analyse organic walled dinoflagellate cyst assemblages and lipid biomarkers (TEX86, TetraEther indeX of 86 carbon atoms) to reconstruct surface palaeoceanographic conditions during the Oligocene (33.7-24.4 Ma). Both TEX86 based sea surface temperature (SST) and microplankton results show temperate (10-17 degrees C +/- 5.2 degrees C) surface ocean conditions at Site 274 throughout the Oligocene. Oceanographic conditions between the offshore Wilkes Land margin and Cape Adare became increasingly similar towards the late Oligocene (26.5-24.4 Ma); this is inferred to be the consequence of the widening of the Tasmanian Gateway, which resulted in more interconnected ocean basins and frontal systems. Maintaining marine terminations of terrestrial ice sheets in a proto-Ross Sea with offshore SSTs that are as warm as those suggested by our data requires a strong ice flux fed by intensive precipitation in the Antarctic hinterland during colder orbital states but with extensive surface melt of terrestrial ice during warmer orbital states.</t>
  </si>
  <si>
    <t>[Hoem, Frida S.; Brinkhuis, Henk; Sangiorgi, Francesca; Bijl, Peter K.] Univ Utrecht, Dept Earth Sci, Utrecht, Netherlands; [Valero, Luis] Univ Geneva, Dept Earth Sci, Geneva, Switzerland; [Evangelinos, Dimitris; Escutia, Carlota] Univ Granada, Dept Marine Geosci, Consejo Super Invest Cient CSIC, Inst Andaluz Ciencias Tierra, Armilla, Spain; [Duncan, Bella; McKay, Robert M.] Victoria Univ Wellington, Antarctic Res Ctr, Wellington, New Zealand; [Brinkhuis, Henk] Royal Netherlands Inst Sea Res NIOZ, Texel, Netherlands</t>
  </si>
  <si>
    <t>Utrecht University; University of Geneva; Consejo Superior de Investigaciones Cientificas (CSIC); CSIC - Instituto Andaluz de Ciencias de la Tierra (IACT); University of Granada; Victoria University Wellington; Utrecht University; Royal Netherlands Institute for Sea Research (NIOZ)</t>
  </si>
  <si>
    <t>Hoem, FS (corresponding author), Univ Utrecht, Dept Earth Sci, Utrecht, Netherlands.</t>
  </si>
  <si>
    <t>f.s.hoem@uu.nl</t>
  </si>
  <si>
    <t>VALERO, LUIS/ABA-2245-2021; Brinkhuis, Henk/IUO-8165-2023; Evangelinos, Dimitris/ABH-5910-2020; Evagelinos, Dimitris/ISU-3607-2023; Duncan, Bella/IAR-0060-2023; Escutia, Carlota/B-8614-2015</t>
  </si>
  <si>
    <t>VALERO, LUIS/0000-0003-1356-721X; Brinkhuis, Henk/0000-0003-0253-6610; Evangelinos, Dimitris/0000-0002-4978-3056; Sangiorgi, Francesca/0000-0003-4233-6154; Escutia, Carlota/0000-0002-4932-8619; Bijl, Peter/0000-0002-1710-4012; McKay, Robert/0000-0002-5602-6985; Hoem, Frida/0000-0002-8834-6799</t>
  </si>
  <si>
    <t>NWO Polar Programme [ALW.2016.001]; Spanish Ministry of Economy, Industry and Competitiveness [CTM2017-89711-C2-1-P/CTM2017-89711-C2-2-P]; European Union through FEDER funds; Alexander S. Onassis Public Benefit Foundation PhD research grant [F ZL 016-1/2015-2016]</t>
  </si>
  <si>
    <t>NWO Polar Programme; Spanish Ministry of Economy, Industry and Competitiveness(Spanish Government); European Union through FEDER funds(European Union (EU)); Alexander S. Onassis Public Benefit Foundation PhD research grant</t>
  </si>
  <si>
    <t>This research has been supported by the NWO Polar Programme (grant no. ALW.2016.001.); the Spanish Ministry of Economy, Industry and Competitiveness (grant no. CTM2017-89711-C2-1-P/CTM2017-89711-C2-2-P), co-funded by the European Union through FEDER funds; and the Alexander S. Onassis Public Benefit Foundation PhD research grant (grant no. F ZL 016-1/2015-2016).</t>
  </si>
  <si>
    <t>10.5194/cp-17-1423-2021</t>
  </si>
  <si>
    <t>TF3NV</t>
  </si>
  <si>
    <t>WOS:000670623500001</t>
  </si>
  <si>
    <t>Kohler, TJ; Howkins, A; Sokol, ER; Kopalová, K; Cox, A; Darling, JP; Gooseff, MN; McKnight, DM</t>
  </si>
  <si>
    <t>Kohler, Tyler J.; Howkins, Adrian; Sokol, Eric R.; Kopalova, Katerina; Cox, Aneliya; Darling, Joshua P.; Gooseff, Michael N.; McKnight, Diane M.</t>
  </si>
  <si>
    <t>From the Heroic Age to today: What diatoms from Shackleton's Nimrod expedition can tell us about the ecological trajectory of Antarctic ponds</t>
  </si>
  <si>
    <t>LIMNOLOGY AND OCEANOGRAPHY LETTERS</t>
  </si>
  <si>
    <t>ROSS-ISLAND; BACILLARIOPHYTA; LAKE</t>
  </si>
  <si>
    <t>Biological invasion and environmental change pose major threats to ecosystems. While long-term ecological change is commonly evaluated through sediment cores in lakes, it is generally not feasible for smaller ponds, and spatial resolution is limited. Here, we analyze pond diatom communities collected during Shackleton's Nimrod expedition at Cape Royds, Antarctica, to compare with the same waterbodies a century later. We find historical samples to be almost identical to modern counterparts, and provide no evidence of exotic introductions despite increasing human activity. However, a shift occurred in the pond nearest Shackleton's hut, Pony Lake, which was dominated by Luticola muticopsis a century ago, and was replaced by Craspedostauros laevissimus. Both are endemic species previously and currently present at Cape Royds, and we hypothesize that a shift in conductivity accompanying changing precipitation patterns may be responsible. Collectively, these results provide important data for assessing human and climate impacts among Antarctic lacustrine habitats.</t>
  </si>
  <si>
    <t>[Kohler, Tyler J.; Sokol, Eric R.; Cox, Aneliya; Darling, Joshua P.; Gooseff, Michael N.; McKnight, Diane M.] Univ Colorado, Inst Arctic &amp; Alpine Res, Boulder, CO 80309 USA; [Howkins, Adrian] Univ Bristol, Sch Humanities, Dept Hist Studies, Bristol, Avon, England; [Kopalova, Katerina] Charles Univ Prague, Fac Sci, Dept Ecol, Prague 2, Czech Republic; [Kohler, Tyler J.] Ecole Polytech Fed Lausanne, Stream Biofilm &amp; Ecosyst Res Lab, Sch Architecture Civil &amp; Environm Engn, Lausanne, Switzerland; [Sokol, Eric R.] Battelle Mem Inst, Natl Ecol Observ Network NEON, Boulder, CO USA; [Cox, Aneliya] Univ New Hampshire, Dept Nat Resources &amp; Environm, Water Qual Anal Lab, Durham, NH 03824 USA</t>
  </si>
  <si>
    <t>University of Colorado System; University of Colorado Boulder; University of Bristol; Charles University Prague; Swiss Federal Institutes of Technology Domain; Ecole Polytechnique Federale de Lausanne; University System Of New Hampshire; University of New Hampshire</t>
  </si>
  <si>
    <t>Kohler, TJ (corresponding author), Univ Colorado, Inst Arctic &amp; Alpine Res, Boulder, CO 80309 USA.;Kohler, TJ (corresponding author), Ecole Polytech Fed Lausanne, Stream Biofilm &amp; Ecosyst Res Lab, Sch Architecture Civil &amp; Environm Engn, Lausanne, Switzerland.</t>
  </si>
  <si>
    <t>tyler.kohler@epfl.ch</t>
  </si>
  <si>
    <t>Kohler, Tyler Joe/IUO-5352-2023; Gooseff, Michael N/N-6087-2015; Sokol, Eric R/D-3956-2011; Sokol, Eric R./HZL-4014-2023; Kopalova, Katerina/M-6207-2017</t>
  </si>
  <si>
    <t>Kohler, Tyler Joe/0000-0001-5137-4844; Gooseff, Michael N/0000-0003-4322-8315; Sokol, Eric R./0000-0001-5923-0917; Cox, Aneliya/0000-0003-2206-4809; MCKNIGHT, DIANE/0000-0002-4171-1533; Kopalova, Katerina/0000-0002-7905-4268</t>
  </si>
  <si>
    <t>MCMLTER [OPP-1637708]; Nadani Josefa, Maria a Zdeky Hlavkovych; Nadace esky literarni fond; SYNTHESYS program; Charles University Research Centre program [204069]</t>
  </si>
  <si>
    <t>MCMLTER; Nadani Josefa, Maria a Zdeky Hlavkovych; Nadace esky literarni fond; SYNTHESYS program; Charles University Research Centre program</t>
  </si>
  <si>
    <t>We thank David Williams, Edgley Cesar, and the Natural History Museum of London for providing access to the original slides. Furthermore, we thank Patrick Kociolek, David Ainley, Jean Pennycook, Amy Chiuchiolo, and McMurdo morale trippers for field and lab assistance, and PHI helicopters for logistical support. Funding was provided by the MCMLTER (OPP-1637708). Kateina Kopalova received financial support from Nadani Josefa, Maria a Zdeky Hlavkovych and Nadace esky literarni fond for her travel to the U.S.A., the SYNTHESYS program for her visit to the NHM, and Charles University Research Centre program no. 204069. Detailed comments from the editors and two anonymous reviewers greatly improved the manuscript. The authors declare that proper permission for all fieldwork was obtained before sampling was conducted.</t>
  </si>
  <si>
    <t>2378-2242</t>
  </si>
  <si>
    <t>LIMNOL OCEANOGR LETT</t>
  </si>
  <si>
    <t>Limnol. Oceanogr. Lett.</t>
  </si>
  <si>
    <t>10.1002/lol2.10200</t>
  </si>
  <si>
    <t>Limnology; Marine &amp; Freshwater Biology; Oceanography</t>
  </si>
  <si>
    <t>WS5RO</t>
  </si>
  <si>
    <t>WOS:000668942600001</t>
  </si>
  <si>
    <t>Bird, JP; Woodworth, BK; Fuller, RA; Shaw, JD</t>
  </si>
  <si>
    <t>Bird, Jeremy P.; Woodworth, Bradley K.; Fuller, Richard A.; Shaw, Justine D.</t>
  </si>
  <si>
    <t>Uncertainty in population estimates: A meta-analysis for petrels</t>
  </si>
  <si>
    <t>ECOLOGICAL SOLUTIONS AND EVIDENCE</t>
  </si>
  <si>
    <t>biodiversity conservation; burrow-nesting; population size; population trend; power analysis; Procellariidae; Seabird; wildlife monitoring</t>
  </si>
  <si>
    <t>BREEDING BIOLOGY; BURROWING SEABIRD; RAT ERADICATION; SHEARWATER; ISLAND; SIZE; INCREASE; MANAGEMENT; OCCUPANCY; SUCCESS</t>
  </si>
  <si>
    <t>Population estimates are commonly generated and used in conservation science. All estimates carry inherent uncertainty, but little attention has been given to when and how this uncertainty limits their use. This requires an understanding of the specific purposes for which population estimates are intended, an assessment of the level of uncertainty each purpose can tolerate, and information on current uncertainty. We conducted a review and meta-analysis for a widespread group of seabirds, the petrels, to better understand how and why population estimates are being used. Globally petrels are highly threatened, and aspects of their ecology make them difficult to survey, introducing high levels of uncertainty into population estimates. We found that by far the most common intended use of population estimates was to inform status and trend assessments, while less common uses were trialling methods to improve estimates and assessing threat impacts and conservation outcomes. The mean coefficient of variation for published estimates was 0.17 (SD = 0.14), with no evidence that uncertainty has been reduced through time. As a consequence of this high uncertainty, when we simulated declines equivalent to thresholds commonly used to trigger management, only 5% of studies could detect significant differences between population estimates collected 10 years apart for populations declining at a rate of 30% over three generations. Reporting of uncertainty was variable with no dispersion statistics reported with 38% of population estimates and most not reporting key underlying parameters: nest numbers/density and nest occupancy. We also found no correlation between uncertainty in petrel population estimates and either island size, body size or species threat status - potential predictors of uncertainty. Key recommendations for managers are to be mindful of uncertainty in past population estimates if aiming to collect contemporary estimates for comparison, to report uncertainty clearly for new estimates, and to give careful consideration to whether a proposed estimate is likely to achieve the requisite level of certainty for the investment in its generation to be warranted. We recommend a practitioner-based value of information assessment to confirm where there is value in reducing uncertainty.</t>
  </si>
  <si>
    <t>[Bird, Jeremy P.; Woodworth, Bradley K.; Fuller, Richard A.; Shaw, Justine D.] Univ Queensland, Sch Biol Sci, Brisbane, Qld, Australia; [Bird, Jeremy P.] Univ Tasmania, Inst Marine &amp; Antarctic Studies, Battery Point, Australia</t>
  </si>
  <si>
    <t>University of Queensland; University of Tasmania</t>
  </si>
  <si>
    <t>Bird, JP (corresponding author), Univ Queensland, Sch Biol Sci, Brisbane, Qld, Australia.</t>
  </si>
  <si>
    <t>jez.bird@uq.edu.au</t>
  </si>
  <si>
    <t>Bird, Jeremy/JFV-9213-2023; Fuller, Richard/B-7971-2008; Woodworth, Brad/R-7982-2017</t>
  </si>
  <si>
    <t>Bird, Jeremy/0000-0002-7466-1755; Fuller, Richard/0000-0001-9468-9678; Shaw, Justine/0000-0002-9603-2271; Woodworth, Brad/0000-0002-4528-8250</t>
  </si>
  <si>
    <t>National Environmental Science Programme Threatened Species Recovery Hub Research Support; BirdLife Australia Stuart Leslie Bird Research Award; Natural Sciences and Engineering Research Council of Canada; ARC [LP150101059]; Antarctic Science International Bursary; Australian Research Council [LP150101059] Funding Source: Australian Research Council</t>
  </si>
  <si>
    <t>National Environmental Science Programme Threatened Species Recovery Hub Research Support; BirdLife Australia Stuart Leslie Bird Research Award; Natural Sciences and Engineering Research Council of Canada(Natural Sciences and Engineering Research Council of Canada (NSERC)CGIAR); ARC(Australian Research Council); Antarctic Science International Bursary; Australian Research Council(Australian Research Council)</t>
  </si>
  <si>
    <t>We would like to thank Simon Wotherspoon, for advice on the analysis, and Holly Jones, the Associate Editor and two anonymous referees for extremely valuable comments and advice for improving the manuscript. JB was supported by a Research Training Program scholarship, an Antarctic Science International Bursary, National Environmental Science Programme Threatened Species Recovery Hub Research Support and a BirdLife Australia Stuart Leslie Bird Research Award. BW was supported by a Postdoctoral Fellowship from the Natural Sciences and Engineering Research Council of Canada and ARC Linkage Project LP150101059 (awarded to RF).</t>
  </si>
  <si>
    <t>2688-8319</t>
  </si>
  <si>
    <t>ECOL SOLUT EVID</t>
  </si>
  <si>
    <t>Ecol. Solut. Evid.</t>
  </si>
  <si>
    <t>e12077</t>
  </si>
  <si>
    <t>10.1002/2688-8319.12077</t>
  </si>
  <si>
    <t>1K6ZC</t>
  </si>
  <si>
    <t>WOS:000798745300015</t>
  </si>
  <si>
    <t>Pascoe, P; Shaw, J; Trebilco, R; Kong, S; Jones, H</t>
  </si>
  <si>
    <t>Pascoe, Penelope; Shaw, Justine; Trebilco, Rowan; Kong, Stephanie; Jones, Holly</t>
  </si>
  <si>
    <t>Island characteristics and sampling methodologies influence the use of stable isotopes as an ecosystem function assessment tool</t>
  </si>
  <si>
    <t>ecosystem function; eradication; nutrients; recovery; seabird island; size; stable isotope</t>
  </si>
  <si>
    <t>INTRODUCED PREDATORS; SEABIRD RESTORATION; MAMMAL ERADICATION; BARRIER-ISLAND; FERAL CATS; CONSERVATION; RATS; RECOVERY; IMPACTS; INPUTS</t>
  </si>
  <si>
    <t>Monitoring seabird-derived nutrients on islands following invasive mammal eradications may provide a useful, cost- and time-efficient indication of the recovery of ecosystem function; however, the technique has only been investigated on environmentally similar islands. How seabird-derived nutrients recover on islands with different characteristics, and how differences in sampling regimes affect results is poorly understood. To determine how different island characteristics (size, geographic location and invasion history) and aspects of the sampling regime (sample collection year, season and intra-island location) influence seabird-derived nutrients we collated nitrogen stable isotope (delta N-15) data from three ecosystem components (soil, plants and spiders), collected on 28 islands around New Zealand. We investigated which variables best predict delta N-15 using linear-mixed effects models. Accounting for these variables and using still-invaded and never-invaded islands as controls for recovery, we then investigated changes in delta N-15 on islands at different stages following invasive mammal eradication. Island size, invasion history and the presence of seabirds in the direct vicinity of a sampling location all influenced delta N-15. After accounting for these variables, delta N-15 increased with time since eradication in soils, plants and spiders, though there was still some variation that our chosen variables could not explain. This study demonstrates the importance of considering island characteristics and sampling methods when assessing seabird-derived nutrient recovery and highlights the need for additional targeted sample collection on islands to help separate out the effects of time since eradication and other confounding variables affecting delta N-15. Improved understanding of these factors will be prerequisite for furthering this technique as a useful addition to the post-eradication monitoring tool kit.</t>
  </si>
  <si>
    <t>[Pascoe, Penelope] Univ Tasmania, Inst Marine &amp; Antarctic Studies, 20 Castray Esplanade, Hobart, Tas 7004, Australia; [Shaw, Justine] Univ Queensland, Threatened Species Recovery Hub, St Lucia, Qld, Australia; [Trebilco, Rowan] CSIRO, Oceans &amp; Atmosphere, Hobart, Tas, Australia; [Kong, Stephanie; Jones, Holly] Northern Illinois Univ, Dept Biol Sci, De Kalb, IL 60115 USA; [Jones, Holly] Northern Illinois Univ, Inst Study Environm Sustainabil &amp; Energy, De Kalb, IL 60115 USA</t>
  </si>
  <si>
    <t>University of Tasmania; University of Queensland; Commonwealth Scientific &amp; Industrial Research Organisation (CSIRO); Northern Illinois University; Northern Illinois University</t>
  </si>
  <si>
    <t>Pascoe, P (corresponding author), Univ Tasmania, Inst Marine &amp; Antarctic Studies, 20 Castray Esplanade, Hobart, Tas 7004, Australia.</t>
  </si>
  <si>
    <t>penelope.pascoe@utas.edu.au</t>
  </si>
  <si>
    <t>Trebilco, Rowan/I-5311-2012</t>
  </si>
  <si>
    <t>Trebilco, Rowan/0000-0001-9712-8016; Jones, Holly/0000-0002-5512-9958</t>
  </si>
  <si>
    <t>National Geographic Society</t>
  </si>
  <si>
    <t>National Geographic Society(National Geographic Society)</t>
  </si>
  <si>
    <t>e12082</t>
  </si>
  <si>
    <t>10.1002/2688-8319.12082</t>
  </si>
  <si>
    <t>WOS:000798745300001</t>
  </si>
  <si>
    <t>O'Kane, TJ; Sandery, PA; Kitsios, V; Sakov, P; Chamberlain, MA; Squire, DT; Collier, MA; Chapman, CC; Fiedler, R; Harries, D; Moore, TS; Richardson, D; Risbey, JS; Schroeter, BJE; Schroeter, S; Sloyan, BM; Tozer, C; Watterson, IG; Black, A; Quinn, C; Matear, RJ</t>
  </si>
  <si>
    <t>O'Kane, Terence J.; Sandery, Paul A.; Kitsios, Vassili; Sakov, Pavel; Chamberlain, Matthew A.; Squire, Dougal T.; Collier, Mark A.; Chapman, Christopher C.; Fiedler, Russell; Harries, Dylan; Moore, Thomas S.; Richardson, Doug; Risbey, James S.; Schroeter, Benjamin J. E.; Schroeter, Serena; Sloyan, Bernadette M.; Tozer, Carly; Watterson, Ian G.; Black, Amanda; Quinn, Courtney; Matear, Richard J.</t>
  </si>
  <si>
    <t>CAFE60v1: A 60-Year Large Ensemble Climate Reanalysis. Part II: Evaluation</t>
  </si>
  <si>
    <t>Data assimilation; Ensembles; Model comparison; Reanalysis data</t>
  </si>
  <si>
    <t>MERIDIONAL OVERTURNING CIRCULATION; ANTARCTIC CIRCUMPOLAR CURRENT; NORTH-ATLANTIC OSCILLATION; SEA-SURFACE TEMPERATURE; GLOBAL OCEAN; EL-NINO; PACIFIC; VARIABILITY; TRANSPORT; ENSO</t>
  </si>
  <si>
    <t>The CSIRO Climate retrospective Analysis and Forecast Ensemble system, version 1 (CAFE60v1) provides a large (96 member) ensemble retrospective analysis of the global climate system from 1960 to present with sufficiently many realizations and at spatiotemporal resolutions suitable to enable probabilistic climate studies. Using a variant of the ensemble Kalman filter, 96 climate state estimates are generated over the most recent six decades. These state estimates are constrained by monthly mean ocean, atmosphere, and sea ice observations such that their trajectories track the observed state while enabling estimation of the uncertainties in the approximations to the retrospective mean climate over recent decades. For the atmosphere, we evaluate CAFE60v1 in comparison to empirical indices of the major climate teleconnections and blocking with various reanalysis products. Estimates of the large-scale ocean structure, transports, and biogeochemistry are compared to those derived from gridded observational products and climate model projections (CMIP). Sea ice (extent, concentration, and variability) and land surface (precipitation and surface air temperatures) are also compared to a variety of model and observational products. Our results show that CAFE60v1 is a useful, comprehensive, and unique data resource for studying internal climate variability and predictability, including the recent climate response to anthropogenic forcing on multiyear to decadal time scales.</t>
  </si>
  <si>
    <t>[O'Kane, Terence J.; Sandery, Paul A.; Chamberlain, Matthew A.; Squire, Dougal T.; Chapman, Christopher C.; Fiedler, Russell; Harries, Dylan; Moore, Thomas S.; Richardson, Doug; Risbey, James S.; Schroeter, Benjamin J. E.; Schroeter, Serena; Sloyan, Bernadette M.; Tozer, Carly; Black, Amanda; Quinn, Courtney; Matear, Richard J.] CSIRO Oceans &amp; Atmosphere, Hobart, Tas, Australia; [Kitsios, Vassili; Collier, Mark A.; Watterson, Ian G.] CSIRO Oceans &amp; Atmosphere, Aspendale, Vic, Australia; [Kitsios, Vassili] Monash Univ, Lab Turbulence Res Aerosp &amp; Combust, Dept Mech &amp; Aerosp Engn, Clayton, Vic, Australia; [Sakov, Pavel] Bur Meteorol, Docklands, Vic, Australia</t>
  </si>
  <si>
    <t>Commonwealth Scientific &amp; Industrial Research Organisation (CSIRO); Commonwealth Scientific &amp; Industrial Research Organisation (CSIRO); Monash University; Bureau of Meteorology - Australia</t>
  </si>
  <si>
    <t>O'Kane, TJ (corresponding author), CSIRO Oceans &amp; Atmosphere, Hobart, Tas, Australia.</t>
  </si>
  <si>
    <t>terence.okane@csiro.au</t>
  </si>
  <si>
    <t>Watterson, Ian G./A-1690-2012; O'Kane, Terence J/B-1655-2009; Chamberlain, Matthew/D-4805-2012; Richardson, Doug/HLW-8216-2023; matear, richard J/C-5133-2011; O'Kane, Terence/AAV-1123-2021; Schroeter, Benjamin J. E./CAF-9223-2022; Black, Amanda/M-4848-2013; Chapman, Christopher/AAV-2844-2021; Moore, Thomas/AAU-9480-2021; Sloyan, Bernadette/N-8989-2014; Collier, Mark/D-2663-2013; Risbey, James/M-8419-2013; Schroeter, Benjamin/L-6874-2016; Kitsios, Vassili/A-3141-2012</t>
  </si>
  <si>
    <t>O'Kane, Terence J/0000-0002-2137-5915; Richardson, Doug/0000-0001-5397-0201; O'Kane, Terence/0000-0002-2137-5915; Chapman, Christopher/0000-0002-0877-4778; Moore, Thomas/0000-0003-3930-1946; Sloyan, Bernadette/0000-0003-0250-0167; Squire, Dougal/0000-0003-3271-6874; Sandery, Paul/0000-0002-1551-5408; Collier, Mark/0000-0003-1391-9473; Chamberlain, Matthew/0000-0002-3287-3282; Schroeter, Serena/0000-0002-8963-3044; Risbey, James/0000-0003-3202-9142; Schroeter, Benjamin/0000-0002-0252-8090; Kitsios, Vassili/0000-0002-2543-0264</t>
  </si>
  <si>
    <t>10.1175/JCLI-D-20-0518.1</t>
  </si>
  <si>
    <t>0C9UW</t>
  </si>
  <si>
    <t>WOS:000775651000002</t>
  </si>
  <si>
    <t>Yang, CX; Leonelli, FE; Marullo, S; Artale, V; Beggs, H; Nardelli, BB; Chin, TM; De Toma, V; Good, S; Huang, BY; Merchant, CJ; Sakurai, T; Santoleri, R; Vazquez-Cuervo, J; Zhang, HM; Pisano, A</t>
  </si>
  <si>
    <t>Yang, Chunxue; Leonelli, Francesca Elisa; Marullo, Salvatore; Artale, Vincenzo; Beggs, Helen; Nardelli, Bruno Buongiorno; Chin, Toshio M.; De Toma, Vincenzo; Good, Simon; Huang, Boyin; Merchant, Christopher J.; Sakurai, Toshiyuki; Santoleri, Rosalia; Vazquez-Cuervo, Jorge; Zhang, Huai-Min; Pisano, Andrea</t>
  </si>
  <si>
    <t>Sea Surface Temperature Intercomparison in the Framework of the Copernicus Climate Change Service (C3S)</t>
  </si>
  <si>
    <t>Sea surface temperature; Climate records; Remote sensing; Satellite observations; Climate variability; Climate services</t>
  </si>
  <si>
    <t>HIGH-RESOLUTION; IN-SITU; DATA ASSIMILATION; SATELLITE; ICE; VARIABILITY; PERFORMANCE; ATLANTIC</t>
  </si>
  <si>
    <t>A joint effort between the Copernicus Climate Change Service (C3S) and the Group for High Resolution Sea Surface Temperature (GHRSST) has been dedicated to an intercomparison study of eight global gap-free sea surface temperature (SST) products to assess their accurate representation of the SST relevant to climate analysis. In general, all SST products show consistent spatial patterns and temporal variability during the overlapping time period (2003-18). The main differences between each product are located in the western boundary current and Antarctic Circumpolar Current regions. Linear trends display consistent SST spatial patterns among all products and exhibit a strong warming trend from 2012 to 2018 with the Pacific Ocean basin as the main contributor. The SST discrepancy between all SST products is very small compared to the significant warming trend. Spatial power spectral density shows that the interpolation into 1 degrees spatial resolution has negligible impacts on our results. The global mean SST time series reveals larger differences among all SST products during the early period of the satellite era (1982-2002) when there were fewer observations, indicating that the observation frequency is the main constraint of the SST climatology. The maturity matrix scores, which present the maturity of each product in terms of documentation, storage, and dissemination but not the scientific quality, demonstrate that ESA-CCI and OSTIA SST are well documented for users' convenience. Improvements could be made for MGDSST and BoM SST. Finally, we have recommended that these SST products can be used for fundamental climate applications and climate studies (e.g., El Nino).</t>
  </si>
  <si>
    <t>[Yang, Chunxue; Leonelli, Francesca Elisa; Marullo, Salvatore; Artale, Vincenzo; Santoleri, Rosalia; Pisano, Andrea] Natl Res Council Italy, Inst Marine Sci, Rome, Italy; [Leonelli, Francesca Elisa] Univ Roma La Sapienza, Dept Math Guido Castelnuovo, Rome, Italy; [Marullo, Salvatore; Artale, Vincenzo; De Toma, Vincenzo] Italian Natl Agcy New Technol Energy &amp; Sustainabl, Frascati, Italy; [Beggs, Helen] Bur Meteorol, Melbourne, Vic, Australia; [Nardelli, Bruno Buongiorno; Vazquez-Cuervo, Jorge] Natl Res Council Italy, Inst Marine Sci, Naples, Italy; [Chin, Toshio M.] CALTECH, Jet Prop Lab, Pasadena, CA USA; [De Toma, Vincenzo; Zhang, Huai-Min] Tor Vergata Univ Rome, Dept Phys, Rome, Italy; [De Toma, Vincenzo; Zhang, Huai-Min] Tor Vergata Univ Rome, Ist Nazl Fis Nucl, Rome, Italy; [Good, Simon] Met Off, Exeter, Devon, England; [Huang, Boyin] NOAA Natl Ctr Environm Informat, Asheville, NC USA; [Merchant, Christopher J.] Univ Reading, Reading, Berks, England; [Merchant, Christopher J.] Natl Ctr Earth Observat, Reading, Berks, England; [Sakurai, Toshiyuki] Japan Meteorol Agcy, Tokyo, Japan</t>
  </si>
  <si>
    <t>Consiglio Nazionale delle Ricerche (CNR); Istituto di Scienze Marine (ISMAR-CNR); Sapienza University Rome; Italian National Agency New Technical Energy &amp; Sustainable Economics Development; Bureau of Meteorology - Australia; Consiglio Nazionale delle Ricerche (CNR); Istituto di Scienze Marine (ISMAR-CNR); National Aeronautics &amp; Space Administration (NASA); NASA Jet Propulsion Laboratory (JPL); California Institute of Technology; University of Rome Tor Vergata; Istituto Nazionale di Fisica Nucleare (INFN); University of Rome Tor Vergata; Met Office - UK; University of Reading; UK Research &amp; Innovation (UKRI); Natural Environment Research Council (NERC); NERC National Centre for Earth Observation; Japan Meteorological Agency</t>
  </si>
  <si>
    <t>Yang, CX (corresponding author), Natl Res Council Italy, Inst Marine Sci, Rome, Italy.</t>
  </si>
  <si>
    <t>chunxue.yang@cnr.it</t>
  </si>
  <si>
    <t>Leonelli, Francesca Elisa/HGB-0896-2022; Buongiorno Nardelli, Bruno/I-4810-2012; Merchant, Christopher/KHY-0611-2024; Yang, Chunxue/ADC-1011-2022; Merchant, Christopher J/E-1180-2014; Pisano, Andrea/AAY-3314-2020; Santoleri, Rosalia/JNT-1470-2023; de Toma, Vincenzo/JRX-8036-2023; artale, vincenzo/J-5406-2013</t>
  </si>
  <si>
    <t>Buongiorno Nardelli, Bruno/0000-0002-3416-7189; Yang, Chunxue/0000-0002-7244-7114; Merchant, Christopher J/0000-0003-4687-9850; Pisano, Andrea/0000-0002-9465-8457; de Toma, Vincenzo/0000-0002-1716-0997; artale, vincenzo/0000-0003-1116-8856; Leonelli, Francesca Elisa/0000-0003-3577-0219</t>
  </si>
  <si>
    <t>NERC [nceo020006, NE/R016518/1] Funding Source: UKRI</t>
  </si>
  <si>
    <t>10.1175/JCLI-D-20-0793.1</t>
  </si>
  <si>
    <t>Green Accepted, Green Submitted, Bronze</t>
  </si>
  <si>
    <t>WOS:000775651000007</t>
  </si>
  <si>
    <t>Li, Q; England, MH; Hogg, AM</t>
  </si>
  <si>
    <t>Li, Qian; England, Matthew H.; Hogg, Andrew McC</t>
  </si>
  <si>
    <t>Transient Response of the Southern Ocean to Idealized Wind and Thermal Forcing across Different Model Resolutions</t>
  </si>
  <si>
    <t>Southern Ocean; Ocean dynamics; Ocean models; Climate change; Annular mode</t>
  </si>
  <si>
    <t>ANTARCTIC BOTTOM WATER; SEA-ICE; INTERANNUAL VARIABILITY; ANTHROPOGENIC CARBON; ANNULAR MODES; FRESH-WATER; HEAT UPTAKE; CLIMATE; CIRCULATION; VENTILATION</t>
  </si>
  <si>
    <t>The Southern Ocean has undergone significant climate-related changes over recent decades, including intensified westerly winds and increased radiative heating. The interplay between wind-driven cooling and radiative warming of the ocean is complex and remains unresolved. In this study, idealized wind and thermal perturbations are analyzed in a global ocean-sea ice model at two horizontal resolutions: nominally, 1 degrees and 0.1 degrees. The sea surface temperature (SST) response shows a clear transition from a wind-driven cooling phase to a warming phase. This warming transition is largely attributed to meridional and vertical Ekman heat advection, which are both sensitive to model resolution due to the model-dependent components of temperature gradients. At higher model resolution, due to a more accurate representation of near-surface vertical temperature inversion and upward Ekman heat advection around Antarctica, the anomalous SST warming is stronger and develops earlier. The mixed layer depth at midlatitudes initially increases due to a wind-driven increase in Ekman transport of cold dense surface water northward, but then decreases when the thermal forcing drives enhanced surface stratification; both responses are more sensitive at lower model resolution. With the wind intensification, the residual overturning circulation increases less in the 0.1 degrees case because of the adequately resolved eddy compensation. Ocean heat subduction penetrates along more tilted isopycnals in the 1 degrees case, but it orients to follow isopycnal layers in the 0.1 degrees case. These findings have implications for understanding the ocean response to the combined effects of Southern Hemisphere westerly wind changes and anthropogenic warming.</t>
  </si>
  <si>
    <t>[Li, Qian; England, Matthew H.] Univ New South Wales, Climate Change Res Ctr, Sydney, NSW, Australia; [Li, Qian] Univ New South Wales, ARC Ctr Excellence Climate Syst Sci, Sydney, NSW, Australia; [England, Matthew H.] Univ New South Wales, ARC Ctr Excellence Climate Extremes, Sydney, NSW, Australia; [Hogg, Andrew McC] Australian Natl Univ, Res Sch Earth Sci, Canberra, ACT, Australia; [Hogg, Andrew McC] Australian Natl Univ, ARC Ctr Excellence Climate Extremes, Canberra, ACT, Australia</t>
  </si>
  <si>
    <t>University of New South Wales Sydney; ARC Centre of Excellence for Climate System Science; University of New South Wales Sydney; University of New South Wales Sydney; Australian National University; Australian National University</t>
  </si>
  <si>
    <t>Li, Q (corresponding author), Univ New South Wales, Climate Change Res Ctr, Sydney, NSW, Australia.;Li, Q (corresponding author), Univ New South Wales, ARC Ctr Excellence Climate Syst Sci, Sydney, NSW, Australia.</t>
  </si>
  <si>
    <t>qian.li5@unsw.edu.au</t>
  </si>
  <si>
    <t>England, Matthew/A-7539-2011; Hogg, Andy/AAZ-8733-2021; Hogg, Andy McC./A-7553-2011</t>
  </si>
  <si>
    <t>England, Matthew/0000-0001-9696-2930; Hogg, Andy/0000-0001-5898-7635; Hogg, Andy McC./0000-0001-5898-7635; LI, QIAN/0000-0002-2099-233X</t>
  </si>
  <si>
    <t>10.1175/JCLI-D-20-0981.1</t>
  </si>
  <si>
    <t>WOS:000775651000019</t>
  </si>
  <si>
    <t>Cifuentes-Anticevic, J; Alcamán-Arias, ME; Alarcón-Schumacher, T; Tamayo-Leiva, J; Pedrós-Alió, C; Farías, L; Díez, B</t>
  </si>
  <si>
    <t>Cifuentes-Anticevic, Jeronimo; Alcaman-Arias, Maria E.; Alarcon-Schumacher, Tomas; Tamayo-Leiva, Javier; Pedros-Alio, Carlos; Farias, Laura; Diez, Beatriz</t>
  </si>
  <si>
    <t>Proteorhodopsin Phototrophy in Antarctic Coastal Waters</t>
  </si>
  <si>
    <t>MSPHERE</t>
  </si>
  <si>
    <t>Antarctica; photoheterotrophy; proteorhodopsin; marine microbiology; metagenomics; metatranscriptomes; sunlight</t>
  </si>
  <si>
    <t>BACTERIOPLANKTON COMMUNITIES; SUMMER BACTERIOPLANKTON; UPPER-OCEAN; CD-HIT; MARINE; EXPRESSION; ALIGNMENT; BACTERIA; PROTEIN; WINTER</t>
  </si>
  <si>
    <t>Microbial proton-pumping rhodopsins are considered the simplest strategy among phototrophs to conserve energy from light. Proteorhodopsins are the most studied rhodopsins thus far because of their ubiquitous presence in the ocean, except in Antarctica, where they remain understudied. We analyzed proteorhodopsin abundance and transcriptional activity in the Western Antarctic coastal seawaters. Combining quantitative PCR (qPCR) and metagenomics, the relative abundance of proteorhodopsin-bearing bacteria accounted on average for 17, 3.5, and 29.7% of the bacterial community in Chile Bay (South Shetland Islands) during 2014, 2016, and 2017 summer-autumn, respectively. The abundance of proteorhodopsin-bearing bacteria changed in relation to environmental conditions such as chlorophyll a and temperature. Alphaproteobacteria, Gammaproteobacteria, and Flavobacteriia were the main bacteria that transcribed the proteorhodopsin gene during day and night. Although green light-absorbing proteorhodopsin genes were more abundant than blue-absorbing ones, the latter were transcribed more intensely, resulting in .50% of the proteorhodopsin transcripts during the day and night. Flavobacteriia were the most abundant proteorhodopsin-bearing bacteria in the metagenomes; however, Alphaproteobacteria and Gammaproteobacteria were more represented in the metatranscriptomes, with qPCR quantification suggesting the dominance of the active SAR11 clade. Our results show that proteorhodopsin-bearing bacteria are prevalent in Antarctic coastal waters in late austral summer and early autumn, and their ecological relevance needs to be elucidated to better understand how sunlight energy is used in this marine ecosystem. IMPORTANCE Proteorhodopsin-bearing microorganisms in the Southern Ocean have been overlooked since their discovery in 2000. The present study identify taxonomy and quantify the relative abundance of proteorhodopsin-bearing bacteria and proteorhodopsin gene transcription in the West Antarctic Peninsula's coastal waters. This information is crucial to understand better how sunlight enters this marine environment through alternative ways unrelated to chlorophyll-based strategies. The relative abundance of proteorhodopsin-bearing bacteria seems to be related to environmental parameters (e.g., chlorophyll a, temperature) that change yearly at the coastal water of the West Antarctic Peninsula during the austral late summers and early autumns. Proteorhodopsin-bearing bacteria from Antarctic coastal waters are potentially able to exploit both the green and blue spectrum of sunlight and are a prevalent group during the summer in this polar environment.</t>
  </si>
  <si>
    <t>[Cifuentes-Anticevic, Jeronimo; Tamayo-Leiva, Javier; Diez, Beatriz] Pontificia Univ Catolica Chile, Dept Mol Genet &amp; Microbiol, Santiago, Chile; [Alcaman-Arias, Maria E.; Farias, Laura] Univ Concepcion, Dept Oceanog, Concepcion, Chile; [Alcaman-Arias, Maria E.; Farias, Laura; Diez, Beatriz] Ctr Climate &amp; Resilience Res CR 2, Santiago, Chile; [Alcaman-Arias, Maria E.] Univ Espiritu Santo, Escuela Med, Samborondon, Ecuador; [Alarcon-Schumacher, Tomas] Max Planck Inst Marine Microbiol, Bremen, Germany; [Pedros-Alio, Carlos] Ctr Nacl Biotecnol CSIC, Dept Biol Sistemas, Madrid, Spain; [Diez, Beatriz] Ctr Genome Regulat CRG, Santiago, Chile</t>
  </si>
  <si>
    <t>Pontificia Universidad Catolica de Chile; Universidad de Concepcion; Universidad de Especialidades Espiritu Santo; Max Planck Society; Consejo Superior de Investigaciones Cientificas (CSIC); CSIC - Centro Nacional de Biotecnologia (CNB)</t>
  </si>
  <si>
    <t>Díez, B (corresponding author), Pontificia Univ Catolica Chile, Dept Mol Genet &amp; Microbiol, Santiago, Chile.;Díez, B (corresponding author), Ctr Climate &amp; Resilience Res CR 2, Santiago, Chile.;Díez, B (corresponding author), Ctr Genome Regulat CRG, Santiago, Chile.</t>
  </si>
  <si>
    <t>Díez, Beatriz/AAG-2244-2021; Cifuentes-Anticevic, Jerónimo/AAT-5458-2021; Pedros-Alio, Carlos/H-1222-2011</t>
  </si>
  <si>
    <t>Díez, Beatriz/0000-0002-9371-8083; Cifuentes-Anticevic, Jerónimo/0000-0002-8099-4994; Alcaman-Arias, Maria Estrella/0000-0003-2464-9480; Alarcon-Schumacher, Tomas/0000-0001-9159-7188; Tamayo Leiva, Javier Ignacio/0000-0003-2610-6957; Pedros-Alio, Carlos/0000-0003-1009-4277</t>
  </si>
  <si>
    <t>INACH [RT_15-10, RT_04-19]; ANID/FONDAP [15110009, 15200002]; ANID [22172327, 21171048, DPI20140044]; Spanish Ministry of Economy and Competitiveness [CTM2016-80095-C2-1-R]</t>
  </si>
  <si>
    <t>INACH; ANID/FONDAP; ANID; Spanish Ministry of Economy and Competitiveness(Spanish Government)</t>
  </si>
  <si>
    <t>This work was financially supported by INACH RT_15-10 and RT_04-19, ANID for international cooperation DPI20140044, ANID/FONDAP 15110009 and 15200002, ANID MSc. scholarship 22172327, ANID National Doctoral Scholarship 21171048, and grant CTM2016-80095-C2-1-R from the Spanish Ministry of Economy and Competitiveness. Carlos Pedros-Alio is a member of the PTI POLARCSIC.</t>
  </si>
  <si>
    <t>AMER SOC MICROBIOLOGY</t>
  </si>
  <si>
    <t>1752 N ST NW, WASHINGTON, DC 20036-2904 USA</t>
  </si>
  <si>
    <t>2379-5042</t>
  </si>
  <si>
    <t>mSphere</t>
  </si>
  <si>
    <t>e00525-21</t>
  </si>
  <si>
    <t>10.1128/mSphere.00525-21</t>
  </si>
  <si>
    <t>YX1WP</t>
  </si>
  <si>
    <t>WOS:000753900100005</t>
  </si>
  <si>
    <t>Mente, E; Carter, CG; Barnes, RS; Vlahos, N; Nengas, I</t>
  </si>
  <si>
    <t>Mente, Eleni; Carter, Chris G.; Barnes, Robin S. (Katersky); Vlahos, Nikolaos; Nengas, Ioannis</t>
  </si>
  <si>
    <t>Post-Prandial Amino Acid Changes in Gilthead Sea Bream</t>
  </si>
  <si>
    <t>ANIMALS</t>
  </si>
  <si>
    <t>amino acids; aquafeeds; fish; single meal; aquaculture; digestion</t>
  </si>
  <si>
    <t>SEABREAM SPARUS-AURATA; FISH-MEAL REPLACEMENT; SOMATOTROPIC AXIS RESPONSIVENESS; TROUT ONCORHYNCHUS-MYKISS; SALMON SALMO-SALAR; RAINBOW-TROUT; PROTEIN-SYNTHESIS; DIETARY-PROTEIN; ATLANTIC SALMON; GROWTH-PERFORMANCE</t>
  </si>
  <si>
    <t>Simple Summary Using combinations of plant protein concentrates and EAA supplementation, high levels of replacement (50-75% of fishmeal protein) have been achieved in gilthead sea bream without affecting the growth performance or quality traits. It was confirmed in this study that 16% replacement of marine protein with plant protein meets the amino acid needs of sea bream. The results of the present study suggest the need to further investigate tissue-specific and species-specific responses in the timing and ability to regulate metabolism due to dietary nutrient utilization. Following a meal, a series of physiological changes occurs in fish as they digest, absorb and assimilate ingested nutrients. This study aims to assess post-prandial free amino acid (FAA) activity in gilthead sea bream consuming a partial marine protein (fishmeal) replacement. Sea bream were fed diets where 16 and 27% of the fishmeal protein was replaced by plant protein. The essential amino acid (EAA) composition of the white muscle, liver and gut of sea bream was strongly correlated with the EAA composition of the 16% protein replacement diet compared to the 27% protein replacement diet. The mean FAA concentration in the white muscle and liver changed at 4 to 8 h after a meal and was not different to pre-feeding (0 h) and at 24 h after feeding. It was confirmed in this study that 16% replacement of marine protein with plant protein meets the amino acid needs of sea bream. Overall, the present study contributes towards understanding post-prandial amino acid profiles during uptake, tissue assimilation and immediate metabolic processing of amino acids in sea bream consuming a partial marine protein replacement. This study suggests the need to further investigate the magnitude of the post-prandial tissue-specific amino acid activity in relation to species-specific abilities to regulate metabolism due to dietary nutrient utilization.</t>
  </si>
  <si>
    <t>[Mente, Eleni] Univ Thessaly, Sch Agr Sci, Dept Ichthyol &amp; Aquat Environm, Fytoko Volos 38446, Greece; [Mente, Eleni] Univ Aberdeen, Sch Biol Sci, Tillydrone Ave, Aberdeen AB24 2TZ, Scotland; [Carter, Chris G.] Univ Tasmania, Inst Marine &amp; Antarctic Studies, Private Bag 49, Hobart, Tas 7001, Australia; [Barnes, Robin S. (Katersky)] Univ Tasmania, Univ Coll, Locked Bag 1354, Launceston, Tas 7250, Australia; [Vlahos, Nikolaos] Univ Patras, Sch Agr Sci, Dept Anim Prod Fisheries &amp; Aquaculture, Mesolonghi 30200, Greece; [Nengas, Ioannis] Hellen Ctr Marine Res, Mavro Lithari 19013, Anavyssos, Greece</t>
  </si>
  <si>
    <t>University of Aberdeen; University of Tasmania; University of Tasmania; University of Patras; Hellenic Centre for Marine Research</t>
  </si>
  <si>
    <t>Mente, E (corresponding author), Univ Thessaly, Sch Agr Sci, Dept Ichthyol &amp; Aquat Environm, Fytoko Volos 38446, Greece.;Mente, E (corresponding author), Univ Aberdeen, Sch Biol Sci, Tillydrone Ave, Aberdeen AB24 2TZ, Scotland.</t>
  </si>
  <si>
    <t>emente@uth.gr; chris.carter@utas.edu.au; robin.barnes@utas.edu.au; vlachosn@upatras.gr; jnegas@hcmr.gr</t>
  </si>
  <si>
    <t>Carter, Chris Guy/A-3438-2008; Mente, Eleni-Elena/HOC-1476-2023</t>
  </si>
  <si>
    <t>Carter, Chris Guy/0000-0001-5210-1282; Vlahos, Nikolaos/0000-0003-0000-1241; MENTE, ELENI/0000-0002-9223-4351</t>
  </si>
  <si>
    <t>The research received funding from University of Tasmania.</t>
  </si>
  <si>
    <t>2076-2615</t>
  </si>
  <si>
    <t>ANIMALS-BASEL</t>
  </si>
  <si>
    <t>Animals</t>
  </si>
  <si>
    <t>10.3390/ani11071889</t>
  </si>
  <si>
    <t>Agriculture, Dairy &amp; Animal Science; Veterinary Sciences; Zoology</t>
  </si>
  <si>
    <t>Agriculture; Veterinary Sciences; Zoology</t>
  </si>
  <si>
    <t>UB9IF</t>
  </si>
  <si>
    <t>WOS:000686150500001</t>
  </si>
  <si>
    <t>Caiazzo, L; Becagli, S; Bertinetti, S; Grotti, M; Nava, S; Severi, M; Traversi, R</t>
  </si>
  <si>
    <t>Caiazzo, Laura; Becagli, Silvia; Bertinetti, Stefano; Grotti, Marco; Nava, Silvia; Severi, Mirko; Traversi, Rita</t>
  </si>
  <si>
    <t>High Resolution Chemical Stratigraphies of Atmospheric Depositions from a 4 m Depth Snow Pit at Dome C (East Antarctica)</t>
  </si>
  <si>
    <t>dome C; snow pit; ion chromatography; ICP-OES; chemical stratigraphies; post-depositional processes; dating; primary aerosol</t>
  </si>
  <si>
    <t>PLASMA-MASS SPECTROMETRY; ICE-CORE; METHANESULFONIC-ACID; PLATEAU AREAS; RECORD; VARIABILITY; NITRATE; LAND; DUST; ACCUMULATION</t>
  </si>
  <si>
    <t>In this work, we present chemical stratigraphies of two sampling lines collected within a 4 m depth snow pit dug in Dome C during the Antarctic summer Campaign 2017/2018, 12 years after the last reported snow pit. The first sampling line was analyzed for nine anionic and cationic species using Ion Chromatography (IC); the second sampling line was analyzed for seven major elements in an innovative way with Inductively Coupled Plasma Optical Emission Spectroscopy (ICP-OES) after sample pre-concentration, allowing the study of deposition processes of new markers especially related to crustal source. This coupled analysis, besides confirming previous studies, allowed us to investigate the depositions of the last decades at Dome C, enriching the number of the detected chemical markers, and yielding these two techniques complementary for the study of different markers in this kind of matrix. As a result of the dating, the snow layers analyzed covered the last 50 years of snow depositions. The assessment of the accumulation rate, estimated about 9 cm yr(-1), was accomplished only for the period 1992-2016, as the eruption of 1992 constituted the only tie-point found in nssSO(4)(2-) depth profile. Na, the reliable sea salt marker, together with Mg and Sr, mainly arose from marine sources, whereas Ca, Al and Fe originated from crustal inputs. Post-depositional processes occurred on Cl- as well as on NO3- and methanesulfonic acid (MSA); compared to the latter, Cl- had a more gradual decrease, reporting a threshold at 2.5 m for the post-depositional process completion. For NO3- and MSA, instead, the threshold was shallower, at about 1 m depth, with a loss of 87% for NO3- and of 50% for MSA.</t>
  </si>
  <si>
    <t>[Caiazzo, Laura; Nava, Silvia] Natl Inst Nucl Phys INFN, Florence Div, I-50019 Sesto Fiorentino, Italy; [Caiazzo, Laura; Becagli, Silvia; Severi, Mirko; Traversi, Rita] Univ Florence, Dept Chem Ugo Schiff, I-50019 Sesto Fiorentino, Italy; [Becagli, Silvia; Severi, Mirko; Traversi, Rita] ISP CNR, Inst Polar Sci, I-30172 Venice Mestre, Italy; [Bertinetti, Stefano; Grotti, Marco] Univ Genoa, Dept Chem &amp; Ind Chem, I-16146 Genoa, Italy; [Nava, Silvia] Univ Florence, Dept Phys &amp; Astron, I-50019 Sesto Fiorentino, Italy</t>
  </si>
  <si>
    <t>Istituto Nazionale di Fisica Nucleare (INFN); Gran Sasso Science Institute (GSSI); University of Florence; Consiglio Nazionale delle Ricerche (CNR); Istituto di Scienze Polari (ISP-CNR); University of Genoa; University of Florence</t>
  </si>
  <si>
    <t>Grotti, M (corresponding author), Univ Genoa, Dept Chem &amp; Ind Chem, I-16146 Genoa, Italy.</t>
  </si>
  <si>
    <t>laura.caiazzo@unifi.it; silvia.becagli@unifi.it; stefano.bertinetti@edu.unige.it; grotti@unige.it; nava@fi.infn.it; mirko.severi@unifi.it; rita.traversi@unifi.it</t>
  </si>
  <si>
    <t>Caiazzo, Laura/AAT-1502-2020; Bertinetti, Stefano/HTQ-6650-2023; Grotti, Marco/HGU-3949-2022; Bertinetti, Stefano/AAZ-2831-2021; Becagli, Silvia/GNW-2665-2022; Traversi, Rita/M-7586-2015; Severi, Mirko/J-2508-2012</t>
  </si>
  <si>
    <t>Caiazzo, Laura/0000-0001-7932-2499; Grotti, Marco/0000-0001-6956-5761; Bertinetti, Stefano/0000-0003-1982-247X; Becagli, Silvia/0000-0003-3633-4849; Traversi, Rita/0000-0002-9790-2195; Nava, Silvia/0000-0001-9029-7554; Severi, Mirko/0000-0003-1511-6762</t>
  </si>
  <si>
    <t>MIUR (Italian Ministry of University and Research); PNRA (Programma Nazionale di Ricerca in Antartide) [PNRA 2016/AC2.04 (PNRA 16_00252-Linea A2), PNRA 2015/AC3.04 (PNRA 14_00091-Linea A3)]</t>
  </si>
  <si>
    <t>MIUR (Italian Ministry of University and Research)(Ministry of Education, Universities and Research (MIUR)); PNRA (Programma Nazionale di Ricerca in Antartide)</t>
  </si>
  <si>
    <t>The research was financially supported by the MIUR (Italian Ministry of University and Research) and PNRA (Programma Nazionale di Ricerca in Antartide) through the PNRA 2016/AC2.04 (PNRA 16_00252-Linea A2) Project SIDDARTA: Source IDentification of (mineral) Dust to AntaRcTicA and PNRA 2015/AC3.04 (PNRA 14_00091-Linea A3) Project LTCPAA: Long-Term Measurements of Chemical and Physical Properties of Atmospheric Aerosol at Dome C.</t>
  </si>
  <si>
    <t>10.3390/atmos12070909</t>
  </si>
  <si>
    <t>UB9WW</t>
  </si>
  <si>
    <t>WOS:000686188900001</t>
  </si>
  <si>
    <t>Lorenzo, C; Drazich, DN</t>
  </si>
  <si>
    <t>Lorenzo, Cristian; Navarro Drazich, Diego</t>
  </si>
  <si>
    <t>The double Antarctic exceptionality in times of pandemic</t>
  </si>
  <si>
    <t>RELACIONES INTERNACIONALES</t>
  </si>
  <si>
    <t>Spanish</t>
  </si>
  <si>
    <t>Antarctic Treaty System; Antarctic Policies; Antarctic Geopolitics; Antarctic Cooperation; COVID-19; Antarctic exceptionality; Antarctic Tourism</t>
  </si>
  <si>
    <t>Although there are no COVID-19 infections in Antarctica, this does not mean that what happens on the White Continent is absolutely isolated from the global reality, its dynamics and trends. In fact, this virus has had an impact on Antarctic activities related to tourism, decision-making and scientific activities. These changes supplement the diplomatic exceptionality associated with negotiations related to the Antarctic Treaty and its entire system, which allow the Antarctic Continent and its surrounding waters to be a region devoted to peace and science. The point above allows us to claim that a double Antarctic exceptionality is predominant in times of pandemic.</t>
  </si>
  <si>
    <t>[Lorenzo, Cristian] Consejo Nacl Invest Cient &amp; Tecn, Ctr Austral Invest Cient CADIC, Ushuaia, Tierra del Fueg, Argentina; [Navarro Drazich, Diego] Univ Nacl San Juan, San Juan, Argentina</t>
  </si>
  <si>
    <t>Consejo Nacional de Investigaciones Cientificas y Tecnicas (CONICET); Universidad Nacional de San Juan</t>
  </si>
  <si>
    <t>Lorenzo, C (corresponding author), Consejo Nacl Invest Cient &amp; Tecn, Ctr Austral Invest Cient CADIC, Ushuaia, Tierra del Fueg, Argentina.</t>
  </si>
  <si>
    <t>clorenzo@conicet.gov.ar; navarrodrazich@yahoo.com</t>
  </si>
  <si>
    <t>UNIV NACL LA PLATA, FAC LAW &amp; SCIENCE</t>
  </si>
  <si>
    <t>BUENOS AIRES</t>
  </si>
  <si>
    <t>CALLE 48, NO 582, 5 FL 1900 LA PLATA, BUENOS AIRES, 00000, ARGENTINA</t>
  </si>
  <si>
    <t>1515-3371</t>
  </si>
  <si>
    <t>2314-2766</t>
  </si>
  <si>
    <t>RELAC INT</t>
  </si>
  <si>
    <t>Relac. Int.</t>
  </si>
  <si>
    <t>JUL-DEC</t>
  </si>
  <si>
    <t>10.24215/23142766e139</t>
  </si>
  <si>
    <t>XY4LS</t>
  </si>
  <si>
    <t>WOS:000736946700004</t>
  </si>
  <si>
    <t>Hao, WF; Ye, M; Yan, JG; Li, F</t>
  </si>
  <si>
    <t>Hao WeiFeng; Ye Mao; Yan JianGuo; Li Fei</t>
  </si>
  <si>
    <t>Difference of normal gravity characteristics between the Moon and the Earth and its causes</t>
  </si>
  <si>
    <t>CHINESE JOURNAL OF GEOPHYSICS-CHINESE EDITION</t>
  </si>
  <si>
    <t>Chinese</t>
  </si>
  <si>
    <t>Normal gravity; The Earth; The Moon; Opposite trend; Hydrostatics equilibrium condition</t>
  </si>
  <si>
    <t>The Moon and the Earth are very similar to a rotating ellipsoid. The normal gravity of such a ellipsoid accounts for the main part of their real gravity. Comparing the normal gravity of the Moon and the Earth calculated by the Clairaut theorem permits to improve understanding the characteristic of the gravity for these two celestial bodies. The normal gravity variations with latitudes between the Moon and the Earth show an opposite trend, i.e. the polar normal gravity is smaller than that of the equator on the Moon while the polar normal gravity is greater than that of the equator on the Earth. This paper analyses the reasons for such a difference from the truncation error, and the relationship between the shape of the normal ellipsoid and rotation angular velocity. Our research suggests that the relationship between the flattening and rotation velocity of the Moon does not satisfy the hydrostatic equilibrium conditions, which means the Clairaut theorem cannot be used to calculate the normal gravity of the Moon.</t>
  </si>
  <si>
    <t>[Hao WeiFeng; Li Fei] Wuhan Univ, Chinese Antarctic Ctr Surveying &amp; Mapping, Wuhan 430079, Peoples R China; [Ye Mao; Yan JianGuo; Li Fei] Wuhan Univ, State Key Lab Informat Engn Surveying Mapping &amp; R, Wuhan 430079, Peoples R China</t>
  </si>
  <si>
    <t>Wuhan University; Wuhan University</t>
  </si>
  <si>
    <t>Ye, M (corresponding author), Wuhan Univ, State Key Lab Informat Engn Surveying Mapping &amp; R, Wuhan 430079, Peoples R China.</t>
  </si>
  <si>
    <t>haowf@whu.edu.cn; mye@whu.edu.cn</t>
  </si>
  <si>
    <t>0001-5733</t>
  </si>
  <si>
    <t>CHINESE J GEOPHYS-CH</t>
  </si>
  <si>
    <t>Chinese J. Geophys.-Chinese Ed.</t>
  </si>
  <si>
    <t>10.6038/cjg2021O0161</t>
  </si>
  <si>
    <t>WW8EJ</t>
  </si>
  <si>
    <t>WOS:000718142400015</t>
  </si>
  <si>
    <t>Hartlich, A</t>
  </si>
  <si>
    <t>Hartlich, Ariel</t>
  </si>
  <si>
    <t>THE COLONIAL EYE AND THE SOUTHERN IMAGINARY</t>
  </si>
  <si>
    <t>REVISTA ESTUDIOS HEMISFERICOS Y POLARES</t>
  </si>
  <si>
    <t>Malvinas; Antarctica; Peronist geopolitics; Bicontinental Argentina</t>
  </si>
  <si>
    <t>Historically, the cartographic representation of the southern tip of the American continent came into contradiction with the global orientation of the planet, which in alignment with was aligned according to the view with which the colonial powers observed relations between the different nations of the world. So, at the same time that Modernity was formed, northern references prevailed in the geocultures of the most diverse regions of the world as a hegemonic gaze. However, the emergence of the Malvinas and Antarctica on the plane was disruptive from the moment the Europeans recognized South America and the interoceanic strait under the command of Hernando de Magallanes. Thus, cartography formed an ambit of disputes and permanent adjustments to the universal imaginary construction, allowing to legitimize the asymmetric international relations; so that the development of a geopolitical thought based on the so-called third position and the recovery of the southern references themselves, which the government of Juan Domingo Peron promoted, colliding with British colonial interests in the South Atlantic. In this way, at the same time, Argentina in 1946 incorporated the Antarctic sector, along with the Malvinas and the vast insular territories of the South Atlantic, into its national map, promoting the development of an Antarctic consciousness in the population, redirecting the gaze towards the Southern.</t>
  </si>
  <si>
    <t>[Hartlich, Ariel] Univ Nacl Quilmes, Quilmes, Argentina</t>
  </si>
  <si>
    <t>Hartlich, A (corresponding author), Av Calchaqui 3452, RA-1879 Quilmes, Buenos Aires, Argentina.</t>
  </si>
  <si>
    <t>arielhartlich@hotmail.com</t>
  </si>
  <si>
    <t>CENTRO ESTUDIOS HEMISFERICOS &amp; POLARES</t>
  </si>
  <si>
    <t>VINA DEL MAR</t>
  </si>
  <si>
    <t>CALLE ROMA, 116, CALETA ABARCA, VINA DEL MAR, 2580060, CHILE</t>
  </si>
  <si>
    <t>0718-9230</t>
  </si>
  <si>
    <t>REV ESTUD HEMISFERIC</t>
  </si>
  <si>
    <t>Rev. Estud. Hemisfericos Polares</t>
  </si>
  <si>
    <t>Area Studies</t>
  </si>
  <si>
    <t>WY5VE</t>
  </si>
  <si>
    <t>WOS:000719345900005</t>
  </si>
  <si>
    <t>Wöppke, CL</t>
  </si>
  <si>
    <t>Leon Woppke, Consuelo</t>
  </si>
  <si>
    <t>ANTARCTIC IDENTITY, CULTURE AND EDUCATION</t>
  </si>
  <si>
    <t>[Leon Woppke, Consuelo] Fdn Valle Hermoso, Santiago, Chile</t>
  </si>
  <si>
    <t>Wöppke, CL (corresponding author), Fdn Valle Hermoso, Santiago, Chile.</t>
  </si>
  <si>
    <t>consuelo3leonw@gmail.com</t>
  </si>
  <si>
    <t>WY6SK</t>
  </si>
  <si>
    <t>WOS:000719408900001</t>
  </si>
  <si>
    <t>Fernández, MJ; Sierra, NL; Cuevas, MA; González, PM; Alarcón, JG; Cárdenas, NF</t>
  </si>
  <si>
    <t>Jara Fernandez, Mauricio; Llanos Sierra, Nelson; Cuevas, Marcos Aravena; Mancilla Gonzalez, Pablo; Galea Alarcon, Juan; Farias Cardenas, Nadia</t>
  </si>
  <si>
    <t>CHILEAN ANTARCTIC EDUCATION</t>
  </si>
  <si>
    <t>[Jara Fernandez, Mauricio; Llanos Sierra, Nelson; Cuevas, Marcos Aravena; Mancilla Gonzalez, Pablo; Galea Alarcon, Juan; Farias Cardenas, Nadia] Univ Playa Ancha, Valparaiso, Chile</t>
  </si>
  <si>
    <t>Universidad de Playa Ancha</t>
  </si>
  <si>
    <t>Fernández, MJ (corresponding author), Univ Playa Ancha, Valparaiso, Chile.</t>
  </si>
  <si>
    <t>mjara@upla.cl; nelson.11anos@upla.cl; marcos.aravena@upla.cl; pablo.mancilla@upla.cl; jgalea@upla.cl; nadia.farias@upla.cl</t>
  </si>
  <si>
    <t>WOS:000719408900002</t>
  </si>
  <si>
    <t>Holthuijzen, WA; Durham, SL; Flint, EN; Plissner, JH; Rosenberger, KJ; Wolf, CA; Jones, HP</t>
  </si>
  <si>
    <t>Holthuijzen, Wieteke A.; Durham, Susan L.; Flint, Elizabeth N.; Plissner, Jonathan H.; Rosenberger, Kaylee J.; Wolf, Coral A.; Jones, Holly P.</t>
  </si>
  <si>
    <t>Fly on the Wall: Comparing Arthropod Communities Between Islands With and Without House Mice (Mus musculus)</t>
  </si>
  <si>
    <t>PACIFIC SCIENCE</t>
  </si>
  <si>
    <t>arthropods; islands; invasive rodent; pre-eradication; community structure; diversity; pitfall traps; subtropical atoll</t>
  </si>
  <si>
    <t>SUB-ANTARCTIC MARION; INVASIVE RATS; FIRE ANT; DIVERSITY; IMPACT; INVERTEBRATES; CONSERVATION; BIODIVERSITY; ECOSYSTEM; HYMENOPTERA</t>
  </si>
  <si>
    <t>Invertebrates are key to island ecosystems but impacts from invasive mammalian predators are not well documented or understood. Given this knowledge gap, we studied terrestrial arthropod communities in the presence of a common invasive rodent (house mice, Mus musculus) on a subtropical atoll-Midway Atoll National Wildlife Refuge (MANWR). Here, invasive mice recently began to attack and depredate nesting seabirds, prompting planning for a future mouse eradication. However, uncertainty remains regarding the ecosystem's response to mouse removal. As part of a pre-eradication investigation, we conducted a baseline survey of MANWR's arthropod community structure and diversity (at order level), comparing islands with and without mice. From April 2018 to February 2020, we used pitfall traps to monitor ground-dwelling arthropods on MANWR's Sand Island (mice present) and Eastern Island (mice absent). During our study, we captured over 450,000 specimens from 24 taxonomic units. Arthropods on MANWR form six community clusters and differ between islands and habitats. Richness is relatively similar among clusters and islands, but diversity of common and dominant arthropod taxa is significantly higher on Sand Island, as well as in anthropogenically-built habitats. Weather is not a strong environmental driver of arthropod communities; community structure and diversity vary only slightly throughout the year. Additionally, anthropomorphic landscape-level alteration of MANWR may still influence arthropod communities today. Continued monitoring and research will provide better insight into how arthropod communities recover following invasive mouse eradications. Our study contributes to the body of knowledge of arthropods in the Northwestern Hawaiian Islands, arthropod community ecology, and potential mouse impacts on islands.</t>
  </si>
  <si>
    <t>[Holthuijzen, Wieteke A.; Rosenberger, Kaylee J.; Jones, Holly P.] Northern Illinois Univ, Dept Biol Sci, De Kalb, IL 60115 USA; [Durham, Susan L.] Utah State Univ, Ecol Ctr, 5205 Old Main Hill, Logan, UT 84322 USA; [Flint, Elizabeth N.] US Fish &amp; Wildlife Serv, Natl Monuments Pacific, Honolulu, HI 96850 USA; [Plissner, Jonathan H.] US Fish &amp; Wildlife Serv, Midway Atoll Natl Wildlife Refuge, Honolulu, HI USA; [Wolf, Coral A.] Isl Conservat, Santa Cruz, CA 95060 USA; [Jones, Holly P.] Northern Illinois Univ, Inst Study Environm Sustainabil &amp; Energy, De Kalb, IL 60115 USA</t>
  </si>
  <si>
    <t>Northern Illinois University; Utah System of Higher Education; Utah State University; United States Department of the Interior; US Fish &amp; Wildlife Service; United States Department of the Interior; US Fish &amp; Wildlife Service; Northern Illinois University</t>
  </si>
  <si>
    <t>Holthuijzen, WA (corresponding author), Northern Illinois Univ, Dept Biol Sci, De Kalb, IL 60115 USA.</t>
  </si>
  <si>
    <t>wholthuijzen@gmail.com</t>
  </si>
  <si>
    <t>Holthuijzen, Wieteke/R-2451-2019</t>
  </si>
  <si>
    <t>Holthuijzen, Wieteke/0000-0002-4280-3288</t>
  </si>
  <si>
    <t>U.S. Fish and Wildlife Service and Island Conservation; National Science Foundation Graduate Research Fellowship Program [1842161]; Division Of Graduate Education; Direct For Education and Human Resources [1842161] Funding Source: National Science Foundation</t>
  </si>
  <si>
    <t>U.S. Fish and Wildlife Service and Island Conservation; National Science Foundation Graduate Research Fellowship Program(National Science Foundation (NSF)); Division Of Graduate Education; Direct For Education and Human Resources(National Science Foundation (NSF)NSF - Directorate for STEM Education (EDU))</t>
  </si>
  <si>
    <t>The authors thank Marti J. Anderson and Christy N. Wails for providing feedback and advice on statistical analyses. The authors would also like to thank Nikolas Ballut, Kristin Chapman, Paige DuBois, Gian Feniza, Brittany Guzy, Christopher Holliday, Megan Harris, Austin Lahman, Sarah Naughton, Matthew Nordin, Erick Pacheco Grande, Juliana Peschke, Michaela Plagwitz, and Dana Romaniak for identifying and counting pitfall trap contents. We also thank Sheldon Plentovich, Daniel Simberloff, Forest and Kim Starr, and two anonymous reviewers for their feedback and comments, which greatly benefitted this manuscript. Arthropod specimens were collected under permit #PMNM-2019005 by the U.S. Fish and Wildlife Service and Island Conservation. Material in this article is based upon work supported by the National Science Foundation Graduate Research Fellowship Program, Grant No. DG#-1842161. Any opinions, findings, and conclusions or recommendations expressed in this material are those of the authors and do not necessarily reflect the views of the National Science Foundation, U.S. Fish and Wildlife Service, or Island Conservation.</t>
  </si>
  <si>
    <t>UNIV HAWAII PRESS</t>
  </si>
  <si>
    <t>HONOLULU</t>
  </si>
  <si>
    <t>2840 KOLOWALU ST, HONOLULU, HI 96822, UNITED STATES</t>
  </si>
  <si>
    <t>0030-8870</t>
  </si>
  <si>
    <t>1534-6188</t>
  </si>
  <si>
    <t>PAC SCI</t>
  </si>
  <si>
    <t>Pac. Sci.</t>
  </si>
  <si>
    <t>10.2984/75.3.6</t>
  </si>
  <si>
    <t>WX1HF</t>
  </si>
  <si>
    <t>WOS:000718353900006</t>
  </si>
  <si>
    <t>Baker, JM; Dickson, RP</t>
  </si>
  <si>
    <t>Baker, Jennifer M.; Dickson, Robert P.</t>
  </si>
  <si>
    <t>Is the lung microbiome alive? Lessons from Antarctic soil</t>
  </si>
  <si>
    <t>EUROPEAN RESPIRATORY JOURNAL</t>
  </si>
  <si>
    <t>DRY VALLEY; BACTERIA</t>
  </si>
  <si>
    <t>[Baker, Jennifer M.; Dickson, Robert P.] Univ Michigan, Sch Med, Dept Internal Med, Div Pulm &amp; Crit Care Med, Ann Arbor, MI 48109 USA; [Baker, Jennifer M.; Dickson, Robert P.] Univ Michigan, Sch Med, Dept Microbiol &amp; Immunol, Ann Arbor, MI 48109 USA; [Dickson, Robert P.] Michigan Ctr Integrat Res Crit Care, Ann Arbor, MI USA</t>
  </si>
  <si>
    <t>University of Michigan System; University of Michigan; University of Michigan System; University of Michigan</t>
  </si>
  <si>
    <t>Dickson, RP (corresponding author), Univ Michigan, Sch Med, Dept Internal Med, Div Pulm &amp; Crit Care Med, Ann Arbor, MI 48109 USA.;Dickson, RP (corresponding author), Univ Michigan, Sch Med, Dept Microbiol &amp; Immunol, Ann Arbor, MI 48109 USA.;Dickson, RP (corresponding author), Michigan Ctr Integrat Res Crit Care, Ann Arbor, MI USA.</t>
  </si>
  <si>
    <t>rodickso@med.umich.edu</t>
  </si>
  <si>
    <t>Baker, Jennifer/JEO-9532-2023; Dickson, Robert/AAU-2949-2020</t>
  </si>
  <si>
    <t>Dickson, Robert/0000-0002-6875-4277; Baker, Jennifer/0000-0003-1363-1525</t>
  </si>
  <si>
    <t>EUROPEAN RESPIRATORY SOC JOURNALS LTD</t>
  </si>
  <si>
    <t>SHEFFIELD</t>
  </si>
  <si>
    <t>442 GLOSSOP RD, SHEFFIELD S10 2PX, ENGLAND</t>
  </si>
  <si>
    <t>0903-1936</t>
  </si>
  <si>
    <t>1399-3003</t>
  </si>
  <si>
    <t>EUR RESPIR J</t>
  </si>
  <si>
    <t>Eur. Resp. J.</t>
  </si>
  <si>
    <t>JUL 1</t>
  </si>
  <si>
    <t>10.1183/13993003.00321-2021</t>
  </si>
  <si>
    <t>Respiratory System</t>
  </si>
  <si>
    <t>US9JS</t>
  </si>
  <si>
    <t>WOS:000697742000028</t>
  </si>
  <si>
    <t>Ruscasso, F; Bezus, B; Garmendia, G; Vero, S; Curutchet, G; Cavello, I; Cavalitto, S</t>
  </si>
  <si>
    <t>Ruscasso, Florencia; Bezus, Brenda; Garmendia, Gabriela; Vero, Silvana; Curutchet, Gustavo; Cavello, Ivana; Cavalitto, Sebastian</t>
  </si>
  <si>
    <t>Debaryomyces hansenii F39A as biosorbent for textile dye removal</t>
  </si>
  <si>
    <t>REVISTA ARGENTINA DE MICROBIOLOGIA</t>
  </si>
  <si>
    <t>Antarctic yeast; Biosorption; Reactive dyes; Effluent treatment</t>
  </si>
  <si>
    <t>REACTIVE BLUE 19; AQUEOUS-SOLUTION; AZO DYES; EFFICIENT REMOVAL; BLACK 5; ADSORPTION; YEAST; EQUILIBRIUM; DECOLORIZATION; BIOSORPTION</t>
  </si>
  <si>
    <t>Many industries generate a considerable amount of wastewater containing toxic and recalcitrant dyes. The main objective of this research was to examine the biosorption capacity of Reactive Blue 19 and Reactive Red 141 by the Antarctic yeast Debaryomyces hansenii F39A biomass. Some variables, including pH, dye concentration, amount of adsorbent and contact time, were studied. The equilibrium sorption capacity of the biomass increased with increasing initial dye concentration up to 350 mg/l. Experimental isotherms fit the Langmuir model and the maximum uptake capacity (q(max)) for the selected dyes was in the range of 0.0676-0.169 mmol/g biomass. At an initial dye concentration of 100 mg/l, 2 g/l biomass loading and 20 +/- 1 degrees C, D. hansenii F39A adsorbed around 90% of Reactive Red 141 and 50% of Reactive Blue 19 at pH 6.0. When biomass loading was increased (6 g/l), the uptake reached up to 90% for Reactive Blue 19. The dye uptake process followed a pseudo-second-order kinetics for each dye system. As seen throughout this research study, D. hansenii has the potential to efficiently and effectively remove dyes in a biosorption process and may be an alternative to other costly materials. (C) 2020 Asociacion Argentina de Microbiologi ' a. Published by Elsevier Espana, S.L.U.</t>
  </si>
  <si>
    <t>[Ruscasso, Florencia; Bezus, Brenda; Cavello, Ivana; Cavalitto, Sebastian] Univ Nacl La Plata, Ctr Invest &amp; Desarrollo Fermentac Ind Cinder, CONICET UNLP, Fac Ciencias Exactas, Calle 50 &amp; 115, RA-1900 La Plata, Buenos Aires, Argentina; [Garmendia, Gabriela; Vero, Silvana] Univ Republica, Fac Quim, Dept Biociencias, Catedra Microbiol, Montevideo, Uruguay; [Curutchet, Gustavo] Univ Nacl San Martin, Inst Invest &amp; Ingn Ambiental, CONICET, RA-1650 Buenos Aires, DF, Argentina</t>
  </si>
  <si>
    <t>National University of La Plata; Consejo Nacional de Investigaciones Cientificas y Tecnicas (CONICET); Universidad de la Republica, Uruguay; Consejo Nacional de Investigaciones Cientificas y Tecnicas (CONICET)</t>
  </si>
  <si>
    <t>Cavello, I (corresponding author), Univ Nacl La Plata, Ctr Invest &amp; Desarrollo Fermentac Ind Cinder, CONICET UNLP, Fac Ciencias Exactas, Calle 50 &amp; 115, RA-1900 La Plata, Buenos Aires, Argentina.</t>
  </si>
  <si>
    <t>icavello@biotec.quimica.unlp.edu.ar</t>
  </si>
  <si>
    <t>Agencia Nacional de Promocion Cientifica y Tecnologica [PICT 2014-1655, 2015-3699]</t>
  </si>
  <si>
    <t>Agencia Nacional de Promocion Cientifica y Tecnologica(ANPCyTSpanish Government)</t>
  </si>
  <si>
    <t>This work was supported by grants from Agencia Nacional de Promocion Cientifica y Tecnologica (PICT 2014-1655 and 2015-3699).</t>
  </si>
  <si>
    <t>ASOCIACION ARGENTINA MICROBIOLOGIA</t>
  </si>
  <si>
    <t>BULNES 44 PB B, BUENOS AIRES, 00000, ARGENTINA</t>
  </si>
  <si>
    <t>0325-7541</t>
  </si>
  <si>
    <t>1851-7617</t>
  </si>
  <si>
    <t>REV ARGENT MICROBIOL</t>
  </si>
  <si>
    <t>Rev. Argent. Microbiol.</t>
  </si>
  <si>
    <t>JUL-SEP</t>
  </si>
  <si>
    <t>10.1016/j.ram.2020.10.004BY</t>
  </si>
  <si>
    <t>WK3FK</t>
  </si>
  <si>
    <t>WOS:000709614500012</t>
  </si>
  <si>
    <t>Jo, E; Cho, YH; Lee, SJ; Choi, E; Kim, J; Kim, JH; Chi, YM; Park, H</t>
  </si>
  <si>
    <t>Jo, Euna; Cho, Yll Hwan; Lee, Seung Jae; Choi, Eunkyung; Kim, Jinmu; Kim, Jeong-Hoon; Chi, Young Min; Park, Hyun</t>
  </si>
  <si>
    <t>Genome survey and microsatellite motif identification of Pogonophryne albipinna</t>
  </si>
  <si>
    <t>BIOSCIENCE REPORTS</t>
  </si>
  <si>
    <t>PERCIFORMES NOTOTHENIOIDEI ARTEDIDRACONIDAE; DEEP ROSS SEA; SIZE</t>
  </si>
  <si>
    <t>The genus Pogonophryne is a speciose group that includes 28 species inhabiting the coastal or deep waters of the Antarctic Southern Ocean. The genus has been divided into five species groups, among which the P. albipinna group is the most deep-living group and is characterized by a lack of spots on the top of the head. Here, we carried out genome survey sequencing of P. albipinna using the Illumina HiSeq platform to estimate the genomic characteristics and identify genome-wide microsatellite motifs. The genome size was predicted to be 883.8 Mb by K-mer analysis (K = 25), and the heterozygosity and repeat ratio were 0.289 and 39.03%, respectively. The genome sequences were assembled into 571624 contigs, covering a total length of 819.3 Mb with an N50 of 2867 bp. A total of 2217422 simple sequence repeat (SSR) motifs were identified from the assembly data, and the number of repeats decreased as the length and number of repeats increased. These data will provide a useful foundation for the development of new molecular markers for the P. albipinna group as well as for further whole-genome sequencing of P. albipinna.</t>
  </si>
  <si>
    <t>[Jo, Euna; Cho, Yll Hwan; Lee, Seung Jae; Choi, Eunkyung; Kim, Jinmu; Chi, Young Min; Park, Hyun] Korea Univ, Dept Biotechnol, Coll Life Sci &amp; Biotechnol, Seoul 02841, South Korea; [Jo, Euna; Kim, Jeong-Hoon] Korea Polar Res Inst KOPRI, Div Life Sci, Incheon 21990, South Korea</t>
  </si>
  <si>
    <t>Korea University; Korea Polar Research Institute (KOPRI)</t>
  </si>
  <si>
    <t>Park, H (corresponding author), Korea Univ, Dept Biotechnol, Coll Life Sci &amp; Biotechnol, Seoul 02841, South Korea.</t>
  </si>
  <si>
    <t>hpark@korea.ac.kr</t>
  </si>
  <si>
    <t>Jo, Euna/0000-0003-2666-6743; Park, Hyun/0000-0002-8055-2010</t>
  </si>
  <si>
    <t>Korea University Grant; project 'Ecosystem Structure and Function of Marine Protected Area (MPA) in Antarctica' - Ministry of Oceans and Fisheries, Korea [PM21060, 20170336]</t>
  </si>
  <si>
    <t>Korea University Grant; project 'Ecosystem Structure and Function of Marine Protected Area (MPA) in Antarctica' - Ministry of Oceans and Fisheries, Korea</t>
  </si>
  <si>
    <t>This work was supported by the project 'Ecosystem Structure and Function of Marine Protected Area (MPA) in Antarctica' (PM21060) funded by the Ministry of Oceans and Fisheries, Korea [grant number 20170336] ; and the Korea University Grant.</t>
  </si>
  <si>
    <t>PORTLAND PRESS LTD</t>
  </si>
  <si>
    <t>1ST FLR, 10 QUEEN STREET PLACE, LONDON, ENGLAND</t>
  </si>
  <si>
    <t>0144-8463</t>
  </si>
  <si>
    <t>1573-4935</t>
  </si>
  <si>
    <t>BIOSCIENCE REP</t>
  </si>
  <si>
    <t>Biosci. Rep.</t>
  </si>
  <si>
    <t>BSR20210824</t>
  </si>
  <si>
    <t>10.1042/BSR20210824</t>
  </si>
  <si>
    <t>Biochemistry &amp; Molecular Biology; Cell Biology</t>
  </si>
  <si>
    <t>WC1EA</t>
  </si>
  <si>
    <t>WOS:000704005700018</t>
  </si>
  <si>
    <t>Solomatina, AS; Demina, LL; Spiridonov, VA</t>
  </si>
  <si>
    <t>Solomatina, A. S.; Demina, L. L.; Spiridonov, V. A.</t>
  </si>
  <si>
    <t>Trace element concentration in Antarctic krill reflecting their distribution in the Weddell Sea</t>
  </si>
  <si>
    <t>RUSSIAN JOURNAL OF EARTH SCIENCES</t>
  </si>
  <si>
    <t>Antarctica; krill Euphausia superba; heavy metals; trace elements; bioaccumulation</t>
  </si>
  <si>
    <t>ATLANTIC SECTOR; WATER; IRON; TRANSPORT; BLOOMS; METALS; CRUISE; CARBON</t>
  </si>
  <si>
    <t>Distribution of Al, As, Cd, Co, Cu, Fe, Mn, Mo, Ni, Pb, Rb, and Zn in the main body parts and total samples of juvenile Antarctic krill Euphausia superba was examined in the northeastern Weddell Sea. The increased contents of Al, Fe, and Mn in total specimens of juvenile krill were detected in the coastal regions near the South Shetland and South Orkney Islands. It can be attributed to high concentration of suspended particulate matter that serve as food for krill both in shallow and deep water. The cephalothorax was found to be an organ of the elevated concentration of Al, Zn, Cu, and Fe; Mo accumulated primarily in the abdominal muscles, while Ni, Co, Cd, As, Rb, and Pb did not show a predominant accumulation in certain krill tissues. The contents of potentially toxic Zn, Cd, Cu, and Pb in the total krill mass did not exceed the maximum permissible concentration (MPC) for marine seafood products, while that of As was two times greater than the MPC that might be caused by both natural and anthropogenic factors.</t>
  </si>
  <si>
    <t>[Solomatina, A. S.; Demina, L. L.; Spiridonov, V. A.] RAS, Shirshov Inst Oceanol, Moscow, Russia</t>
  </si>
  <si>
    <t>Russian Academy of Sciences; Shirshov Institute of Oceanology</t>
  </si>
  <si>
    <t>Solomatina, AS (corresponding author), Russian Acad Sci, Shirshov Inst Oceanol, 36 Nakhimovskii Prospect, Moscow 117997, Russia.</t>
  </si>
  <si>
    <t>blackmaple@yandex.ru</t>
  </si>
  <si>
    <t>Science and Education Ministry of Russian Federation [0128-2019-0008]; Russian Science Foundation [19-17-00234]</t>
  </si>
  <si>
    <t>Science and Education Ministry of Russian Federation; Russian Science Foundation(Russian Science Foundation (RSF))</t>
  </si>
  <si>
    <t>This work was supported by the Science and Education Ministry of Russian Federation, State task no. 0128-2019-0008, chemical analysis was supported by Russian Science Foundation, project no. 19-17-00234.</t>
  </si>
  <si>
    <t>GEOPHYSICAL CENTER RAS</t>
  </si>
  <si>
    <t>MOSCOW</t>
  </si>
  <si>
    <t>MOLODEZHNAYA ST 3, MOSCOW, 119296, RUSSIA</t>
  </si>
  <si>
    <t>1681-1208</t>
  </si>
  <si>
    <t>RUSS J EARTH SCI</t>
  </si>
  <si>
    <t>Russ. J. Earth Sci.</t>
  </si>
  <si>
    <t>ES4001</t>
  </si>
  <si>
    <t>10.2205/2021ES000759</t>
  </si>
  <si>
    <t>UY7CE</t>
  </si>
  <si>
    <t>WOS:000701676500003</t>
  </si>
  <si>
    <t>Polonik, NS; Ponomareva, AL; Shakirov, RB; Obzhirov, AI</t>
  </si>
  <si>
    <t>Polonik, N. S.; Ponomareva, A. L.; Shakirov, R. B.; Obzhirov, A., I</t>
  </si>
  <si>
    <t>Methane Distribution in Antarctic Sound (Southern Ocean)</t>
  </si>
  <si>
    <t>OCEANOLOGY</t>
  </si>
  <si>
    <t>dissolved methane; Antarctic Sound; Atlantic sector of the Southern Ocean</t>
  </si>
  <si>
    <t>WATER; SEDIMENTS; HYDROGEN; SEA</t>
  </si>
  <si>
    <t>The paper presents the first data on the methane distribution in the water column of Antarctic Sound (Atlantic sector of the Southern Ocean) acquired during an integrated expedition of the Russian Academy of Sciences on board the R/V Akademik Mstislav Keldysh (cruise 79). A stable zone with a high concentration of dissolved methane (up to 7.53 nmol/L) has been revealed in the deep part of the channel, below 400 m. According to concurrent measurements, the methane concentration in the bottom layer of Antarctic Sound significantly exceeds the average methane concentration in the Weddell Sea.</t>
  </si>
  <si>
    <t>[Polonik, N. S.; Ponomareva, A. L.; Shakirov, R. B.; Obzhirov, A., I] Russian Acad Sci, Ilichev Pacific Oceanol Inst, Far Eastern Branch, Vladivostok, Russia</t>
  </si>
  <si>
    <t>Russian Academy of Sciences</t>
  </si>
  <si>
    <t>Polonik, NS (corresponding author), Russian Acad Sci, Ilichev Pacific Oceanol Inst, Far Eastern Branch, Vladivostok, Russia.</t>
  </si>
  <si>
    <t>nikpol@poi.dvo.ru</t>
  </si>
  <si>
    <t>Shakirov, Renat B/B-7733-2012</t>
  </si>
  <si>
    <t>Polonik, Nikita/0000-0002-4726-9459</t>
  </si>
  <si>
    <t>[FWMM-2019-0007]</t>
  </si>
  <si>
    <t>The study was carried out under state task topic Comprehensive Investigations of the Southern Ocean Environment (no. FWMM-2019-0007) and state task no. FWMM-20190006 (registration number nos.AAAA-A19-119122090009-2 and.AAAA-A17-117030110035-4).</t>
  </si>
  <si>
    <t>PLEIADES PUBLISHING INC</t>
  </si>
  <si>
    <t>PLEIADES HOUSE, 7 W 54 ST, NEW YORK, NY, UNITED STATES</t>
  </si>
  <si>
    <t>0001-4370</t>
  </si>
  <si>
    <t>1531-8508</t>
  </si>
  <si>
    <t>OCEANOLOGY+</t>
  </si>
  <si>
    <t>Oceanology</t>
  </si>
  <si>
    <t>10.1134/S0001437021040135</t>
  </si>
  <si>
    <t>UU2XL</t>
  </si>
  <si>
    <t>WOS:000698664200004</t>
  </si>
  <si>
    <t>Hao, GH; Shen, H; Sun, YM; Li, CH</t>
  </si>
  <si>
    <t>Hao, Guanghua; Shen, Hui; Sun, Yongming; Li, Chunhua</t>
  </si>
  <si>
    <t>Rapid decrease in Antarctic sea ice in recent years</t>
  </si>
  <si>
    <t>ACTA OCEANOLOGICA SINICA</t>
  </si>
  <si>
    <t>sea ice; Antarctic; decreasing; atmosphere</t>
  </si>
  <si>
    <t>ERA-INTERIM; TRENDS; CIRCULATION; VARIABILITY; MODES</t>
  </si>
  <si>
    <t>A 41-year Antarctic sea ice concentration (SIC) dataset derived from satellite passive microwave radiometers during the period of 1979-2019 has been used to analyze sea ice changes in recent decades. The trends of SIC and sea ice extent (SIE) are calculated during the periods of 1979-2019, 1979-2013, and 2014-2019. The trends show regionally dependent features. The SIC shows an increasing trend in most of the regions except the Bellingshausen Sea and Amundsen Sea (BA) during 1979-2019 and 1979-2013. The SIE trend shows a decreasing or decelerating trend in the period of 1979-2019 ((6 835 +/- 2 210) km(2)/a) compared with the 1979-2013 period ((18 600 +/- 2 203) km(2)/a). In recent years (2014-2019), the SIC and SIE have exhibited decreasing trends (-(34 567 +/- 3 521) km(2)/month), especially in the Weddell Sea (WS) and Ross Sea (RS) during summer and autumn. The trends are related to regionally dependent causes. The analyses show that the SIC and SIE decreased in response to the warming trend of 2 m air temperature (Ta-2m) and have exhibited a good relationship with Ta-2m in summer and autumn in recent years. The sea ice decrease in the Antarctic is mainly caused by increases in absorbed energy and southward energy transportation in recent years, such as the increase in gained solar radiation and moist static energy from the south, which demonstrate notable regional characteristics. In the WS region, the local positive feedback from the additional absorbed solar radiation, resulting in warmer air and reduced sea ice, is the main reason for the sea ice decrease in recent years. The increase in southward energy transport has also favored a decrease in sea ice. In the RS region, the increase in southward-transported moist static energy has contributed to the decrease in sea ice, and the increases in cloud cover and longwave radiation have prevented sea ice growth.</t>
  </si>
  <si>
    <t>[Hao, Guanghua; Shen, Hui; Li, Chunhua] Minist Nat Resources, Natl Marine Environm Forecasting Ctr, Key Lab Marine Hazards Forecasting, Beijing 100081, Peoples R China; [Sun, Yongming] Ocean Univ China, Coll Ocean &amp; Atmospher Sci, Key Lab Phys Oceanog, Qingdao 266100, Peoples R China; [Sun, Yongming] Pilot Natl Lab Marine Sci &amp; Technol Qingdao, Qingdao 266237, Peoples R China</t>
  </si>
  <si>
    <t>Ministry of Natural Resources of the People's Republic of China; National Marine Environmental Forecasting Center; Ocean University of China; Laoshan Laboratory</t>
  </si>
  <si>
    <t>Sun, YM (corresponding author), Ocean Univ China, Coll Ocean &amp; Atmospher Sci, Key Lab Phys Oceanog, Qingdao 266100, Peoples R China.;Sun, YM (corresponding author), Pilot Natl Lab Marine Sci &amp; Technol Qingdao, Qingdao 266237, Peoples R China.</t>
  </si>
  <si>
    <t>sym@ouc.edu.cn</t>
  </si>
  <si>
    <t>li, chunhua/AAC-1141-2019; Hao, Guanghua/AAC-3979-2019</t>
  </si>
  <si>
    <t>National Key R&amp;D Program of China [2018YFA0605902, 2018YFA0605903]; National Natural Science Foundation of China [41606218, 41941009]; Chinese National Antarctic Research Expedition logistics support item</t>
  </si>
  <si>
    <t>National Key R&amp;D Program of China; National Natural Science Foundation of China(National Natural Science Foundation of China (NSFC)); Chinese National Antarctic Research Expedition logistics support item</t>
  </si>
  <si>
    <t>The National Key R&amp;D Program of China under contract Nos 2018YFA0605902 and 2018YFA0605903; the National Natural Science Foundation of China under contract Nos 41606218 and 41941009; the fund of Chinese National Antarctic Research Expedition logistics support item.</t>
  </si>
  <si>
    <t>0253-505X</t>
  </si>
  <si>
    <t>1869-1099</t>
  </si>
  <si>
    <t>ACTA OCEANOL SIN</t>
  </si>
  <si>
    <t>Acta Oceanol. Sin.</t>
  </si>
  <si>
    <t>10.1007/s13131-021-1762-x</t>
  </si>
  <si>
    <t>UM1CE</t>
  </si>
  <si>
    <t>WOS:000693075700010</t>
  </si>
  <si>
    <t>Liu, L; Li, J; Sun, QZ; Li, CH; Cook, S; Ji, SY</t>
  </si>
  <si>
    <t>Liu, Lu; Li, Ji; Sun, Qizhen; Li, Chunhua; Cook, Sue; Ji, Shunying</t>
  </si>
  <si>
    <t>Modeling calving process of glacier with dilated polyhedral discrete element method</t>
  </si>
  <si>
    <t>glacier calving; discrete element method; dilated polyhedral element; bond and fracture model</t>
  </si>
  <si>
    <t>TIDEWATER GLACIERS; FULL-STOKES; SEA-ICE; FRACTURE; SIMULATION</t>
  </si>
  <si>
    <t>Mass loss caused by glacier calving is one of the direct contributors to global sea level rise. Reliable calving laws are required for accurate modelling of ice sheet mass balance. Both continuous and discontinuous methods have been used for glacial calving simulations. In this study, the discrete element method (DEM) based on dilated polyhedral elements is introduced to simulate the calving process of a tidewater glacier. Dilated polyhedrons can be obtained from the Minkowski sum of a sphere and a core polyhedron. These elements can be utilized to generate a continuum ice material, where the interaction force between adjacent elements is modeled by constructing bonds at the joints of the common faces. A hybrid fracture model considering fracture energy is introduced. The viscous creep behavior of glaciers on long-term scales is not considered. By applying buoyancy and gravity to the modelled glacier, DEM results show that the calving process is caused by cracks which are initialized at the top of the glacier and spread to the bottom. The results demonstrate the feasibility of using the dilated polyhedral DEM method in glacier simulations, additionally allowing the fragment size of the breaking fragments to be counted. The relationship between crack propagation and internal stress in the glacier is analyzed during calving process. Through the analysis of the Mises stress and the normal stress between the elements, it is found that geometric changes caused by the glacier calving lead to the redistribution of the stress. The tensile stress between the elements is the main influencing factor of glacier ice failure. In addition, the element shape, glacier base friction and buoyancy are studied, the results show that the glacier model based on the dilated polyhedral DEM is sensitive to the above conditions.</t>
  </si>
  <si>
    <t>[Liu, Lu; Li, Ji; Ji, Shunying] Dalian Univ Technol, State Key Lab Struct Anal Ind Equipment, Dalian 116024, Peoples R China; [Sun, Qizhen; Li, Chunhua] Natl Marine Environm Forecasting Ctr, Beijing 100081, Peoples R China; [Cook, Sue] Univ Tasmania, Inst Marine &amp; Antarctic Studies, Hobart, Tas 7001, Australia</t>
  </si>
  <si>
    <t>Dalian University of Technology; National Marine Environmental Forecasting Center; University of Tasmania</t>
  </si>
  <si>
    <t>Ji, SY (corresponding author), Dalian Univ Technol, State Key Lab Struct Anal Ind Equipment, Dalian 116024, Peoples R China.</t>
  </si>
  <si>
    <t>jisy@dlut.edu.cn</t>
  </si>
  <si>
    <t>li, mengyang/JWO-9551-2024; Sun, Qizhen/JCE-6070-2023; Huang, Yu/KDM-9182-2024; Cook, Sue/E-8390-2018</t>
  </si>
  <si>
    <t>Cook, Sue/0000-0001-9878-4218</t>
  </si>
  <si>
    <t>National Key R&amp;D Program of China [2018YFA0605902, 2016YFC1402705, 2016YFC1402706, 2016YFC1401505]; National Natural Science Foundation of China [41576179, 51639004]; Australian Research Council's Special Research Initiative for Antarctic Gateway Partnership [SR140300001]; China Postdoctoral Science Foundation [2020M670746]</t>
  </si>
  <si>
    <t>National Key R&amp;D Program of China; National Natural Science Foundation of China(National Natural Science Foundation of China (NSFC)); Australian Research Council's Special Research Initiative for Antarctic Gateway Partnership(Australian Research Council); China Postdoctoral Science Foundation(China Postdoctoral Science Foundation)</t>
  </si>
  <si>
    <t>The National Key R&amp;D Program of China under contract Nos 2018YFA0605902, 2016YFC1402705, 2016YFC1402706 and 2016YFC1401505; the National Natural Science Foundation of China under contract Nos 41576179 and 51639004; the fund of Australian Research Council's Special Research Initiative for Antarctic Gateway Partnership under contract No. SR140300001; the China Postdoctoral Science Foundation under contract No. 2020M670746.</t>
  </si>
  <si>
    <t>10.1007/s13131-021-1819-x</t>
  </si>
  <si>
    <t>WOS:000693075700013</t>
  </si>
  <si>
    <t>Bazzichetto, M; Massol, F; Carboni, M; Lenoir, J; Lembrechts, JJ; Joly, R; Renault, D</t>
  </si>
  <si>
    <t>Bazzichetto, Manuele; Massol, Francois; Carboni, Marta; Lenoir, Jonathan; Lembrechts, Jonas J.; Joly, Remi; Renault, David</t>
  </si>
  <si>
    <t>Once upon a time in the far south: Influence of local drivers and functional traits on plant invasion in the harsh sub-Antarctic islands</t>
  </si>
  <si>
    <t>JOURNAL OF VEGETATION SCIENCE</t>
  </si>
  <si>
    <t>alien plants; anthropogenic propagule pressure; cold environments; human disturbances; plant invasiveness; species distribution models; topoclimate</t>
  </si>
  <si>
    <t>SPECIES DISTRIBUTION MODELS; BIOLOGICAL INVASIONS; PROPAGULE PRESSURE; DISTURBANCE; DISPERSAL; HANDBOOK; IMPACTS; ECOLOGY; SEED</t>
  </si>
  <si>
    <t>Aim Here, we aim to: (a) investigate the local effect of environmental and anthropogenic factors on alien plant invasion in sub-Antarctic islands; and (b) explore whether and how functional traits affect alien species dependence on anthropogenic factors in these environments. Location Possession Island, Crozet archipelago (French sub-Antarctic islands). Methods Single-species distribution models were used to explore the effect of high-resolution topoclimatic and human-related variables on the occurrence of six alien plants colonizing French sub-Antarctic islands. Furthermore, plant responses to human-related variables and the effect of those variables in interaction with plant traits were analysed by means of a multi-species distribution model. This allowed identifying functional features mediating the influence of human activities on the occurrence probability of alien plant species. Results We observed two main invasion patterns: (a) species predicted to occur close to the introduction sites, whose occurrence probability appeared to be strongly affected by anthropogenic factors; and (b) species predicted to occur nearly everywhere on Possession Island, except in areas featuring particularly harsh climatic conditions. Differences in the influence of human-related variables on the occurrence of the alien species were mostly related to their life history, plant height and residence time, with perennial and low-statured species introduced earlier appearing less dependent on human-induced dispersal and disturbance. Conclusions We conclude that both topoclimatic and anthropogenic factors affect plant invasion on sub-Antarctic islands. Specifically, species predicted to occur close to their introduction sites appear much more dependent on human presence and activity, potentially due to the lack of key functional traits allowing them to spread successfully across Possession Island under the harsh sub-Antarctic climate. Yet, particularly severe abiotic conditions are a major constraint which equally limits the occurrence of all alien plants, irrespective of their dependence on anthropogenic factors.</t>
  </si>
  <si>
    <t>[Bazzichetto, Manuele; Joly, Remi; Renault, David] Univ Rennes, UMR 6553, CNRS, EcoBio Ecosyst Biodiversite Evolut, F-35000 Rennes, France; [Massol, Francois] Univ Lille, CNRS, INSERM,Ctr Infect &amp; Immun Lille, CHU Lille,Inst Pasteur Lille,U1019,UMR 9017,CIIL, Lille, France; [Carboni, Marta] Univ Roma Tre, Dept Sci, Rome, Italy; [Lenoir, Jonathan] Univ Picardie Jules Verne, Ecol &amp; Dynam Syst Anthropises EDYSAN, UMR CNRS 7058, Amiens, France; [Lembrechts, Jonas J.] Univ Antwerp, Res Grp PLECO Plants &amp; Ecosyst, Antwerp, Belgium; [Renault, David] Inst Univ France, Paris 05, France</t>
  </si>
  <si>
    <t>Centre National de la Recherche Scientifique (CNRS); CNRS - Institute of Ecology &amp; Environment (INEE); Universite de Rennes; Institut National de la Sante et de la Recherche Medicale (Inserm); Pasteur Network; Universite de Lille; Institut Pasteur Lille; CHU Lille; Centre National de la Recherche Scientifique (CNRS); Italfarmaco; Roma Tre University; Universite de Picardie Jules Verne (UPJV); University of Antwerp; Institut Universitaire de France</t>
  </si>
  <si>
    <t>Bazzichetto, M (corresponding author), Univ Rennes, UMR 6553, CNRS, EcoBio Ecosyst Biodiversite Evolut, F-35000 Rennes, France.</t>
  </si>
  <si>
    <t>manuele.bazzichetto@gmail.com</t>
  </si>
  <si>
    <t>Lembrechts, Jonas/E-7651-2014; Bazzichetto, Manuele/K-5616-2019; Carboni, Marta/A-2658-2012; Lenoir, Jonathan/AAE-8441-2019; Massol, Francois/D-9872-2013</t>
  </si>
  <si>
    <t>Bazzichetto, Manuele/0000-0002-9874-5064; Carboni, Marta/0000-0002-9348-4758; Lenoir, Jonathan/0000-0003-0638-9582; Lembrechts, Jonas/0000-0002-1933-0750; Massol, Francois/0000-0002-4098-955X</t>
  </si>
  <si>
    <t>French Polar Institute Paul-Emile Victor IPEV 136 Subanteco; Institut Universitaire de France (IUF)  ENVIE; Strategie d'attractivite durable (SAD) Region Bretagne INFLICT [17050]; ASICS project [ANR-20-EBI5-0004]; Research Foundation Flanders (FWO) [OZ7828]; Rita Levi-Montalcini grant; Agence Nationale de la Recherche (ANR) [ANR-20-EBI5-0004] Funding Source: Agence Nationale de la Recherche (ANR)</t>
  </si>
  <si>
    <t>French Polar Institute Paul-Emile Victor IPEV 136 Subanteco; Institut Universitaire de France (IUF)  ENVIE; Strategie d'attractivite durable (SAD) Region Bretagne INFLICT; ASICS project; Research Foundation Flanders (FWO)(FWO); Rita Levi-Montalcini grant; Agence Nationale de la Recherche (ANR)(Agence Nationale de la Recherche (ANR))</t>
  </si>
  <si>
    <t>Project received grants from the French Polar Institute Paul-Emile Victor IPEV 136 Subanteco, the Institut Universitaire de France (IUF)  ENVIE, the Strategie d'attractivite durable (SAD, 17050) Region Bretagne INFLICT, and from the ASICS project (ANR-20-EBI5-0004, BiodivERsA, BiodivClim call 2019-2020). JJL is funded by the Research Foundation Flanders (FWO, project OZ7828), MC by a Rita Levi-Montalcini grant.</t>
  </si>
  <si>
    <t>1100-9233</t>
  </si>
  <si>
    <t>1654-1103</t>
  </si>
  <si>
    <t>J VEG SCI</t>
  </si>
  <si>
    <t>J. Veg. Sci.</t>
  </si>
  <si>
    <t>e13057</t>
  </si>
  <si>
    <t>10.1111/jvs.13057</t>
  </si>
  <si>
    <t>Plant Sciences; Ecology; Forestry</t>
  </si>
  <si>
    <t>Plant Sciences; Environmental Sciences &amp; Ecology; Forestry</t>
  </si>
  <si>
    <t>UI8VO</t>
  </si>
  <si>
    <t>Green Submitted, Green Published</t>
  </si>
  <si>
    <t>WOS:000690877500017</t>
  </si>
  <si>
    <t>Brown, S; Jenkins, K; Goodwin, P; Lincke, D; Vafeidis, AT; Tol, RSJ; Jenkins, R; Warren, R; Nicholls, RJ; Jevrejeva, S; Arcilla, AS; Haigh, ID</t>
  </si>
  <si>
    <t>Brown, Sally; Jenkins, Katie; Goodwin, Philip; Lincke, Daniel; Vafeidis, Athanasios T.; Tol, Richard S. J.; Jenkins, Rhosanna; Warren, Rachel; Nicholls, Robert J.; Jevrejeva, Svetlana; Arcilla, Agustin Sanchez; Haigh, Ivan D.</t>
  </si>
  <si>
    <t>Global costs of protecting against sea-level rise at 1.5 to 4.0 °C</t>
  </si>
  <si>
    <t>CLIMATIC CHANGE</t>
  </si>
  <si>
    <t>Sea-level rise; Adaptation; Dike; Cost; Damage</t>
  </si>
  <si>
    <t>ANTARCTIC ICE-SHEET; CLIMATE-CHANGE; 2.0-DEGREES-C RISE; VULNERABILITY; MITIGATION; SCENARIOS; MODEL; 1.5-DEGREES-C; TEMPERATURES; ADAPTATION</t>
  </si>
  <si>
    <t>Sea levels will rise, even with stringent climate change mitigation. Mitigation will slow the rate of rise. There is limited knowledge on how the costs of coastal protection vary with alternative global warming levels of 1.5 to 4.0 degrees C. Analysing six sea-level rise scenarios (0.74 to 1.09 m, 50th percentile) across these warming levels, and five Shared Socioeconomic Pathways, this paper quantifies the economic costs of flooding and protection due to sea-level rise using the Dynamic Interactive Vulnerability Assessment (DIVA) modelling framework. Results are presented for World Bank income groups and five selected countries from the present to 2100. Annual sea flood damage costs without additional adaptation are more influenced by socio-economic development than sea-level rise, indicating that there are opportunities to control risk with development choices. In contrast, annual sea dike investment costs are more dependent on the magnitude of sea-level rise. In terms of total costs with adaptation, upper middle, low middle and low income groups are projected to have higher relative costs as a proportion of GDP compared with high income groups. If low income countries protected now, flood costs could be reduced after 2050 and beyond. However, without further adaptation, their coasts will experience growing risks and costs leaving them increasingly reliant on emergency response measures. Without mitigation or adaptation, greater inequalities in damage costs between income groups could result. At country level, annual sea flood damage costs without additional adaptation are projected to rapidly increase with approximately 0.2 m of sea-level rise, leaving limited time to plan and adapt.</t>
  </si>
  <si>
    <t>[Brown, Sally] Bournemouth Univ, Dept Life &amp; Environm Sci, Bournemouth, Dorset, England; [Jenkins, Katie; Jenkins, Rhosanna; Warren, Rachel; Nicholls, Robert J.] Univ East Anglia, Sch Environm Sci, Tyndall Ctr Climate Change Res, Norwich, Norfolk, England; [Goodwin, Philip; Haigh, Ivan D.] Univ Southampton, Sch Ocean &amp; Earth Sci, Southampton, Hants, England; [Lincke, Daniel] Global Climate Forum, Berlin, Germany; [Vafeidis, Athanasios T.] Univ Kiel, Inst Geog, Kiel, Germany; [Tol, Richard S. J.] Univ Sussex, Dept Econ, Falmer, England; [Tol, Richard S. J.] Vrije Univ, Inst Environm Studies, Amsterdam, Netherlands; [Tol, Richard S. J.] Vrije Univ, Dept Spatial Econ, Amsterdam, Netherlands; [Jevrejeva, Svetlana] Ctr Climate Res Singapore, 36 Kim Chuan Rd, Singapore 537054, Singapore; [Jevrejeva, Svetlana] Natl Oceanog Ctr, 6 Brownlow St, Liverpool L3 5DA, Merseyside, England; [Arcilla, Agustin Sanchez] Univ Politecn Cataluna, Barcelona, Spain</t>
  </si>
  <si>
    <t>Bournemouth University; University of East Anglia; University of Southampton; NERC National Oceanography Centre; University of Kiel; University of Sussex; Vrije Universiteit Amsterdam; Vrije Universiteit Amsterdam; NERC National Oceanography Centre; Universitat Politecnica de Catalunya</t>
  </si>
  <si>
    <t>Brown, S (corresponding author), Bournemouth Univ, Dept Life &amp; Environm Sci, Bournemouth, Dorset, England.</t>
  </si>
  <si>
    <t>browns@bournemouth.ac.uk</t>
  </si>
  <si>
    <t>Brown, Sally/I-2662-2014; Vafeidis, Athanasios Thomas/Z-6053-2019; Warren, Rachel/G-9997-2011; Nicholls, Robert James/G-3898-2010; Tol, Richard/JOZ-9904-2023; Haigh, Ivan D/A-6575-2010; Jenkins, Katie/HLH-0239-2023; Jenkins, Rhosanna/KEH-0761-2024</t>
  </si>
  <si>
    <t>Brown, Sally/0000-0003-1185-1962; Vafeidis, Athanasios Thomas/0000-0002-3906-5544; Nicholls, Robert James/0000-0002-9715-1109; Jenkins, Rhosanna/0000-0001-7970-5262; Lincke, Daniel/0000-0003-4250-5077; Goodwin, Philip/0000-0002-2575-8948; Jenkins, Katie/0000-0002-6740-5139; Warren, Rachel/0000-0002-0122-1599</t>
  </si>
  <si>
    <t>Department for Business, Energy and Industrial Strategy (BEIS) under contract UK SBS [CR18083]; European Union's Seventh Programme for Research, Technological Development and Demonstration [603396]</t>
  </si>
  <si>
    <t>Department for Business, Energy and Industrial Strategy (BEIS) under contract UK SBS; European Union's Seventh Programme for Research, Technological Development and Demonstration(European Union (EU))</t>
  </si>
  <si>
    <t>SB, PG, KJ, RJ and RW were funded by the Department for Business, Energy and Industrial Strategy (BEIS) under contract UK SBS CR18083. ASA, SB, SJ, DL, RN, RT and AV were funded by the European Union's Seventh Programme for Research, Technological Development and Demonstration under grant agreement no. 603396 (RISES-AM project).</t>
  </si>
  <si>
    <t>0165-0009</t>
  </si>
  <si>
    <t>1573-1480</t>
  </si>
  <si>
    <t>Clim. Change</t>
  </si>
  <si>
    <t>10.1007/s10584-021-03130-z</t>
  </si>
  <si>
    <t>UJ8XX</t>
  </si>
  <si>
    <t>Green Accepted, hybrid, Green Published</t>
  </si>
  <si>
    <t>WOS:000691563600001</t>
  </si>
  <si>
    <t>Costa, MDP; Wilson, KA; Dyer, PJ; Pitcher, R; Muelbert, JH; Richardson, AJ</t>
  </si>
  <si>
    <t>Costa, Micheli D. P.; Wilson, Kerrie A.; Dyer, Philip J.; Pitcher, Roland; Muelbert, Jose H.; Richardson, Anthony J.</t>
  </si>
  <si>
    <t>Potential future climate-induced shifts in marine fish larvae and harvested fish communities in the subtropical southwestern Atlantic Ocean (vol 165, pg 1, 2021)</t>
  </si>
  <si>
    <t>[Costa, Micheli D. P.] Deakin Univ, Ctr Integrat Ecol, Sch Life &amp; Environm Sci, Geelong, Vic 3216, Australia; [Wilson, Kerrie A.] Queensland Univ Technol, Brisbane, Qld, Australia; [Dyer, Philip J.; Richardson, Anthony J.] Univ Queensland, Sch Math &amp; Phys, St Lucia, Qld 4072, Australia; [Pitcher, Roland; Richardson, Anthony J.] Commonwealth Sci &amp; Ind Res Org CSIRO Oceans &amp; Atm, Queensland Biosci Precinct, Brisbane, Qld 4067, Australia; [Muelbert, Jose H.] Univ Fed Rio Grande, Inst Oceanog, Lab Ecol Ictioplancton, Ave Italia Km 8, BR-96203900 Rio Grande, RS, Brazil; [Muelbert, Jose H.] Univ Tasmania UTAS, Inst Marine &amp; Antarctic Sci IMAS, Private Bag 129, Hobart, Tas 7001, Australia</t>
  </si>
  <si>
    <t>Deakin University; Queensland University of Technology (QUT); University of Queensland; Commonwealth Scientific &amp; Industrial Research Organisation (CSIRO); Universidade Federal do Rio Grande; University of Tasmania</t>
  </si>
  <si>
    <t>Costa, MDP (corresponding author), Deakin Univ, Ctr Integrat Ecol, Sch Life &amp; Environm Sci, Geelong, Vic 3216, Australia.</t>
  </si>
  <si>
    <t>micheli.costa@deakin.edu.au; kerrie.wilson@qut.edu.au; uqpdyer@uq.edu.au; roland.pitcher@csiro.au; docjhm@furg.br; anthony.richardson@csiro.au</t>
  </si>
  <si>
    <t>Dyer, Philip James/ITV-0574-2023</t>
  </si>
  <si>
    <t>Dyer, Philip James/0000-0001-5299-1895</t>
  </si>
  <si>
    <t>10.1007/s10584-021-03156-3</t>
  </si>
  <si>
    <t>WOS:000691563600002</t>
  </si>
  <si>
    <t>Cavalcanti, IFA; Barreto, NJC; Alvarez, MS; Osman, M; Coelho, CAS</t>
  </si>
  <si>
    <t>Cavalcanti, Iracema F. A.; Barreto, Naurinete J. C.; Alvarez, Mariano S.; Osman, Marisol; Coelho, Caio A. S.</t>
  </si>
  <si>
    <t>Teleconnection patterns in the Southern Hemisphere represented by ECMWF and NCEP S2S project models and influences on South America precipitation</t>
  </si>
  <si>
    <t>METEOROLOGICAL APPLICATIONS</t>
  </si>
  <si>
    <t>precipitation anomaly; PSA; S2S; SAM; South America; sub-seasonal predictions; teleconnections</t>
  </si>
  <si>
    <t>ANTARCTIC OSCILLATION; EXTREME PRECIPITATION; INTERANNUAL ACTIVITY; SOUTHEASTERN BRAZIL; DECEMBER 2013; HEAT-WAVE; VARIABILITY; PACIFIC; SUMMER; CIRCULATION</t>
  </si>
  <si>
    <t>Precipitation predictions in the sub-seasonal timescale are very important for several sectors such as agriculture and energy in regions of South America that are very much affected by precipitation extremes, both excess and lack of rain. The aim of the present study is to investigate the ability of two S2S project models (ECMWF and NCEP) to detect the Southern Hemisphere teleconnections in model hindcasts and the associated anomalous precipitation over South America. The period of analyses is 1999-2010 for the austral summer season (December-January-February). Both models represented adequately the Southern Annular Mode (SAM) pattern in predictions up to 4 weeks ahead and the Pacific South America (PSA) pattern up to 3 weeks. Atmospheric variables of observed extreme cases of SAM were well predicted by the two models, 2 and 3 weeks in advance. The models predicted well atmospheric variables in observed extreme cases of PSA, 2 weeks in advance and with less intensity in the third week. Precipitation anomaly signals associated with these modes were well predicted 2 weeks in advance, although with different intensities. The good ability of the models hindcast in predicting teleconnection patterns and precipitation anomalies over South America provides more confidence to use predictions at sub-seasonal timescale.</t>
  </si>
  <si>
    <t>[Cavalcanti, Iracema F. A.; Barreto, Naurinete J. C.; Coelho, Caio A. S.] Natl Inst Space Res INPE, Ctr Weather Forecast &amp; Climate Studies CPTEC, Sao Paulo, SP, Brazil; [Alvarez, Mariano S.; Osman, Marisol] Univ Buenos Aires, Dept Ciencias Atmosfera &amp; Oceans DCAO FCEN UBA, Fac Ciencias Exactas &amp; Nat, Buenos Aires, DF, Argentina; [Alvarez, Mariano S.; Osman, Marisol] Univ Buenos Aires, Ctr Invest Mar &amp; Atmosfera CIMA, CONICET, Buenos Aires, DF, Argentina; [Alvarez, Mariano S.; Osman, Marisol] CNRS IRD CONICET UBA, Inst Franco Argentino Estudio Clima &amp; Sus Impacto, Buenos Aires, DF, Argentina</t>
  </si>
  <si>
    <t>Instituto Nacional de Pesquisas Espaciais (INPE); University of Buenos Aires; University of Buenos Aires; Consejo Nacional de Investigaciones Cientificas y Tecnicas (CONICET)</t>
  </si>
  <si>
    <t>Cavalcanti, IFA (corresponding author), INPE, Av Astronautas 1758, Sao Jose Dos Campos, SP, Brazil.</t>
  </si>
  <si>
    <t>iracema.cavalcanti@inpe.br</t>
  </si>
  <si>
    <t>Barreto, Naurinete/HRA-1988-2023; Osman, Marisol/CAE-6713-2022</t>
  </si>
  <si>
    <t>Barreto, Naurinete/0000-0001-5167-6228; Osman, Marisol/0000-0002-6275-1454; Alvarez, Mariano Sebastian/0000-0001-5134-5250</t>
  </si>
  <si>
    <t>Fundacao de Amparo a Pesquisa do Estado de Sao Paulo-CLIMAX-Belmont Forum [2015/50687-8]; Proyectos de Investigacion Cientifica y Tecnologica [2018-03046]; UBACyT Project [20020170100428BA]</t>
  </si>
  <si>
    <t>Fundacao de Amparo a Pesquisa do Estado de Sao Paulo-CLIMAX-Belmont Forum; Proyectos de Investigacion Cientifica y Tecnologica; UBACyT Project</t>
  </si>
  <si>
    <t>Fundacao de Amparo a Pesquisa do Estado de Sao Paulo-CLIMAX-Belmont Forum, Grant/Award Number: 2015/50687-8; Proyectos de Investigacion Cientifica y Tecnologica, Grant/Award Number: 2018-03046; UBACyT Project, Grant/Award Number: 20020170100428BA</t>
  </si>
  <si>
    <t>1350-4827</t>
  </si>
  <si>
    <t>1469-8080</t>
  </si>
  <si>
    <t>METEOROL APPL</t>
  </si>
  <si>
    <t>Meteorol. Appl.</t>
  </si>
  <si>
    <t>e2011</t>
  </si>
  <si>
    <t>10.1002/met.2011</t>
  </si>
  <si>
    <t>UI7PP</t>
  </si>
  <si>
    <t>WOS:000690794400002</t>
  </si>
  <si>
    <t>Kim, SH; Lee, SJ; Jo, E; Kim, J; Kim, JU; Kim, JH; Park, H; Chi, YM</t>
  </si>
  <si>
    <t>Kim, Sun-Hee; Lee, Seung-Jae; Jo, Euna; Kim, Jangyeon; Kim, Jong-U; Kim, Jeong-Hoon; Park, Hyun; Chi, Young-Min</t>
  </si>
  <si>
    <t>Genome of the Southern Giant Petrel Assembled Using Third-Generation DNA Sequencing and Linked Reads Reveals Evolutionary Traits of Southern Avian</t>
  </si>
  <si>
    <t>southern giant petrel; Macronectes giganteus; genome assembly; annotation; PacBio sequencing; 10x Genomics Chromium technology</t>
  </si>
  <si>
    <t>DE-NOVO IDENTIFICATION; MACRONECTES-GIGANTEUS; ANNOTATION; ALIGNMENT; SELECTION; FAMILIES; PROGRAM; HALLI</t>
  </si>
  <si>
    <t>Simple Summary The southern giant petrel Macronectes giganteus is one of key species on the Antarctic and sub-Antarctic regions. We reported the whole genome of M. giganteus for understanding the evolutionary mechanisms on Antarctic environments and for studying a more effective genetic monitoring of threatened species. The M. giganteus genome was 1.248 Gb in size with a scaffold N50 length of 27.4 Mb and a longest scaffold length of 120.4 Mb, and its genome contains 14,993 predicted protein-coding genes. The estimated historical effective population size of southern giant petrel underwent a severe reduction during a period coinciding with the early Pleistocene. The M. giganteus showed genomic expansion related to maintenance of energy homeostasis, being essential for survival and effective functioning in cold environments. Moreover, we employed a classification of microsatellite markers for studying the genetic diversity within and among populations. Genomic research of this first Antarctic bird helps to address the environmental adaptation and evolution of avian species. The southern giant petrel Macronectes giganteus, a large seabird of the southern oceans, is one of only two members of the genus Macronectes and is the largest species in the order Procellariiformes. Although these two families account for the vast majority of the avian fauna inhabiting the Antarctic and sub-Antarctic regions, studies on the status of some populations and the associated genetic data are currently extremely limited. In this study, we assembled the genome of M. giganteus by integrating Pacific Biosciences single-molecule real-time sequencing and the Chromium system developed by 10x Genomics. The final M. giganteus genome assembly was 1.248 Gb in size with a scaffold N50 length of 27.4 Mb and a longest scaffold length of 120.4 Mb. The M. giganteus genome contains 14,993 predicted protein-coding genes and has 11.06% repeat sequences. Estimated historical effective population size analysis indicated that the southern giant petrel underwent a severe reduction in effective population size during a period coinciding with the early Pleistocene. The availability of this newly sequenced genome will facilitate more effective genetic monitoring of threatened species. Furthermore, the genome will provide a valuable resource for gene functional studies and further comparative genomic studies on the life history and ecological traits of specific avian species.</t>
  </si>
  <si>
    <t>[Kim, Sun-Hee; Lee, Seung-Jae; Jo, Euna; Kim, Jangyeon; Park, Hyun; Chi, Young-Min] Korea Univ, Coll Life Sci &amp; Biotechnol, Dept Biotechnol, Seoul 02841, South Korea; [Kim, Sun-Hee] Greenwitch Co, 20,Jeungpyeong 2 Sandan Ro, Doan Myeon 27902, Eungpyeong, South Korea; [Jo, Euna; Kim, Jong-U; Kim, Jeong-Hoon] Korea Polar Res Inst KOPRI, Div Life Sci, Incheon 21990, South Korea</t>
  </si>
  <si>
    <t>Park, H; Chi, YM (corresponding author), Korea Univ, Coll Life Sci &amp; Biotechnol, Dept Biotechnol, Seoul 02841, South Korea.;Kim, JH (corresponding author), Korea Polar Res Inst KOPRI, Div Life Sci, Incheon 21990, South Korea.</t>
  </si>
  <si>
    <t>choihjdy@gmail.com; skullcap@korea.ac.kr; eunajo@kopri.re.kr; bryan0413@naver.com; sgj964970@gmail.com; jhkim94@kopri.re.kr; hpark@korea.ac.kr; ezeg@korea.ac.kr</t>
  </si>
  <si>
    <t>Jo, Euna/0000-0003-2666-6743; KIM, JONG-U/0000-0001-7790-1817; Kim, Jeong-Hoon/0000-0002-2397-2668; Lee, Seungjae/0000-0002-2404-3107; Park, Hyun/0000-0002-8055-2010</t>
  </si>
  <si>
    <t>Ecosystem Structure and Function of Marine Protected Area (MPA) in Antarctica project [PM21060]; Ministry of Oceans and Fisheries [20170336]; Korea University grant</t>
  </si>
  <si>
    <t>Ecosystem Structure and Function of Marine Protected Area (MPA) in Antarctica project; Ministry of Oceans and Fisheries; Korea University grant</t>
  </si>
  <si>
    <t>This research was supported by the Ecosystem Structure and Function of Marine Protected Area (MPA) in Antarctica project (PM21060), a grant from the Ministry of Oceans and Fisheries (20170336), and a Korea University grant.</t>
  </si>
  <si>
    <t>10.3390/ani11072046</t>
  </si>
  <si>
    <t>UB9FN</t>
  </si>
  <si>
    <t>WOS:000686143400001</t>
  </si>
  <si>
    <t>Heiser, S; Shilling, AJ; Amsler, CD; McClintock, JB; Krueger-Hadfield, SA; Baker, BJ</t>
  </si>
  <si>
    <t>Heiser, Sabrina; Shilling, Andrew J.; Amsler, Charles D.; McClintock, James B.; Krueger-Hadfield, Stacy A.; Baker, Bill J.</t>
  </si>
  <si>
    <t>CONNECTIVITY OF THE ANTARCTIC RED SEAWEED PLOCAMIUM SP. AND THE DISTRIBUTION OF ITS DEFENSIVE METABOLITE DIVERSITY</t>
  </si>
  <si>
    <t>PHYCOLOGIA</t>
  </si>
  <si>
    <t>Plocamium; chemodiversity; polar</t>
  </si>
  <si>
    <t>[Heiser, Sabrina; Amsler, Charles D.; McClintock, James B.; Krueger-Hadfield, Stacy A.] Univ Alabama Birmingham, Campbell Hall 464,1300 Univ Blvd, Birmingham, AL 35294 USA; [Shilling, Andrew J.; Baker, Bill J.] Univ S Florida, Dept Chem, Chem, 4202 E Fowler Ave,CHE 205, Tampa, FL 33620 USA</t>
  </si>
  <si>
    <t>University of Alabama System; University of Alabama Birmingham; State University System of Florida; University of South Florida</t>
  </si>
  <si>
    <t>heiser@uab.edu</t>
  </si>
  <si>
    <t>Baker, Bill/N-4312-2019; Krueger-Hadfield, Stacy/AAT-4112-2021</t>
  </si>
  <si>
    <t>Krueger-Hadfield, Stacy/0000-0002-7324-7448</t>
  </si>
  <si>
    <t>0031-8884</t>
  </si>
  <si>
    <t>2330-2968</t>
  </si>
  <si>
    <t>Phycologia</t>
  </si>
  <si>
    <t>TW3ZO</t>
  </si>
  <si>
    <t>WOS:000682342700053</t>
  </si>
  <si>
    <t>Mascioni, M; Almandoz, G; Cusick, A; Pan, JB; Ferrario, M; Vernet, M</t>
  </si>
  <si>
    <t>Mascioni, Martina; Almandoz, Gaston; Cusick, Allison; Pan, Jack B.; Ferrario, Martha; Vernet, Maria</t>
  </si>
  <si>
    <t>THERMAL FRONT IN THE GERLACHE STRAIT REVEALS TWO DISTINCT PHYTOPLANKTON PATTERNS IN NEARSHORE AREAS (64°-65° S, ANTARCTICA)</t>
  </si>
  <si>
    <t>Thermal front; western Antarctic Peninsula; citizen science</t>
  </si>
  <si>
    <t>[Mascioni, Martina; Almandoz, Gaston; Ferrario, Martha] Univ Nacl La Plata, Fac Ciencias Nat &amp; Museo, Div Ficol, La Plata, Buenos Aires, Argentina; [Mascioni, Martina; Almandoz, Gaston; Ferrario, Martha] Consejo Nacl Invest Cient &amp; Tecn CONICET, Buenos Aires, DF, Argentina; [Cusick, Allison; Pan, Jack B.; Vernet, Maria] Univ Calif San Diego, Scripps Inst Oceanog, Integrat Oceanog Div, La Jolla, CA 92093 USA</t>
  </si>
  <si>
    <t>National University of La Plata; Museo La Plata; Consejo Nacional de Investigaciones Cientificas y Tecnicas (CONICET); University of California System; University of California San Diego; Scripps Institution of Oceanography</t>
  </si>
  <si>
    <t>marmascioni@gmail.com</t>
  </si>
  <si>
    <t>WOS:000682342700057</t>
  </si>
  <si>
    <t>Dubrasquet, H; Garrido, I; Bruning, P; Guillemin, ML</t>
  </si>
  <si>
    <t>Dubrasquet, Helene; Garrido, Ignacio; Bruning, Paulina; Guillemin, Marie-Laure</t>
  </si>
  <si>
    <t>MOLECULAR TOOLS REVEAL AMPHIPOLAR DISTRIBUTION FOR VARIOUS ANTARCTIC MARINE GREEN ALGAE</t>
  </si>
  <si>
    <t>Antarctic green algae; barcoding; tufA and rbcL; amphipolar distribution; endemism</t>
  </si>
  <si>
    <t>[Dubrasquet, Helene; Guillemin, Marie-Laure] Univ Austral Chile, Inst Ciencias Ambientales &amp; Evolutivas, Fac Ciencias, Campus Isla Teja, Valdivia, Chile; [Garrido, Ignacio] Univ Austral Chile, Fac Ciencias, Lab Costero Recursos Acuat Calfuco, Campus Isla Teja, Valdivia, Chile; [Bruning, Paulina] Univ Laval, Dept Biol &amp; Quebec Ocean, Quebec City, PQ, Canada; [Garrido, Ignacio; Bruning, Paulina; Guillemin, Marie-Laure] Univ Austral Chile, Ctr FONDAP Invest Dinam Ecosistemas Marinos Altas, Valdivia, Chile; [Guillemin, Marie-Laure] UPMC Univ Paris VI, UMI 3614 Evolutionary Biol &amp; Ecol Algae, Stn Biolog Roscoff, CNRS,Sorbonne Univ,PUC,UACH, CS 90074,Pl G Teissier, F-29680 Roscoff, France</t>
  </si>
  <si>
    <t>Universidad Austral de Chile; Universidad Austral de Chile; Laval University; Universidad Austral de Chile; Sorbonne Universite; Centre National de la Recherche Scientifique (CNRS); CNRS - Institute of Ecology &amp; Environment (INEE)</t>
  </si>
  <si>
    <t>helene.dubrasquet@gmail.com</t>
  </si>
  <si>
    <t>[FONDAPIDEAL 1515003 e INACH RG_15_16]</t>
  </si>
  <si>
    <t>This work received financial supported from two projects led by Dra. Marie-Laure Guillemin: FONDAPIDEAL 1515003 e INACH RG_15_16</t>
  </si>
  <si>
    <t>WOS:000682342700060</t>
  </si>
  <si>
    <t>Macaya, EC</t>
  </si>
  <si>
    <t>Macaya, Erasmo C.</t>
  </si>
  <si>
    <t>FLOATING SEAWEEDS IN FILDES BAY, ANTARCTIC PENINSULA: TRAVELING UNDER EXTREME ENVIRONMENTS</t>
  </si>
  <si>
    <t>Floating seaweed; Antarctica; dispersal</t>
  </si>
  <si>
    <t>[Macaya, Erasmo C.] Univ Concepcion, Dept Oceanog, Fac Ciencias Nat &amp; Oceanog, Chacabuco S-N,Casilla 160C, Concepcion, Chile; [Macaya, Erasmo C.] Res Ctr Dynam High Latitude Marine Ecosystems IDE, Valdivia, Chile</t>
  </si>
  <si>
    <t>Universidad de Concepcion</t>
  </si>
  <si>
    <t>emacaya@oceanografia.udec.cl</t>
  </si>
  <si>
    <t>Macaya, Erasmo C/B-8651-2011</t>
  </si>
  <si>
    <t>FONDAP-IDEAL [15150003]</t>
  </si>
  <si>
    <t>FONDAP-IDEAL</t>
  </si>
  <si>
    <t>FONDAP-IDEAL 15150003</t>
  </si>
  <si>
    <t>WOS:000682342700059</t>
  </si>
  <si>
    <t>Paine, ER; Schmid, M; Hurd, CL; Boyd, PW; Diaz-Pulido, G</t>
  </si>
  <si>
    <t>Paine, Ellie R.; Schmid, Matthias; Hurd, Catriona L.; Boyd, Philip W.; Diaz-Pulido, Guillermo</t>
  </si>
  <si>
    <t>DISSOLVED ORGANIC CARBON RELEASE BY SEAWEEDS UNDER CO2 ENRICHMENT: IMPLICATIONS FOR CCM AND NON-CCM SPECIES UNDER OCEAN ACIDIFICATION</t>
  </si>
  <si>
    <t>Ocean acidification; dissolved organic carbon; macroalgae</t>
  </si>
  <si>
    <t>[Paine, Ellie R.; Schmid, Matthias; Hurd, Catriona L.; Boyd, Philip W.] Univ Tasmania, Inst Marine &amp; Antarctic Studies, 20 Castray Esplanade, Hobart, Tas, Australia; [Diaz-Pulido, Guillermo] Griffith Univ, Sch Environm &amp; Sci, Brisbane, Qld 4111, Australia; [Diaz-Pulido, Guillermo] Griffith Univ, Australian Rivers Inst Coast &amp; Estuaries, Brisbane, Qld 4111, Australia</t>
  </si>
  <si>
    <t>University of Tasmania; Griffith University; Griffith University</t>
  </si>
  <si>
    <t>ellie.paine@utas.edu.au</t>
  </si>
  <si>
    <t>Boyd, Philip W/J-7624-2014; Diaz-Pulido, Guillermo/B-3648-2013; Hurd, Catriona L/J-2411-2013</t>
  </si>
  <si>
    <t>Diaz-Pulido, Guillermo/0000-0002-0901-3727</t>
  </si>
  <si>
    <t>WOS:000682342700140</t>
  </si>
  <si>
    <t>Calderon, MS; Bustamante, DE; Mansilla, A</t>
  </si>
  <si>
    <t>Calderon, Martha S.; Bustamante, Danilo E.; Mansilla, Andres</t>
  </si>
  <si>
    <t>UPDATES ON CORALLINE ALGAE DIVERSITY FROM SUB-ANTARCTIC AND ANTARCTIC REGIONS</t>
  </si>
  <si>
    <t>Sequencing; taxonomy; type specimen</t>
  </si>
  <si>
    <t>[Calderon, Martha S.; Mansilla, Andres] Univ Magallanes, Lab Ecosistemas Marinos Antarticos &amp; Subantartico, Punta Arenas, Chile; [Calderon, Martha S.; Mansilla, Andres] Inst Ecol &amp; Biodivers, Punta Arenas, Chile; [Bustamante, Danilo E.] Univ Nacl Toribio Rodriguez de Mendoza, Inst Invest Desarrollo Sustentable Ceja Selva IND, Lima, Peru</t>
  </si>
  <si>
    <t>Universidad de Magallanes; Universidad Nacional Toribio Rodriguez De Mendoza De Amazonas</t>
  </si>
  <si>
    <t>marthacalderonrios@gmail.com</t>
  </si>
  <si>
    <t>Bustamante, Danilo E./A-8619-2012</t>
  </si>
  <si>
    <t>Bustamante, Danilo E./0000-0002-5979-6993</t>
  </si>
  <si>
    <t>Fondecyt [3180539]; Conicyt PIA Apoyo CCTE through the Instituto de Ecologia y Biodiversidad (IEB) [AFB170008]</t>
  </si>
  <si>
    <t>Fondecyt(Comision Nacional de Investigacion Cientifica y Tecnologica (CONICYT)CONICYT FONDECYT); Conicyt PIA Apoyo CCTE through the Instituto de Ecologia y Biodiversidad (IEB)</t>
  </si>
  <si>
    <t>Fondecyt No 3180539 and Conicyt PIA Apoyo CCTE AFB170008 through the Instituto de Ecologia y Biodiversidad (IEB).</t>
  </si>
  <si>
    <t>WOS:000682342700155</t>
  </si>
  <si>
    <t>Hurd, C; Britton, D; Schmid, M; Gaitan-Espitia, JD; Beardall, J; Raven, JA; Bridle, A</t>
  </si>
  <si>
    <t>Hurd, Catriona; Britton, Damon; Schmid, Matthias; Gaitan-Espitia, Juan-Diego; Beardall, John; Raven, John A.; Bridle, Andrew</t>
  </si>
  <si>
    <t>WILL CO2 ENRICHMENT ENHANCE THE TOLERANCE OF MARINE MACROALGAE TO OCEAN WARMING?</t>
  </si>
  <si>
    <t>Multiple drivers; acclimation; macroalgae</t>
  </si>
  <si>
    <t>[Hurd, Catriona; Britton, Damon; Schmid, Matthias; Bridle, Andrew] Univ Tasmania, Inst Marine &amp; Antarctic Studies, Hobart, Tas, Australia; [Gaitan-Espitia, Juan-Diego] Univ Hong Kong, Fac Sci, Hong Kong, Peoples R China; [Beardall, John] Monash Univ, Sch Biol Sci, Clayton, Vic 3800, Australia; [Raven, John A.] Univ Dundee, Sch Life Sci, Dundee, Scotland</t>
  </si>
  <si>
    <t>University of Tasmania; University of Hong Kong; Monash University; University of Dundee</t>
  </si>
  <si>
    <t>catriona.hurd@utas.edu.au</t>
  </si>
  <si>
    <t>Gaitan-Espitia, Juan Diego/A-9945-2012; Beardall, John/L-5262-2019; Hurd, Catriona L/J-2411-2013; Raven, John/JFS-3447-2023; Bridle, Andrew R/B-4117-2013</t>
  </si>
  <si>
    <t>Gaitan-Espitia, Juan Diego/0000-0001-8781-5736; Beardall, John/0000-0001-7684-446X;</t>
  </si>
  <si>
    <t>ARC [DP 200101467]</t>
  </si>
  <si>
    <t>ARC(Australian Research Council)</t>
  </si>
  <si>
    <t>Supported to ARC DP 200101467 to CLH, JB, JAR, AB, J-DGE</t>
  </si>
  <si>
    <t>WOS:000682342700252</t>
  </si>
  <si>
    <t>Britton, D; Schmid, M; Mundy, C; Noisette, F; Havenhand, J; Paine, E; McGraw, C; Revill, A; Virtue, P; Nichols, P; Hurd, C</t>
  </si>
  <si>
    <t>Britton, Damon; Schmid, Matthias; Mundy, Craig; Noisette, Fanny; Havenhand, Jonothan; Paine, Ellie; McGraw, Christina; Revill, Andrew; Virtue, Patti; Nichols, Peter; Hurd, Catriona</t>
  </si>
  <si>
    <t>CONTRASTING RESPONSES OF TWO KEYSTONE SEAWEEDS TO OCEAN GLOBAL CHANGE IN SOUTHEASTERN AUSTRALIA</t>
  </si>
  <si>
    <t>Marine heatwaves; fatty acids; ocean acidification</t>
  </si>
  <si>
    <t>[Britton, Damon; Schmid, Matthias; Mundy, Craig; Virtue, Patti; Nichols, Peter; Hurd, Catriona] Univ Tasmania, Inst Marine &amp; Antarctic Studies, 20 Castray Esplanade, Battery Point, Australia; [Noisette, Fanny] Univ Quebec, Inst Sci Mer, Rimouski, PQ, Canada; [Havenhand, Jonothan] Univ Gothenburg, Dept Marine Sci, Tjarno Marine Lab, Stromstad, Sweden; [McGraw, Christina] Univ Otago, NIWA, Dept Chem, Res Ctr Oceanog, Dunedin, New Zealand; [Revill, Andrew; Virtue, Patti; Nichols, Peter] CSIRO, Oceans &amp; Atmosphere, Hobart, Tas, Australia</t>
  </si>
  <si>
    <t>University of Tasmania; University of Quebec; University of Gothenburg; University of Otago; Commonwealth Scientific &amp; Industrial Research Organisation (CSIRO)</t>
  </si>
  <si>
    <t>damon.britton@utas.edu.au</t>
  </si>
  <si>
    <t>Hurd, Catriona L/J-2411-2013; Mundy, Craig/G-3390-2014</t>
  </si>
  <si>
    <t>Mundy, Craig/0000-0002-1945-3750</t>
  </si>
  <si>
    <t>WOS:000682342700254</t>
  </si>
  <si>
    <t>Ajani, P; Burke, J; Davies, C; Eriksen, R; Larsson, M; Neilsen, D; Petrou, K; Richardson, A; Murray, S</t>
  </si>
  <si>
    <t>Ajani, Penelope; Burke, Joel; Davies, Claire; Eriksen, Ruth; Larsson, Michaela; Neilsen, Daniel; Petrou, Katherina; Richardson, Anthony; Murray, Shauna</t>
  </si>
  <si>
    <t>TRENDS WITH BENEFITS? PHYTOPLANKTON DYNAMICS UNDER CLIMATE CHANGE AT A LONG TERM PACIFIC OCEAN STATION</t>
  </si>
  <si>
    <t>Phytoplankton; climate change; diatom</t>
  </si>
  <si>
    <t>[Ajani, Penelope; Neilsen, Daniel; Petrou, Katherina; Murray, Shauna] Univ Technol Sydney, Sci, Sch Life Sci, 15 Broadway, Ultimo, NSW 2007, Australia; [Burke, Joel; Larsson, Michaela] Univ Technol Sydney, Sci, Climate Change Cluster, 15 Broadway, Ultimo, NSW 2007, Australia; [Davies, Claire; Eriksen, Ruth] CSIRO Oceans &amp; Atmosphere, Hobart, Tas, Australia; [Eriksen, Ruth] Univ Tasmania, Inst Marine &amp; Antarctic Studies, Hobart, Tas, Australia; [Richardson, Anthony] Univ Queensland, Sch Math &amp; Phys, St Lucia, Qld, Australia</t>
  </si>
  <si>
    <t>University of Technology Sydney; University of Technology Sydney; Commonwealth Scientific &amp; Industrial Research Organisation (CSIRO); University of Tasmania; University of Queensland</t>
  </si>
  <si>
    <t>Penelope.Ajani@uts.edu.au</t>
  </si>
  <si>
    <t>Larsson, Michaela E/A-7807-2017; Davies, Claire H/G-6888-2013; Murray, Shauna A/K-5781-2015</t>
  </si>
  <si>
    <t>Davies, Claire H/0000-0002-0424-1835; Murray, Shauna A/0000-0001-7096-1307; Ajani, Penelope/0000-0001-5364-9936</t>
  </si>
  <si>
    <t>WOS:000682342700259</t>
  </si>
  <si>
    <t>Ghaderiardakani, F; Quartino, ML; Wichard, T</t>
  </si>
  <si>
    <t>Ghaderiardakani, Fatemeh; Liliana Quartino, Maria; Wichard, Thomas</t>
  </si>
  <si>
    <t>IS SEAWEED ADAPTATION TO ENVIRONMENTAL STRESSES DEPENDENT ON ITS MICROBIOME INFOCHEMICALS?</t>
  </si>
  <si>
    <t>Cross-kingdom interactions; adaptation; Ulva mutabilis</t>
  </si>
  <si>
    <t>[Ghaderiardakani, Fatemeh; Wichard, Thomas] Friedrich Schiller Univ Jena, Inst Inorgan &amp; Analyt Chem, Jena, Germany; [Liliana Quartino, Maria] Argentinean Antarctic Inst, Dept Coastal Biol, Buenos Aires, DF, Argentina</t>
  </si>
  <si>
    <t>Friedrich Schiller University of Jena</t>
  </si>
  <si>
    <t>fatemeh.ghaderiardakani@uni-jena.de</t>
  </si>
  <si>
    <t>Wichard, Thomas/C-2794-2009; Ghaderiardakani, Fatemeh/HGB-6725-2022</t>
  </si>
  <si>
    <t>Deutsche Forschungsgemeinschaft (DFG) [SPP 1158]</t>
  </si>
  <si>
    <t>This work was supported by the Deutsche Forschungsgemeinschaft (DFG) in the framework of the priority program (SPP 1158).</t>
  </si>
  <si>
    <t>WOS:000682342700262</t>
  </si>
  <si>
    <t>Greco, C; Andersen, DT; Hawes, I; Bowles, AM; Yallop, ML; Barker, G; Jungblut, AD</t>
  </si>
  <si>
    <t>Greco, Carla; Andersen, Dale T.; Hawes, Ian; Bowles, Alexander M.; Yallop, Marian L.; Barker, Gary; Jungblut, Anne D.</t>
  </si>
  <si>
    <t>MICROBIAL DIVERSITY OF PINNACLE AND CONICAL MICROBIAL MATS IN THE PERENNIALLY ICE-COVERED LAKE UNTERSEE, EAST ANTARCTICA</t>
  </si>
  <si>
    <t>Cyanobacteria; microbial mats; Antarctica</t>
  </si>
  <si>
    <t>[Greco, Carla; Jungblut, Anne D.] Nat Hist Museum, Dept Life Sci, London, England; [Greco, Carla; Yallop, Marian L.; Barker, Gary] Univ Bristol, Sch Biol Sci, Bristol, Avon, England; [Andersen, Dale T.] SETI Inst, Carl Sagan Ctr, Mountain View, CA USA; [Hawes, Ian] Univ Waikato, Coastal Marine Field Stn, Tauranga, New Zealand; [Bowles, Alexander M.] Univ Essex, Sch Life Sci, Colchester, Essex, England</t>
  </si>
  <si>
    <t>Natural History Museum London; University of Bristol; University of Waikato; University of Essex</t>
  </si>
  <si>
    <t>c.greco@nhm.ac.uk</t>
  </si>
  <si>
    <t>, Marian/JSL-4087-2023; Bowles, Alexander/AAS-2646-2021</t>
  </si>
  <si>
    <t>Bowles, Alexander/0000-0002-7487-3811</t>
  </si>
  <si>
    <t>TAWANI Foundation; Trottier Family Foundation; NASA's Exobiology Program [80NSSC18K1094]; Russian Antarctic Expedition; NERC GW4+ DTP [NE/L002434/1]</t>
  </si>
  <si>
    <t>TAWANI Foundation; Trottier Family Foundation; NASA's Exobiology Program(National Aeronautics &amp; Space Administration (NASA)); Russian Antarctic Expedition; NERC GW4+ DTP</t>
  </si>
  <si>
    <t>TAWANI Foundation, the Trottier Family Foundation, NASA's Exobiology Program (80NSSC18K1094) and the Russian Antarctic Expedition. NERC GW4+ DTP [NE/L002434/1].</t>
  </si>
  <si>
    <t>WOS:000682342700300</t>
  </si>
  <si>
    <t>Martín, RPM; Carcedo-Forés, M; Camacho-Bolós, P; García-Aljaro, C; Angulo-Preckler, C; Avila, C; Lluch, JR; Garreta, AG</t>
  </si>
  <si>
    <t>Martin Martin, Rafael Pablo; Carcedo-Fores, Marta; Camacho-Bolos, Pablo; Garcia-Aljaro, Cristina; Angulo-Preckler, Carlos; Avila, Conxita; Rull Lluch, Jordi; Gomez Garreta, Amelia</t>
  </si>
  <si>
    <t>EXPERIMENTAL EVIDENCE OF ANTIMICROBIAL ACTIVITY IN ANTARCTIC SEAWEEDS: ECOLOGICAL CONTEXT AND POTENTIAL APPLICATIONS</t>
  </si>
  <si>
    <t>Antarctica; seaweeds; antimicrobial activity</t>
  </si>
  <si>
    <t>[Martin Martin, Rafael Pablo; Carcedo-Fores, Marta; Camacho-Bolos, Pablo; Rull Lluch, Jordi; Gomez Garreta, Amelia] Univ Barcelona UB, Fac Pharm &amp; Food Sci, Lab Bot, Ave Joan XXIII 27-31, Barcelona 08028, Spain; [Martin Martin, Rafael Pablo; Carcedo-Fores, Marta; Camacho-Bolos, Pablo; Angulo-Preckler, Carlos; Avila, Conxita; Rull Lluch, Jordi; Gomez Garreta, Amelia] Univ Barcelona UB, Biodivers Res Inst IrBIO, Campus Sud Ave Diagonal 643, Barcelona 08028, Spain; [Garcia-Aljaro, Cristina] Univ Barcelona UB, Dept Microbiol, Fac Biol, Ave Diagonal 643, Barcelona 08028, Spain; [Angulo-Preckler, Carlos; Avila, Conxita] Univ Barcelona UB, Dept Evolutionary Biol Ecol &amp; Environm Sci, Fac Biol, Ave Diagonal 643, Barcelona 08028, Catalonia, Spain; [Angulo-Preckler, Carlos] Arctic Univ Norway, Fac Biosci Fisheries &amp; Econ, Norwegian Coll Fishery Sci, UiT, Tromso, Norway</t>
  </si>
  <si>
    <t>University of Barcelona; University of Barcelona; University of Barcelona; University of Barcelona; UiT The Arctic University of Tromso</t>
  </si>
  <si>
    <t>ginkopsida@gmail.com</t>
  </si>
  <si>
    <t>Garcia-Aljaro, C./F-3893-2016; Angulo_Preckler, Carlos/A-6456-2011</t>
  </si>
  <si>
    <t>ACTIQUIM research project [CTM2010-17415]; DISTANTCOM research project [CTM2013-42667/ANT]</t>
  </si>
  <si>
    <t>ACTIQUIM research project; DISTANTCOM research project</t>
  </si>
  <si>
    <t>This work was developed within the frames of the ACTIQUIM and DISTANTCOM (CTM2010-17415, CTM2013-42667/ANT) research projects.</t>
  </si>
  <si>
    <t>WOS:000682342700308</t>
  </si>
  <si>
    <t>Mehri, S; Kolbadi, I; Shirafkan-Ajirlou, H</t>
  </si>
  <si>
    <t>Mehri, Shahram; Kolbadi, Iman; Shirafkan-Ajirlou, Hassan</t>
  </si>
  <si>
    <t>Species Relationship and Population Differentiation in Erodium (Geranaiceae) Species Using SCoT Molecular Markers</t>
  </si>
  <si>
    <t>CYTOLOGY AND GENETICS</t>
  </si>
  <si>
    <t>Keywords; Iran; morphology; species identification; structure</t>
  </si>
  <si>
    <t>GENETIC DIVERSITY; GERANIACEAE; VARIABILITY; GENOTYPE</t>
  </si>
  <si>
    <t>Species identification is fundamentally important within the fields of biology, biogeography, ecology and conservation. Erodium Aiton (Geraniaceae) with 75 species is distributed in all continents except Antarctic. Its main diversification center is Mediterranean region with 62 species. There are 15 annual and perennial Erodium species in Iran. In spite vast distribution of many Erodium species that grow in Iran, there are no available reports on their genetic diversity, mode of divergence and patterns of dispersal. Therefore, we performed molecular (SCoT markers) and morphological studies of 154 accessions from 10 species of Erodium that were collected from different habitats in Iran. AMOVA test provide important genetic variation among the examined populations and showed that, 65% of the overall genetic difference was due to within population diversity, while 35% is because genetic population variability. The aims of present study are: (1) can SCoT markers identify Erodium species, (2) what is the genetic structure of these taxa in Iran, and (3) to investigate the species inter-relationship? The present study revealed that combination of morphological and SCoT markers can identify the species.</t>
  </si>
  <si>
    <t>[Mehri, Shahram; Kolbadi, Iman; Shirafkan-Ajirlou, Hassan] Islamic Azad Univ, ParsAbad Moghan Branch, Dept Agron &amp; Plant Breeding, Parsabad Moghan, Iran</t>
  </si>
  <si>
    <t>Islamic Azad University</t>
  </si>
  <si>
    <t>Mehri, S (corresponding author), Islamic Azad Univ, ParsAbad Moghan Branch, Dept Agron &amp; Plant Breeding, Parsabad Moghan, Iran.</t>
  </si>
  <si>
    <t>sh.mehri2000@gmail.com</t>
  </si>
  <si>
    <t>0095-4527</t>
  </si>
  <si>
    <t>1934-9440</t>
  </si>
  <si>
    <t>CYTOL GENET+</t>
  </si>
  <si>
    <t>Cytol. Genet.</t>
  </si>
  <si>
    <t>10.3103/S0095452721040095</t>
  </si>
  <si>
    <t>Genetics &amp; Heredity</t>
  </si>
  <si>
    <t>TS7LW</t>
  </si>
  <si>
    <t>WOS:000679829100009</t>
  </si>
  <si>
    <t>Bates, HC; Hanna, KLD; King, AJ; Bowles, NE; Russell, SS</t>
  </si>
  <si>
    <t>Bates, H. C.; Hanna, K. L. Donaldson; King, A. J.; Bowles, N. E.; Russell, S. S.</t>
  </si>
  <si>
    <t>A Spectral Investigation of Aqueously and Thermally Altered CM, CM-An, and CY Chondrites Under Simulated Asteroid Conditions for Comparison With OSIRIS-REx and Hayabusa2 Observations</t>
  </si>
  <si>
    <t>JOURNAL OF GEOPHYSICAL RESEARCH-PLANETS</t>
  </si>
  <si>
    <t>asteroids; aqueous alteration; meteorites; spectroscopy; thermal alteration</t>
  </si>
  <si>
    <t>INFRARED-EMISSION SPECTROSCOPY; X-RAY-DIFFRACTION; CARBONACEOUS CHONDRITES; MODAL MINERALOGY; MU-M; REFLECTANCE SPECTRA; CI CHONDRITES; WATER; METAMORPHISM; HISTORY</t>
  </si>
  <si>
    <t>Volatile-rich asteroids are crucial to understanding the transport of water and organics to the terrestrial planet forming region in the early Solar System. Observations of two such asteroids by Hayabusa2 and Origins, Spectral Interpretation, Resource Identification, Security, Regolith Explorer (OSIRIS-REx) suggest a relationship between these bodies and CI, CM, and CY chondrites. To confirm this, meteorite spectra need to be collected under appropriate conditions for comparison with asteroid observations. We report midinfrared (MIR) emissivity spectra (5.5-50 mu m) obtained under ambient and simulated asteroid environment conditions and near-infrared (NIR) reflectance spectra (2-5 mu m) of CM and CY chondrite fine-particulate (&lt;35 mu m) powders for which bulk mineralogy was determined using X-ray diffraction. Reflectance spectra show a 3 mu m feature associated with -OH/H2O that shifts from shorter (similar to 2.72 mu m) to longer (similar to 2.90 mu m) wavelengths and develops a rounder shape and reduced band area with increasing thermal metamorphism. In the MIR, the transparency feature (TF) and features in the Si-O bending region (&gt;15 mu m) can be used to infer the relative degree of aqueous alteration, and to resolve the effects of aqueous and thermal alteration, when combined with NIR spectral parameters. The MIR spectra of metamorphosed CY chondrites are distinct from CM chondrite spectra, including a plateau around the Christiansen feature (similar to 8.00-12.50 mu m) and features at longer wavelengths in the Si-O bending region (e.g., similar to 25.50 mu m compared to similar to 24.30 mu m in the CM spectra). We additionally report potential implications of the spectra and parameters determined in this study for the results from Hayabusa2 and OSIRIS-REx.</t>
  </si>
  <si>
    <t>[Bates, H. C.; King, A. J.; Russell, S. S.] Nat Hist Museum, Dept Earth Sci, London, England; [Bates, H. C.; Hanna, K. L. Donaldson; Bowles, N. E.] Univ Oxford, Atmospher Ocean &amp; Planetary Phys, Oxford, England; [Hanna, K. L. Donaldson] Univ Cent Florida, Dept Phys, Orlando, FL USA</t>
  </si>
  <si>
    <t>Natural History Museum London; University of Oxford; State University System of Florida; University of Central Florida</t>
  </si>
  <si>
    <t>Bates, HC (corresponding author), Nat Hist Museum, Dept Earth Sci, London, England.;Bates, HC (corresponding author), Univ Oxford, Atmospher Ocean &amp; Planetary Phys, Oxford, England.</t>
  </si>
  <si>
    <t>h.bates@nhm.ac.uk</t>
  </si>
  <si>
    <t>Hanna, Kerri Donaldson/AAC-9941-2020</t>
  </si>
  <si>
    <t>Russell, Sara/0000-0001-5531-7847; Bates, Helena/0000-0002-0469-9483; Donaldson Hanna, Kerri/0000-0001-5592-4292</t>
  </si>
  <si>
    <t>Science and Technology Facilities Council (STFC), UK [1860431]</t>
  </si>
  <si>
    <t>Science and Technology Facilities Council (STFC), UK(UK Research &amp; Innovation (UKRI)Science &amp; Technology Facilities Council (STFC))</t>
  </si>
  <si>
    <t>The authors would like to thank Antarctic Search for Meteorites (ANSMET), U.S.A, and the National Institute for Polar Research (NIPR), Japan for providing meteorite samples investigated in this study. They also thank Jens Najorka and Paul Schofield for assistance with XRD analysis and data interpretation. Thanks also go to Christopher Haberle and Michael Bramble for their constructive comments which greatly improved this manuscript. This work was supported by the Science and Technology Facilities Council (STFC), UK, through grant 1860431.</t>
  </si>
  <si>
    <t>2169-9097</t>
  </si>
  <si>
    <t>2169-9100</t>
  </si>
  <si>
    <t>J GEOPHYS RES-PLANET</t>
  </si>
  <si>
    <t>J. Geophys. Res.-Planets</t>
  </si>
  <si>
    <t>e2021JE006827</t>
  </si>
  <si>
    <t>10.1029/2021JE006827</t>
  </si>
  <si>
    <t>TS7SX</t>
  </si>
  <si>
    <t>WOS:000679848100002</t>
  </si>
  <si>
    <t>Yahnin, AG; Popova, TA; Demekhov, AG; Lubchich, AA; Matsuoka, A; Asamura, K; Miyoshi, Y; Yokota, S; Kasahara, S; Keika, K; Hori, T; Tsuchiya, F; Kumamoto, A; Kasahara, Y; Shoji, M; Kasaba, Y; Nakamura, S; Shinohara, I; Kim, H; Noh, S; Raita, T</t>
  </si>
  <si>
    <t>Yahnin, A. G.; Popova, T. A.; Demekhov, A. G.; Lubchich, A. A.; Matsuoka, A.; Asamura, K.; Miyoshi, Y.; Yokota, S.; Kasahara, S.; Keika, K.; Hori, T.; Tsuchiya, F.; Kumamoto, A.; Kasahara, Y.; Shoji, M.; Kasaba, Y.; Nakamura, S.; Shinohara, I.; Kim, H.; Noh, S.; Raita, T.</t>
  </si>
  <si>
    <t>Evening Side EMIC Waves and Related Proton Precipitation Induced by a Substorm</t>
  </si>
  <si>
    <t>VAN ALLEN PROBES; WIND DYNAMIC PRESSURE; ION-CYCLOTRON WAVES; MAGNETOSPHERIC SUBSTORMS; GEOMAGNETIC-PULSATIONS; PLASMA SHEET; GENERATION; MODEL; STORM; DISTRIBUTIONS</t>
  </si>
  <si>
    <t>We present the results of a multi-point and multi-instrument study of electromagnetic ion cyclotron (EMIC) waves and related energetic proton precipitation during a substorm. We analyze the data from Arase (ERG) and Van Allen Probes (VAPs) A and B spacecraft for an event of 16 and 17 UT on December 1, 2018. VAP-A detected an almost dispersionless injection of energetic protons related to the substorm onset in the night sector. Then the proton injection was detected by VAP-B and further by Arase, as a dispersive enhancement of energetic proton flux. The proton flux enhancement at every spacecraft coincided with the EMIC wave enhancement or appearance. This data show the excitation of EMIC waves first inside an expanding substorm wedge and then by a drifting cloud of injected protons. Low-orbiting NOAA/POES and MetOp satellites observed precipitation of energetic protons nearly conjugate with the EMIC wave observations in the magnetosphere. The proton pitch-angle diffusion coefficient and the strong diffusion regime index were calculated based on the observed wave, plasma, and magnetic field parameters. The diffusion coefficient reaches a maximum at energies corresponding well to the energy range of the observed proton precipitation. The diffusion coefficient values indicated the strong diffusion regime, in agreement with the equality of the trapped and precipitating proton flux at the low-Earth orbit. The growth rate calculations based on the plasma and magnetic field data from both VAP and Arase spacecraft indicated that the detected EMIC waves could be generated in the region of their observation or in its close vicinity. Plain Language Summary Electromagnetic ion cyclotron (EMIC) waves are believed to play a significant role in the dynamics of energetic protons and relativistic electrons in the Earth's magnetosphere. The properties of these waves are being intensively studied. We consider the conditions of the EMIC wave generation and the dynamics of the wave source during a substorm event using a unique configuration of three spacecraft (Arase and two Van Allen Probes). All spacecraft were at approximately the same distance from the Earth, forming a chain across the evening local time sector. Analyzing parameters of the wave generation obtained from in situ measured proton distribution function, we came to the conclusion that the waves could be generated within the substorm area, sometimes close to, but not necessary at the spacecraft location. As the substorm expands in longitude, the EMIC wave source exhibits a longitudinal drift. When substorm expansion stops, the wave generation region expands due to the magnetic drift of protons injected during the substorm. The observed wave properties show that the waves are able to precipitate energetic protons into the atmosphere. This is confirmed by observations of low orbiting satellites measuring proton precipitating fluxes.</t>
  </si>
  <si>
    <t>[Yahnin, A. G.; Popova, T. A.; Demekhov, A. G.; Lubchich, A. A.] Polar Geophys Inst, Apatity, Russia; [Demekhov, A. G.] RAS, Inst Appl Phys, Moscow, Russia; [Matsuoka, A.; Asamura, K.; Shinohara, I.] JAXA, Sagamihara, Kanagawa, Japan; [Miyoshi, Y.; Hori, T.; Shoji, M.; Nakamura, S.] Nagoya Univ, Inst Space Earth Environm Res, Nagoya, Aichi, Japan; [Yokota, S.] Osaka Univ, Osaka, Japan; [Kasahara, S.; Keika, K.] Univ Tokyo, Tokyo, Japan; [Tsuchiya, F.; Kumamoto, A.; Kasaba, Y.] Tohoku Univ, Sendai, Miyagi, Japan; [Kasahara, Y.] Kanazawa Univ, Kanazawa, Ishikawa, Japan; [Kim, H.; Noh, S.] New Jersey Inst Technol, Newark, NJ USA; [Raita, T.] Univ Oulu, Sodankyla Geophys Observ, Sodankyla, Finland</t>
  </si>
  <si>
    <t>Russian Academy of Sciences; Polar Geophysical Institute; Russian Academy of Sciences; Institute of Applied Physics of the Russian Academy of Sciences; Japan Aerospace Exploration Agency (JAXA); Nagoya University; Osaka University; University of Tokyo; Tohoku University; Kanazawa University; New Jersey Institute of Technology; University of Oulu</t>
  </si>
  <si>
    <t>Yahnin, AG (corresponding author), Polar Geophys Inst, Apatity, Russia.</t>
  </si>
  <si>
    <t>ayahnin@gmail.com</t>
  </si>
  <si>
    <t>Miyoshi, Yoshizumi/T-5748-2019; Kasaba, Yasumasa/ABB-4167-2020; KASAHARA, Yoshiya/E-7073-2015; Popova, Tatyana/A-5308-2017; Demekhov, Andrei/F-1444-2016; Yahnin, Alexander/B-5254-2014; Nakamura, Satoko/ABC-8245-2021; Tsuchiya, Fuminori/T-1957-2019; 熊本, 篤志/JBS-8512-2023; Lubchich, Andris/A-6865-2017</t>
  </si>
  <si>
    <t>Miyoshi, Yoshizumi/0000-0001-7998-1240; Kasaba, Yasumasa/0000-0002-8160-3553; Popova, Tatyana/0000-0003-0533-5179; Demekhov, Andrei/0000-0002-8062-8492; Yahnin, Alexander/0000-0003-1650-5436; Tsuchiya, Fuminori/0000-0003-3386-6794; 熊本, 篤志/0000-0002-3988-1488; Keika, Kunihiro/0000-0003-0265-4318; Lubchich, Andris/0000-0003-3596-4857; Nakamura, Satoko/0000-0003-4367-696X</t>
  </si>
  <si>
    <t>Energetic Particle, Composition, and Thermal Plasma (RBSP-ECT) under NASA's Prime Contract [NAS5-01072]; Academy of Finland [330783]; Russian Foundation for Basic Research [19-52-50025]; JSPS KAKENHI [JPJSBP120194814, 15H05747, 16H06286, 17H00728, 20H01959, 20H01955]; NSF [AGS-1602560]; NASA Van Allen Probes RBSPICE instrument project - JHU/APL Subcontract under NASA Prime Contract [131803, NNN06AA01C]; Academy of Finland (AKA) [330783] Funding Source: Academy of Finland (AKA); Grants-in-Aid for Scientific Research [20H01955] Funding Source: KAKEN</t>
  </si>
  <si>
    <t>Energetic Particle, Composition, and Thermal Plasma (RBSP-ECT) under NASA's Prime Contract; Academy of Finland(Research Council of Finland); Russian Foundation for Basic Research(Russian Foundation for Basic Research (RFBR)Spanish Government); JSPS KAKENHI(Ministry of Education, Culture, Sports, Science and Technology, Japan (MEXT)Japan Society for the Promotion of ScienceGrants-in-Aid for Scientific Research (KAKENHI)); NSF(National Science Foundation (NSF)); NASA Van Allen Probes RBSPICE instrument project - JHU/APL Subcontract under NASA Prime Contract; Academy of Finland (AKA)(Research Council of Finland); Grants-in-Aid for Scientific Research(Ministry of Education, Culture, Sports, Science and Technology, Japan (MEXT)Japan Society for the Promotion of ScienceGrants-in-Aid for Scientific Research (KAKENHI))</t>
  </si>
  <si>
    <t>The authors would like to thank the designers of Van Allen Probes and developers of the instruments (EMFISIS: Craig Kletzing, EFW: John Wygant, HOPE: Herb Funsten, and RBSPICE: Louis Lanzerotti) for the open access to the data. Processing and analysis of the HOPE data were supported by Energetic Particle, Composition, and Thermal Plasma (RBSP-ECT) investigation funded under NASA's Prime Contract NAS5-01072. The authors wish to thank Johns Hopkins University Applied Physics Laboratory for providing the DMSP/SSUSI data (available from https://ssusi.jhuapl.edu/) and NOAA's National Geophysical Data Center (NGDS) for providing NOAA POES and MetOp data (available from https://www.ngdc.noaa.gov/stp/satellite/poes/). The authors gratefully acknowledge the SuperMAG (PI J. W. Gjerloev) and the SuperMAG collaborators providing the data used in calculations of SMU and SML indices (available from https://supermag.jhuapl.edu/). Solar wind parameters integrated into the SuperMAG database are obtained from NASA/GSFC's OMNI data set through OMNIWeb. The authors thank the Arctic and Antarctic Research Institute (AARI) in Saint-Petersburg, Russia for supporting the magnetic observations at station Dixon and the Institute of Solar-Terrestrial Physics in Irkutsk, which maintains the magnetometer observations at the Istok station. The observatory Lovozero belongs to the Polar Geophysical Institute. The authors thank the staff of the observatory for the magnetic observations. The analysis of pulsation magnetometer data was supported by the Academy of Finland (Grant #330783 to Sodankyla Geophysical Observatory). The work of A. G. Yahnin, T. A. Popova, and A. G. Demekhov was supported by the Russian Foundation for Basic Research (Grant no. 19-52-50025). The work has also been supported by JSPS KAKENHI (JPJSBP120194814, 15H05747, 16H06286, 17H00728, 20H01959, and 20H01955). The work at the New Jersey Institute of Technology (NJIT) was supported by NSF under Grant AGS-1602560 and the NASA Van Allen Probes RBSPICE instrument project, as supported by JHU/APL Subcontract no. 131803 to NJIT under NASA Prime Contract no. NNN06AA01C.</t>
  </si>
  <si>
    <t>e2020JA029091</t>
  </si>
  <si>
    <t>10.1029/2020JA029091</t>
  </si>
  <si>
    <t>TR6YT</t>
  </si>
  <si>
    <t>WOS:000679109000021</t>
  </si>
  <si>
    <t>Ajayi, OM; Gantz, JD; Finch, G; Lee, RE; Denlinger, DL; Benoit, JB</t>
  </si>
  <si>
    <t>Ajayi, Oluwaseun M.; Gantz, J. D.; Finch, Geoffrey; Lee, Richard E., Jr.; Denlinger, David L.; Benoit, Joshua B.</t>
  </si>
  <si>
    <t>Rapid stress hardening in the Antarctic midge improves male fertility by increasing courtship success and preventing decline of accessory gland proteins following cold exposure</t>
  </si>
  <si>
    <t>JOURNAL OF EXPERIMENTAL BIOLOGY</t>
  </si>
  <si>
    <t>Pre-copulation; Competition; Post-copulation; Performance; Stress exposure</t>
  </si>
  <si>
    <t>BELGICA-ANTARCTICA; ION HOMEOSTASIS; MALE-STERILITY; LIFE-HISTORY; DROSOPHILA; HYMENOPTERA; DIPTERA; MUSCLE; ADULTS; SHOCK</t>
  </si>
  <si>
    <t>Rapid hardening is a process that quickly improves an animal's performance following exposure to potentially damaging stress. In this study of the Antarctic midge, Belgica antarctica (Diptera, Chironomidae), we examined how rapid hardening in response to dehydration (RDH) or cold (RCH) improves male pre- and post-copulatory function when the insects are subsequently subjected to a damaging cold exposure. Neither RDH nor RCH improved survival in response to lethal cold stress, but male activity and mating success following sublethal cold exposure were enhanced. Egg viability decreased following direct exposure of the mating males to sublethal cold but improved following RCH and RDH. Sublethal cold exposure reduced the expression of four accessory gland proteins, while expression remained high in males exposed to RCH. Though rapid hardening may be cryptic in males, this study shows that it can be revealed by pre- and post-copulatory interactions with females.</t>
  </si>
  <si>
    <t>[Ajayi, Oluwaseun M.; Finch, Geoffrey; Benoit, Joshua B.] Univ Cincinnati, Dept Biol Sci, Cincinnati, OH 45221 USA; [Gantz, J. D.] Hendrix Coll, Dept Biol &amp; Hlth Sci, Conway, AR 72032 USA; [Lee, Richard E., Jr.] Miami Univ, Dept Biol, Oxford, OH 45056 USA; [Denlinger, David L.] Ohio State Univ, Dept Entomol, Columbus, OH 43210 USA; [Denlinger, David L.] Ohio State Univ, Dept Evolut Ecol &amp; Organismal Biol, Columbus, OH 43210 USA</t>
  </si>
  <si>
    <t>University System of Ohio; University of Cincinnati; University System of Ohio; Miami University; University System of Ohio; Ohio State University; University System of Ohio; Ohio State University</t>
  </si>
  <si>
    <t>Benoit, JB (corresponding author), Univ Cincinnati, Dept Biol Sci, Cincinnati, OH 45221 USA.</t>
  </si>
  <si>
    <t>joshua.benoit@uc.edu</t>
  </si>
  <si>
    <t>Ajayi, Oluwaseun/GPX-7645-2022</t>
  </si>
  <si>
    <t>Benoit, Joshua/0000-0002-4018-3513</t>
  </si>
  <si>
    <t>National Science Foundation [OPP-1341385, DEB-1654417, OPP-1341393]; U.S. Department of Agriculture [2018-67013]</t>
  </si>
  <si>
    <t>National Science Foundation(National Science Foundation (NSF)); U.S. Department of Agriculture(United States Department of Agriculture (USDA))</t>
  </si>
  <si>
    <t>This work was supported by National Science Foundation grant DEB-1654417 (partially by the use of reusable equipment) and U.S. Department of Agriculture grant 2018-67013 (partially by the use of reusable equipment) to J.B.B., National Science Foundation grant OPP-1341393 to D.L.D., and National Science Foundation grant OPP-1341385 to R.E.L.</t>
  </si>
  <si>
    <t>COMPANY BIOLOGISTS LTD</t>
  </si>
  <si>
    <t>BIDDER BUILDING, STATION RD, HISTON, CAMBRIDGE CB24 9LF, ENGLAND</t>
  </si>
  <si>
    <t>0022-0949</t>
  </si>
  <si>
    <t>1477-9145</t>
  </si>
  <si>
    <t>J EXP BIOL</t>
  </si>
  <si>
    <t>J. Exp. Biol.</t>
  </si>
  <si>
    <t>jeb242506</t>
  </si>
  <si>
    <t>10.1242/jeb.242506</t>
  </si>
  <si>
    <t>TV0DG</t>
  </si>
  <si>
    <t>WOS:000681398200014</t>
  </si>
  <si>
    <t>Gough, WT; Smith, HJ; Savoca, MS; Czapanskiy, MF; Fish, FE; Potvin, J; Bierlich, KC; Cade, DE; Di Clemente, J; Kennedy, J; Segre, P; Stanworth, A; Weir, C; Goldbogen, JA</t>
  </si>
  <si>
    <t>Gough, William T.; Smith, Hayden J.; Savoca, Matthew S.; Czapanskiy, Max F.; Fish, Frank E.; Potvin, Jean; Bierlich, K. C.; Cade, David E.; Di Clemente, Jacopo; Kennedy, John; Segre, Paolo; Stanworth, Andrew; Weir, Caroline; Goldbogen, Jeremy A.</t>
  </si>
  <si>
    <t>Scaling of oscillatory kinematics and Froude efficiency in baleen whales</t>
  </si>
  <si>
    <t>Cetacean; Swimming; Hydrodynamics; Thrust; Efficiency</t>
  </si>
  <si>
    <t>PROPULSIVE EFFICIENCY; LABRIFORM LOCOMOTION; SWIMMING KINEMATICS; ENERGY-EXPENDITURE; LAMNID SHARKS; POWER OUTPUT; MECHANICS; SPEED; ENGULFMENT; TAIL</t>
  </si>
  <si>
    <t>High efficiency lunate-tail swimming with high-aspect-ratio lifting surfaces has evolved in many vertebrate lineages, from fish to cetaceans. Baleen whales (Mysticeti) are the largest swimming animals that exhibit this locomotor strategy, and present an ideal study system to examine how morphology and the kinematics of swimming scale to the largest body sizes. We used data from whale-borne inertial sensors coupled with morphometric measurements from aerial drones to calculate the hydrodynamic performance of oscillatory swimming in six baleen whale species ranging in body length from 5 to 25 m (fin whale, Balaenoptera physalus; Bryde's whale, Balaenoptera edeni; sei whale, Balaenoptera borealis; Antarctic minke whale, Balaenoptera bonaerensis; humpback whale, Megaptera novaeangliae; and blue whale, Balaenoptera musculus). We found that mass-specific thrust increased with both swimming speed and body size. Froude efficiency, defined as the ratio of useful power output to the rate of energy input (Sloop, 1978), generally increased with swimming speed but decreased on average with increasing body size. This finding is contrary to previous results in smaller animals, where Froude efficiency increased with body size. Although our empirically parameterized estimates for swimming baleen whale drag were higher than those of a simple gliding model, oscillatory locomotion at this scale exhibits generally high Froude efficiency as in other adept swimmers. Our results quantify the fine-scale kinematics and estimate the hydrodynamics of routine and energetically expensive swimming modes at the largest scale.</t>
  </si>
  <si>
    <t>[Gough, William T.; Smith, Hayden J.; Savoca, Matthew S.; Czapanskiy, Max F.; Cade, David E.; Segre, Paolo; Goldbogen, Jeremy A.] Stanford Univ, Hopkins Marine Stn, Pacific Grove, CA 93950 USA; [Smith, Hayden J.] Southwestern Univ, Dept Phys, Georgetown, TX 78626 USA; [Fish, Frank E.] West Chester Univ, Dept Biol, W Chester, PA 19383 USA; [Potvin, Jean; Kennedy, John] St Louis Univ, Dept Phys, St Louis, MO 63103 USA; [Bierlich, K. C.] Duke Univ, Nicholas Sch Environm, Durham, NC 27708 USA; [Cade, David E.] Univ Calif Santa Cruz, Long Marine Lab, Santa Cruz, CA 95064 USA; [Di Clemente, Jacopo] Univ Copenhagen, Dept Biol, Copenhagen, Denmark; [Stanworth, Andrew; Weir, Caroline] Falklands Conservat, Stanley F1QQ 1ZZ, Falkland Island</t>
  </si>
  <si>
    <t>Stanford University; Pennsylvania State System of Higher Education (PASSHE); West Chester University of Pennsylvania; Saint Louis University; Duke University; University of California System; University of California Santa Cruz; University of Copenhagen</t>
  </si>
  <si>
    <t>Gough, WT (corresponding author), Stanford Univ, Hopkins Marine Stn, Pacific Grove, CA 93950 USA.</t>
  </si>
  <si>
    <t>wgough@stanford.edu</t>
  </si>
  <si>
    <t>Savoca, Matthew/K-3677-2019; Segre, Paolo S/A-7865-2011; Czapanskiy, Max/HLX-2992-2023</t>
  </si>
  <si>
    <t>Gough, William/0000-0003-2701-5299; Cade, David/0000-0003-3641-1242; Savoca, Matthew/0000-0002-7318-4977; Czapanskiy, Max/0000-0002-6302-905X; DI CLEMENTE, JACOPO/0000-0003-0685-6750; Goldbogen, Jeremy/0000-0002-4170-7294; Bierlich, KC/0000-0001-9724-6055</t>
  </si>
  <si>
    <t>National Science Foundation [IOS-1656691, IOS1656676, IOS-1656656, OPP-1644209]; Office of Naval Research [N000141612477]; World Wildlife Fund; Terman Fellowship from Stanford University; Torben og Alice Frimodts grant; PADI Foundation; Society of Marine Mammalogy; American Cetacean Society Monterey; San Francisco Bay chapters; Meyers Trust; Darwin Plus grant [DPLUS082]; Stanford University; Percy Sladen-Memorial Trust</t>
  </si>
  <si>
    <t>National Science Foundation(National Science Foundation (NSF)); Office of Naval Research(Office of Naval Research); World Wildlife Fund; Terman Fellowship from Stanford University; Torben og Alice Frimodts grant; PADI Foundation; Society of Marine Mammalogy; American Cetacean Society Monterey; San Francisco Bay chapters; Meyers Trust; Darwin Plus grant; Stanford University(Stanford University); Percy Sladen-Memorial Trust</t>
  </si>
  <si>
    <t>This research was funded by the National Science Foundation in support of research experiences for undergraduates (REU) to CSUMB. Additionally, this research was funded in part by grants from the National Science Foundation (IOS-1656691, IOS1656676, IOS-1656656, OPP-1644209), the Office of Naval Research (N000141612477), the World Wildlife Fund, and a Terman Fellowship from Stanford University. Fieldwork in South Africawas funded by the Percy Sladen-Memorial Trust, a Torben og Alice Frimodts grant, the PADI Foundation and the Society of Marine Mammalogy. Additional Monterey Bay CATS tag deployments were funded by grants from the American Cetacean Society Monterey and San Francisco Bay chapters, and by the Meyers Trust. Sei whale work in the Falkland Islands was funded by a Darwin Plus grant (DPLUS082). Open access funding provided by Stanford University. Deposited in PMC for immediate release.</t>
  </si>
  <si>
    <t>jeb237586</t>
  </si>
  <si>
    <t>10.1242/jeb.237586</t>
  </si>
  <si>
    <t>TV0CW</t>
  </si>
  <si>
    <t>WOS:000681397200021</t>
  </si>
  <si>
    <t>Dove, LA; Thompson, AF; Balwada, D; Gary, AR</t>
  </si>
  <si>
    <t>Dove, Lilian A.; Thompson, Andrew F.; Balwada, Dhruv; Gary, Alison R.</t>
  </si>
  <si>
    <t>Observational Evidence of Ventilation Hotspots in the Southern Ocean</t>
  </si>
  <si>
    <t>submesoscale; standing meander; Polar Front; ventilation; Southern Ocean; export</t>
  </si>
  <si>
    <t>ANTARCTIC CIRCUMPOLAR CURRENT; CARBON EXPORT; MIXED-LAYER; SEASONAL RESTRATIFICATION; SUBMESOSCALE DYNAMICS; ANTHROPOGENIC CARBON; MESOSCALE EDDIES; TRANSPORT; VARIABILITY; FRONTS</t>
  </si>
  <si>
    <t>Standing meanders are a key component of the Antarctic Circumpolar Current (ACC) circulation system, and numerical studies have shown that these features may locally enhance subduction, upwelling, as well as lateral and vertical tracer transport. Yet, observational data from these regions remain sparse. Here, we present results based on measurements made by a group of autonomous platforms sampling an ACC standing meander formed due to the interaction of the Polar Front with the Southwest Indian Ridge. Two Seagliders were deployed alongside a Biogeochemical-Argo float that was advected through the standing meander. In the high eddy kinetic energy region of the standing meander, the glider observations reveal enhanced submesoscale frontal gradients as well as heightened tracer variability at depth, as compared to the more quiescent region further downstream. Vertical gradients in spice and apparent oxygen utilization are reduced in the standing meander despite similarities in the large-scale vertical stratification, suggesting greater ventilation of the surface ocean. These observations are consistent with numerical studies that highlight standing meanders as hotspots for ventilation and subduction due to enhanced mesoscale stirring and submesoscale vertical velocities. Our results emphasize the need to account for spatial heterogeneity in processes influencing air-sea exchange, carbon export, and biogeochemical cycling in the Southern Ocean.</t>
  </si>
  <si>
    <t>[Dove, Lilian A.; Thompson, Andrew F.] CALTECH, Div Geol &amp; Planetary Sci Environm Sci &amp; Engn, Pasadena, CA 91125 USA; [Balwada, Dhruv; Gary, Alison R.] Univ Washington, Sch Oceanog, Seattle, WA 98195 USA</t>
  </si>
  <si>
    <t>California Institute of Technology; University of Washington; University of Washington Seattle</t>
  </si>
  <si>
    <t>Dove, LA (corresponding author), CALTECH, Div Geol &amp; Planetary Sci Environm Sci &amp; Engn, Pasadena, CA 91125 USA.</t>
  </si>
  <si>
    <t>dove@caltech.edu</t>
  </si>
  <si>
    <t>Gray, Alison/0000-0002-1644-7654; Dove, Lilian/0000-0001-8346-0034; Balwada, Dhruv/0000-0001-6632-0187</t>
  </si>
  <si>
    <t>NSF [OCE-1756956, OCE-1756882]; David and Lucille Packard Foundation; NASA [NNX80NSSC19K1252]; U.S. Argo Program through NOAA [NA15OAR4320063]</t>
  </si>
  <si>
    <t>NSF(National Science Foundation (NSF)); David and Lucille Packard Foundation(The David &amp; Lucile Packard Foundation); NASA(National Aeronautics &amp; Space Administration (NASA)); U.S. Argo Program through NOAA</t>
  </si>
  <si>
    <t>The authors are grateful to the captain and crew of the R/V Thomas G. Thompson as well as A. Orsi, L. Talley, I. Rosso, G. Viglione, and M. Kotz for their assistance in deploying the gliders during the 2019 I06S GO-SHIP cruise. The authors thank D. Swift, S. Riser, and the SOCCOM executive team for increasing sampling frequency of the BCG-Argo float during the SOGOS mission. LAD and AFT were supported by NSF award OCE-1756956 and the David and Lucille Packard Foundation. LAD was additionally supported by an NSF Graduate Research Fellowship. DB and ARG were supported by NSF award OCE-1756882; ARG received additional support from NASA through award NNX80NSSC19K1252 and from the U.S. Argo Program through NOAA grant NA15OAR4320063.</t>
  </si>
  <si>
    <t>e2021JC017178</t>
  </si>
  <si>
    <t>10.1029/2021JC017178</t>
  </si>
  <si>
    <t>TV0IJ</t>
  </si>
  <si>
    <t>WOS:000681412200006</t>
  </si>
  <si>
    <t>Abelló, AO; Pelegrí, JL; Machín, FJ; Vallès-Casanova, I</t>
  </si>
  <si>
    <t>Olive Abello, Anna; Pelegri, Josep L.; Machin, Francisco J.; Valles-Casanova, Ignasi</t>
  </si>
  <si>
    <t>The Transfer of Antarctic Circumpolar Waters to the Western South Atlantic Ocean</t>
  </si>
  <si>
    <t>Antarctic Circumpolar waters; Scotia Sea; Argo floats; geostrophic transport; interannual variability; frontal systems</t>
  </si>
  <si>
    <t>VOLUME TRANSPORT; DEEP WATERS; TIME-SERIES; SCOTIA SEA; VARIABILITY; CIRCULATION; PATHWAYS; FRONTS; FLUXES; JETS</t>
  </si>
  <si>
    <t>Southern Ocean waters enter the South Atlantic Ocean through the Scotia Sea along pathways constrained by the bathymetry of the northern Scotia Sea passages. We use the Argo profiling-float data set to calculate the water transports in and out of the region, focusing on the water balances down to the deepest isoneutral sampled in all passages (gamma(n) = 28.0 kg m(-3), located between about 500 and 2,000 m in the Drake Passage and even shallower in the Northern Passages). Down to this reference level, the water inflow through the Drake Passage is 140.8 +/- 7.4 Sv and the water outflow through the deeper portions of the Northern Passages is 115.9 +/- 8.3 Sv, implying a leakage of about 25 +/- 11.1 Sv over topography shallower than 1,000 m. Below the reference isoneutral and down to 2,000 m, an additional 23.4 Sv enter through the Drake Passage; when added to reported inputs of about 20 Sv through the South Scotia Ridge, this accounts well for the observed 43.4 Sv outflow-from 28.0 kg m(-3) to 2,000 m-through the Northern Passages. Relative to the 2,000 m reference level, the mean barotropic contribution always represents over half the total transports. We also observe substantial seasonal and moderate interannual variations in the water transports and composition (peak differences occur seasonally in the Drake Passage, with a range of 111-174 Sv), associated with changes in water exchange across the frontal systems. Two independent measures set the water mean-residence time in the Scotia Sea at about 6-8 months.</t>
  </si>
  <si>
    <t>[Olive Abello, Anna; Pelegri, Josep L.; Valles-Casanova, Ignasi] Unidad Asociada ULPGC, CSIC, Inst Ciencies Mar, Dept Oceanog Fis &amp; Tecnol, Barcelona, Spain; [Machin, Francisco J.] Univ Las Palmas Gran Canaria, Dept Fis Aplicada, Las Palmas Gran Canaria, Spain</t>
  </si>
  <si>
    <t>Consejo Superior de Investigaciones Cientificas (CSIC); CSIC - Centro Mediterraneo de Investigaciones Marinas y Ambientales (CMIMA); CSIC - Instituto de Ciencias del Mar (ICM); Universidad de Las Palmas de Gran Canaria</t>
  </si>
  <si>
    <t>Abelló, AO; Pelegrí, JL (corresponding author), Unidad Asociada ULPGC, CSIC, Inst Ciencies Mar, Dept Oceanog Fis &amp; Tecnol, Barcelona, Spain.</t>
  </si>
  <si>
    <t>aolive@icm.csic.es; pelegri@icm.csic.es</t>
  </si>
  <si>
    <t>Olivé Abelló, Anna/AED-5701-2022; Machin, Francisco/A-9287-2009; Pelegrí, Josep L/L-5815-2014</t>
  </si>
  <si>
    <t>Olivé Abelló, Anna/0000-0003-3136-8898; Machin, Francisco/0000-0002-4281-6804; Pelegrí, Josep L/0000-0003-0661-2190; Valles Casanova, Ignasi/0000-0003-2084-852X</t>
  </si>
  <si>
    <t>Spanish Government through project SAGA (Ministerio de Ciencia, Innovacion y Universidades) [RTI2018-100844-B-C33]; Spanish Government (Ministerio de Educacion, Cultura y Deporte) [FPU17/03796]; Spanish Government through the Severo Ochoa Center of Excellence accreditation [CEX2019-000928-S]</t>
  </si>
  <si>
    <t>Spanish Government through project SAGA (Ministerio de Ciencia, Innovacion y Universidades); Spanish Government (Ministerio de Educacion, Cultura y Deporte)(Spanish Government); Spanish Government through the Severo Ochoa Center of Excellence accreditation</t>
  </si>
  <si>
    <t>This work has been funded by the Spanish Government through project SAGA (Ministerio de Ciencia, Innovacion y Universidades, ref. no. RTI2018-100844-B-C33). AOA is grateful to the FPU program, funded by the Spanish Government (Ministerio de Educacion, Cultura y Deporte, reference FPU17/03796). The authors wish to acknowledge the International Argo Program, the contributing national programs that are part of the Global Ocean Observing System, and the Coriolis website that collects and distributed the data. The authors are very grateful to our editor, Laurence Padman, and an anonymous reviewer for providing many useful comments and suggestions. The authors are also grateful to Chad Greene for making available software and data for the Southern Ocean Database. This article is a publication of the Unidad Oceano y Clima of the Universidad de Las Palmas de Gran Canaria, a R+D+I CSIC-associate unit. The authors also recognize the institutional support of the Spanish Government through the Severo Ochoa Center of Excellence accreditation (CEX2019-000928-S).</t>
  </si>
  <si>
    <t>e2020JC017025</t>
  </si>
  <si>
    <t>10.1029/2020JC017025</t>
  </si>
  <si>
    <t>WOS:000681412200028</t>
  </si>
  <si>
    <t>Fons, SW; Kurtz, NT; Bagnardi, M; Petty, AA; Tilling, RL</t>
  </si>
  <si>
    <t>Fons, S. W.; Kurtz, N. T.; Bagnardi, M.; Petty, A. A.; Tilling, R. L.</t>
  </si>
  <si>
    <t>Assessing CryoSat-2 Antarctic Snow Freeboard Retrievals Using Data From ICESat-2</t>
  </si>
  <si>
    <t>EARTH AND SPACE SCIENCE</t>
  </si>
  <si>
    <t>Antarctic; CryoSat-2; ICESat-2; sea ice</t>
  </si>
  <si>
    <t>SEA-ICE THICKNESS; ALTIMETER MEASUREMENTS; AIRBORNE LASER; RADAR; ENVISAT; DEPTH; FLUCTUATIONS; VARIABILITY; BACKSCATTER</t>
  </si>
  <si>
    <t>NASA's Ice, Cloud, and land Elevation Satellite-2 (ICESat-2) laser altimeter launched in Fall 2018, providing an invaluable addition to the polar altimetry record generated by ESA's CryoSat-2 radar altimeter. The simultaneous operation of these two satellite altimeters enables unique comparison studies of sea ice altimetry, utilizing the different frequencies and profiling strategies of the two instruments. Here, we use freeboard data from ICESat-2 to assess Antarctic snow freeboard retrievals from CryoSat-2. We first discuss updates made to a previously published CryoSat-2 retrieval process and show how this Version 2 algorithm improves upon the original method by comparing the new retrievals to ICESat-2 in specific along-track profiles as well as on the basin-scale. In two near-coincident along-track profiles, we find mean snow freeboard differences (standard deviations of differences) of 0.3 (9.3) and 7.6 cm (9.6 cm) with 25 km binned correlation coefficients of 0.77 and 0.89. Monthly mean freeboard differences range between -2.9 (10.8) and 6.6 cm (16.8 cm) basin wide, with the largest differences typically occurring in Austral fall months that is hypothesized to be related to new ice growth and the use of static snow backscatter coefficients in the retrieval. Monthly mean correlation coefficients range between 0.57 and 0.80. While coincident data show good agreement between the two sensors, they highlight issues related to geometric and frequency sampling differences that can impact the freeboard distributions.</t>
  </si>
  <si>
    <t>[Fons, S. W.] Univ Maryland, Dept Atmospher &amp; Ocean Sci, College Pk, MD 20742 USA; [Fons, S. W.; Petty, A. A.; Tilling, R. L.] Univ Maryland, Earth Syst Sci Interdisciplinary Ctr, College Pk, MD 20742 USA; [Fons, S. W.; Kurtz, N. T.; Bagnardi, M.; Petty, A. A.; Tilling, R. L.] NASA, Cryospher Sci Lab, Goddard Space Flight Ctr, Greenbelt, MD 20771 USA; [Bagnardi, M.] ADNET Syst Inc, Bethesda, MD USA</t>
  </si>
  <si>
    <t>University System of Maryland; University of Maryland College Park; University System of Maryland; University of Maryland College Park; National Aeronautics &amp; Space Administration (NASA); NASA Goddard Space Flight Center</t>
  </si>
  <si>
    <t>Fons, SW (corresponding author), Univ Maryland, Dept Atmospher &amp; Ocean Sci, College Pk, MD 20742 USA.;Fons, SW (corresponding author), Univ Maryland, Earth Syst Sci Interdisciplinary Ctr, College Pk, MD 20742 USA.;Fons, SW (corresponding author), NASA, Cryospher Sci Lab, Goddard Space Flight Ctr, Greenbelt, MD 20771 USA.</t>
  </si>
  <si>
    <t>steven.w.fons@nasa.gov</t>
  </si>
  <si>
    <t>; Petty, Alek/K-1839-2014</t>
  </si>
  <si>
    <t>Bagnardi, Marco/0000-0002-4315-0944; Petty, Alek/0000-0003-0307-3216</t>
  </si>
  <si>
    <t>2333-5084</t>
  </si>
  <si>
    <t>EARTH SPACE SCI</t>
  </si>
  <si>
    <t>Earth Space Sci.</t>
  </si>
  <si>
    <t>e2021EA001728</t>
  </si>
  <si>
    <t>10.1029/2021EA001728</t>
  </si>
  <si>
    <t>Astronomy &amp; Astrophysics; Geosciences, Multidisciplinary</t>
  </si>
  <si>
    <t>Astronomy &amp; Astrophysics; Geology</t>
  </si>
  <si>
    <t>TP8AJ</t>
  </si>
  <si>
    <t>WOS:000677816100016</t>
  </si>
  <si>
    <t>Hudson, TS; Baird, AF; Kendall, JM; Kufner, SK; Brisbourne, AM; Smith, AM; Butcher, A; Chalari, A; Clarke, A</t>
  </si>
  <si>
    <t>Hudson, T. S.; Baird, A. F.; Kendall, J. M.; Kufner, S. K.; Brisbourne, A. M.; Smith, A. M.; Butcher, A.; Chalari, A.; Clarke, A.</t>
  </si>
  <si>
    <t>Distributed Acoustic Sensing (DAS) for Natural Microseismicity Studies: A Case Study From Antarctica</t>
  </si>
  <si>
    <t>JOURNAL OF GEOPHYSICAL RESEARCH-SOLID EARTH</t>
  </si>
  <si>
    <t>microseismicity; distributed acoustic sensing; icequakes; earthquake detection; earthquake source mechanism inversion; cryoseismology</t>
  </si>
  <si>
    <t>RUTFORD ICE STREAM; WEST ANTARCTICA; BED</t>
  </si>
  <si>
    <t>Icequakes, microseismic earthquakes at glaciers, offer insights into the dynamics of ice sheets. For the first time in the Antarctic, we explore the use of fiber optic cables as Distributed Acoustic Sensors (DAS) as a new approach for monitoring basal icequakes. We present the use of DAS for studying icequakes as a case study for the application of DAS to microseismic datasets in other geological settings. Fiber was deployed on the ice surface at Rutford Ice Stream in two different configurations. We compare the performance of DAS with a conventional geophone network for: microseismic detection and location; resolving source and noise spectra; source mechanism inversion; and measuring anisotropic shear-wave splitting parameters. Both DAS array geometries detect fewer events than the geophone array. However, DAS is superior to geophones for recording the microseism signal, suggesting the applicability of DAS for ambient noise interferometry. We also present the first full-waveform source mechanism inversions using DAS anywhere, successfully showing the horizontal stick-slip nature of the icequakes. In addition, we develop an approach to use a 2D DAS array geometry as an effective multi-component sensor capable of accurately characterizing shear-wave splitting due to the anisotropic ice fabric. Although our observations originate from a glacial environment, the methodology and implications of this work are relevant for employing DAS in other microseismic environments.</t>
  </si>
  <si>
    <t>[Hudson, T. S.; Kendall, J. M.] Univ Oxford, Dept Earth Sci, Oxford, England; [Baird, A. F.] NORSAR, Kjeller, Norway; [Kufner, S. K.; Brisbourne, A. M.; Smith, A. M.] NERC British Antarctic Survey, Cambridge, England; [Butcher, A.] Univ Bristol, Sch Earth Sci, Bristol, Avon, England; [Chalari, A.; Clarke, A.] Silixa Ltd, London, England</t>
  </si>
  <si>
    <t>University of Oxford; University of Bristol</t>
  </si>
  <si>
    <t>Hudson, TS (corresponding author), Univ Oxford, Dept Earth Sci, Oxford, England.</t>
  </si>
  <si>
    <t>thomas.hudson@earth.ox.ac.uk</t>
  </si>
  <si>
    <t>Kendall, Michael/D-5973-2011; Hudson, Thomas/IQS-9833-2023; Facility, NERC Geophysical Equipment/G-5260-2010; Brisbourne, Alex/E-6198-2013</t>
  </si>
  <si>
    <t>Kendall, Michael/0000-0002-1486-3945; Hudson, Thomas/0000-0003-2944-883X; Brisbourne, Alex/0000-0002-9887-7120; SMITH, ANDREW/0000-0001-8577-482X; Kufner, Sofia-Katerina/0000-0002-9687-5455; Butcher, Antony/0000-0002-2193-3817</t>
  </si>
  <si>
    <t>2169-9313</t>
  </si>
  <si>
    <t>2169-9356</t>
  </si>
  <si>
    <t>J GEOPHYS RES-SOL EA</t>
  </si>
  <si>
    <t>J. Geophys. Res.-Solid Earth</t>
  </si>
  <si>
    <t>e2020JB021493</t>
  </si>
  <si>
    <t>10.1029/2020JB021493</t>
  </si>
  <si>
    <t>TR3PN</t>
  </si>
  <si>
    <t>hybrid, Green Published, Green Accepted</t>
  </si>
  <si>
    <t>WOS:000678880700028</t>
  </si>
  <si>
    <t>Huang, CS</t>
  </si>
  <si>
    <t>Huang, Chao-Song</t>
  </si>
  <si>
    <t>Global Pc5 Pulsations From the Polar Cap to the Equator: Wave Characteristics, Phase Variations, Disturbance Current System, and Signal Transmission</t>
  </si>
  <si>
    <t>ultra-low frequency waves; Pc5 pulsations; ionospheric equivalent currents; magnetospheric-ionospheric current system</t>
  </si>
  <si>
    <t>PRELIMINARY REVERSE IMPULSE; FIELD-ALIGNED CURRENTS; DP 2 FLUCTUATIONS; ELECTRIC-FIELD; GEOMAGNETIC-PULSATIONS; MAGNETOSPHERE; OSCILLATIONS</t>
  </si>
  <si>
    <t>We present observations of global Pc5 pulsations by similar to 180 ground magnetometers during the recovery phase of an intense geomagnetic storm. Measurements of magnetic fields along four latitudinal magnetometer chains and one longitudinal magnetometer chain are used to determine the wave characteristics of Pc5 pulsations. Many new features of Pc5 pulsations are identified from a single event for the first time. The Pc5 pulsations occur simultaneously at all latitudes and longitudes/local times, and the period of the Pc5 pulsations is about 10 min and does not depend on latitude and longitude. The latitudinal distributions of the northward (H) component and magnetic pressure of Pc5 perturbations are derived. The phase of the H component reverses across 50-70 degrees magnetic latitude (MLat) but is nearly the same at middle and low latitudes. The phase of the H component at low latitudes does not vary much with longitude/local time. The phase of the D component magnetic field reverses near the equator in the latitudinal direction and also reverses around dawn, noon, dusk, and midnights in the longitudinal direction. The distribution and evolution of global ionospheric equivalent disturbance currents during Pc5 pulsations are derived. A coupled magnetospheric-ionospheric current system is proposed to explain the observed characteristics of global Pc5 pulsations. It is suggested that the variations of the phase of Pc5 pulsations with latitude and local time are determined by the global distribution of the coupled magnetospheric-ionospheric current system but not caused by propagation delay of the signals.</t>
  </si>
  <si>
    <t>[Huang, Chao-Song] Air Force Res Lab, Space Vehicles Directorate, Kirtland AFB, NM 87123 USA</t>
  </si>
  <si>
    <t>United States Department of Defense; United States Air Force; US Air Force Research Laboratory</t>
  </si>
  <si>
    <t>Huang, CS (corresponding author), Air Force Res Lab, Space Vehicles Directorate, Kirtland AFB, NM 87123 USA.</t>
  </si>
  <si>
    <t>chaosong.huang.1@us.af.mil</t>
  </si>
  <si>
    <t>Huang, Chaosong/0000-0002-2096-9340</t>
  </si>
  <si>
    <t>AFOSR [19RVCOR034]; NASA LWS [80HQTR20T0015, 80HQTR20T0016]</t>
  </si>
  <si>
    <t>AFOSR(United States Department of DefenseAir Force Office of Scientific Research (AFOSR)); NASA LWS(National Aeronautics &amp; Space Administration (NASA))</t>
  </si>
  <si>
    <t>Work at the Air Force Research Laboratory was supported by AFOSR Grant 19RVCOR034, and NASA LWS Grants 80HQTR20T0015 and 80HQTR20T0016. The author gratefully acknowledges the Institute for SpaceEarth Environmental Research, Nagoya University (http://stdb2.isee.nagoya-u.ac.jp/mm210/index.html) for providing the MM210 magnetometer data and the Space Physics Data Facility at Goddard Space Flight Center (https://omniweb.gsfc.nasa.gov/) for providing solar wind, Dst, and geosynchronous satellite data. For the ground magnetometer data in the SuperMAG database (http://supermag.jhuapl.edu/), the author gratefully acknowledges: Intermagnet; USGS, Jeffrey J. Love; CARISMA, PI Ian Mann; CANMOS; The S-RAMP Database, PI K. Yumoto and Dr. K. Shiokawa; The SPIDR database; AARI, PI Oleg Troshichev; The MACCS program, PI M. Engebretson, Geomagnetism Unit of the Geological Survey of Canada; GIMA; MEASURE, PI Mark Moldwin; SAMBA, PI Eftyhia Zesta; 210 Chain, PI K. Yumoto; SAMNET, PI Farideh Honary; The IMAGE magnetometer network, PI L. Juusola; AUTUMN, PI Martin Connors; DTU Space, PI Anna Willer; South Pole and McMurdo Magnetometer, PI's Louis J. Lanzarotti and Alan T. Weatherwax; ICESTAR; RAPIDMAG; British Antarctic Survey; McMac, PI Dr. Peter Chi; BGS, PI Dr. Susan Macmillan; Pushkov Institute of Terrestrial Magnetism, Ionosphere and Radio Wave Propagation (IZMIRAN); GFZ, PI Dr. Juergen Matzka; MFGI, PI B. Heilig; IGFPAS, PI J. Reda; University of L'Aquila, PI M. Vellante; BCMT, V. Lesur and A. Chambodut; Data obtained in cooperation with Geoscience Australia, PI Marina Costelloe; AALPIP, co-PIs Bob Clauer and Michael Hartinger; SuperMAG, PI Jesper W. Gjerloev; Sodankyla Geophysical Observatory, PI Tero Raita; Polar Geophysical Institute, Alexander Yahnin and Yarolav Sakharov; Geological Survey of Sweden, Gerhard Schwartz; Swedish Institute of Space Physics, Mastoshi Yamauchi; UiT the Arctic University of Norway, Magnar G. Johnsen; Finish Meteorological Institute, PI Kirsti Kauristie.</t>
  </si>
  <si>
    <t>e2020JA029093</t>
  </si>
  <si>
    <t>10.1029/2020JA029093</t>
  </si>
  <si>
    <t>WOS:000679109000012</t>
  </si>
  <si>
    <t>Shore, RM; Freeman, MP; Chisham, G</t>
  </si>
  <si>
    <t>Shore, R. M.; Freeman, M. P.; Chisham, G.</t>
  </si>
  <si>
    <t>Data-Driven Basis Functions for SuperDARN Ionospheric Plasma Flow Characterization and Prediction</t>
  </si>
  <si>
    <t>SuperDARN; plasma velocity reanalysis; empirical orthogonal functions analysis; ionospheric convection patterns; data imputation; polar dynamics</t>
  </si>
  <si>
    <t>INTERPLANETARY MAGNETIC-FIELD; HIGH-LATITUDE CONVECTION; DP 2 FLUCTUATIONS; STATISTICAL PATTERNS; ELECTRIC POTENTIALS; BIRKELAND CURRENTS; MAGNETOSPHERE; IMF; RADAR; MODEL</t>
  </si>
  <si>
    <t>The archive of plasma velocity measurements from the Super Dual Auroral Radar Network (SuperDARN) provides a rich data set for the investigation of magnetosphere-ionosphere-thermosphere coupling. However, systematic gaps in this archive exist in space, time, and radar look-direction. These gaps are generally infilled using climatological averages, spatially smoothed models, or a priori relationships determined from solar wind drivers. We describe a new technique for infilling the data gaps in the SuperDARN archive which requires no external information and is based solely on the SuperDARN measurements. We also avoid the use of climatological averaging or spatial smoothing when computing the infill. In this regard, our approach captures the true variability in the SuperDARN measurements. Our technique is based on data-interpolating Empirical Orthogonal Function analysis. This method discovers from the SuperDARN data a series of dynamical modes of plasma velocity variation. We compute the modes of a sample month of northern hemisphere winter data, and investigate these in terms of solar wind driving. We find that the B-y component of the Interplanetary Magnetic Field (IMF) dominates the variability of the plasma velocity. The IMF B-z component is the dominant driver for the background mean field, and a series of non-leading modes, which describe the two-cell convection variability, and the substorm. We recommend our new technique for reanalysis investigations of polar-scale plasma drift phenomena, particularly those with rapid temporal fluctuations and an indirect relationship to the solar wind.</t>
  </si>
  <si>
    <t>[Shore, R. M.; Freeman, M. P.; Chisham, G.] British Antarctic Survey, Cambridge, England</t>
  </si>
  <si>
    <t>UK Research &amp; Innovation (UKRI); Natural Environment Research Council (NERC); NERC British Antarctic Survey</t>
  </si>
  <si>
    <t>Shore, RM (corresponding author), British Antarctic Survey, Cambridge, England.</t>
  </si>
  <si>
    <t>robore@bas.ac.uk</t>
  </si>
  <si>
    <t>Shore, Robert/0000-0002-8386-1425; Chisham, Gareth/0000-0003-1151-5934</t>
  </si>
  <si>
    <t>Natural Environment Research Council [NE/N01099X/1, NE/V002732/1]; national scientific funding agency of Australia; national scientific funding agency of Canada; national scientific funding agency of China; national scientific funding agency of France; national scientific funding agency of Italy; national scientific funding agency of Japan; national scientific funding agency of Norway; national scientific funding agency of South Africa; national scientific funding agency of UK; national scientific funding agency of United States; NERC [NE/N01099X/1] Funding Source: UKRI; SPF [NE/V002732/1] Funding Source: UKRI</t>
  </si>
  <si>
    <t>Natural Environment Research Council(UK Research &amp; Innovation (UKRI)Natural Environment Research Council (NERC)); national scientific funding agency of Australia; national scientific funding agency of Canada; national scientific funding agency of China; national scientific funding agency of France; national scientific funding agency of Italy; national scientific funding agency of Japan; national scientific funding agency of Norway; national scientific funding agency of South Africa; national scientific funding agency of UK; national scientific funding agency of United States; NERC(UK Research &amp; Innovation (UKRI)Natural Environment Research Council (NERC)); SPF</t>
  </si>
  <si>
    <t>This work was funded by the Natural Environment Research Council under grants NE/N01099X/1 (THeMES) and NE/V002732/1 (SWIMMR-T). We would like to thank Angeline Burrell, Steve Browett, Maria-Theresia Walach, and Andrew Kavanagh for discussions, which improved the manuscript, and Evan Thomas and Paul Breen for RST code expertize and assistance. For the use of the SuperMAG ground magnetometer data we gratefully acknowledge: INTERMAGNET (we thank the national institutes that support its contributing magnetic observatories, and INTERMAGNET for promoting high standards of magnetic observatory practice (www.intermagnet.org)); USGS, Jeffrey J. Love; CARISMA, PI Ian Mann; CANMOS; The S-RAMP Database, PI K. Yumoto and Dr.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Dr. Juergen Matzka; South Pole and McMurdo Magnetometer, PI's Louis J. Lanzarotti and Alan T. Weatherwax; ICESTAR; RAPIDMAG; PENGUIn; British Antarctic Survey; McMac, PI Dr. Peter Chi; BGS, PI Dr. Susan Macmillan; Pushkov Institute of Terrestrial Magnetism, Ionosphere and Radio Wave Propagation (IZMIRAN); GFZ, PI Dr. Juergen Matzka; MFGI, PI B. Heilig; IGFPAS, PI J. Reda; University of L'Aquila, PI M. Vellante; SuperMAG, PI Jesper W. Gjerloev. The authors acknowledge the use of SuperDARN data. SuperDARN is a collection of radars funded by the national scientific funding agencies of Australia, Canada, China, France, Italy, Japan, Norway, South Africa, UK, and United States.</t>
  </si>
  <si>
    <t>e2021JA029272</t>
  </si>
  <si>
    <t>10.1029/2021JA029272</t>
  </si>
  <si>
    <t>WOS:000679109000047</t>
  </si>
  <si>
    <t>Hodson, AJ; Sabacka, M; Dayal, A; Edwards, A; Cook, J; Convey, P; Redeker, K; Pearce, DA</t>
  </si>
  <si>
    <t>Hodson, A. J.; Sabacka, M.; Dayal, A.; Edwards, A.; Cook, J.; Convey, P.; Redeker, K.; Pearce, D. A.</t>
  </si>
  <si>
    <t>Marked Seasonal Changes in the Microbial Production, Community Composition, and Biogeochemistry of Glacial Snowpack Ecosystems in the Maritime Antarctic</t>
  </si>
  <si>
    <t>JOURNAL OF GEOPHYSICAL RESEARCH-BIOGEOSCIENCES</t>
  </si>
  <si>
    <t>Snow ecology; Antarctica; Snow biogeochemistry</t>
  </si>
  <si>
    <t>ORGANIC-CARBON; SIGNY ISLAND; ICE; AMMONIUM; NITROGEN; BALANCE; PENGUIN; ALGAE; MODEL</t>
  </si>
  <si>
    <t>We describe seasonal changes in the biogeochemistry, microbial community and ecosystem production of two glacial snowpacks in the maritime Antarctic during a cold summer. Frequent snowfall and low, intermittent melt on the glaciers suppressed surface photosynthesis and promoted net heterotrophy. Concentrations of autotrophic cells (algae and cyanobacteria) were therefore low (average: 150-500 cells mL(-1)), and short-term estimates of primary production were almost negligible in early summer (&lt;0.1 mu g C L-1 d(-1)). However, order of magnitude increases in Chlorophyll a concentrations occurred later, especially within the mid-snowpack and ice layers below. Short-term primary production increased to ca. 1 mu g C L-1 d(-1) in mid-summer, and reached 53.1 mu g C L-1 d(-1) in a mid-snow layer close to an active penguin colony. However, there were significantly more bacteria than autotrophs in the snow (typically 10(3) cells mL(-1), but &gt;10(4) cells mL(-1) in basal ice near the penguin colony). The ratio of bacteria to autotrophs also increased throughout the summer, and short-term bacterial production rates (0.2-2000 mu g C L-1 d(-1)) usually exceeded primary production, especially in basal ice (10-1400 mu g C L-1 d(-1)). The basal ice represented the least diverse but most productive habitat, and a striking feature was its low pH (down to 3.3). Furthermore, all of the overlying snow cover became increasingly acidic as the summer season progressed, which is attributed to enhanced emissions from wet guano in the penguin colony. The study demonstrates that active microbial communities can be expected, even when snowmelt is intermittent in the Antarctic summer.</t>
  </si>
  <si>
    <t>[Hodson, A. J.; Dayal, A.] Univ Ctr Svalbard, Arctic Geol Dept, Longyearbyen, Norway; [Hodson, A. J.] Western Norway Univ Appl Sci, Dept Environm Sci, Sogndal, Norway; [Sabacka, M.] Univ South Bohemia, Ctr Polar Ecol, Ceske Budejovice, Czech Republic; [Dayal, A.] Univ Sheffield, Dept Geog, Sheffield, S Yorkshire, England; [Edwards, A.; Cook, J.] Aberystwyth Univ, Inst Biol Environm &amp; Rural Sci, Aberystwyth, Dyfed, Wales; [Convey, P.; Pearce, D. A.] NERC, British Antarctic Survey, Cambridge, England; [Redeker, K.] Univ York, Dept Biol, York, N Yorkshire, England; [Pearce, D. A.] Northumbria Univ, Dept Appl Sci, Newcastle Upon Tyne, Tyne &amp; Wear, England</t>
  </si>
  <si>
    <t>University Centre Svalbard (UNIS); Western Norway University of Applied Sciences; University of South Bohemia Ceske Budejovice; University of Sheffield; UK Research &amp; Innovation (UKRI); Biotechnology and Biological Sciences Research Council (BBSRC); Institute of Biological, Environmental, Rural &amp; Sciences (IBERS); Aberystwyth University; UK Research &amp; Innovation (UKRI); Natural Environment Research Council (NERC); NERC British Antarctic Survey; University of York - UK; Northumbria University</t>
  </si>
  <si>
    <t>Hodson, AJ (corresponding author), Univ Ctr Svalbard, Arctic Geol Dept, Longyearbyen, Norway.;Hodson, AJ (corresponding author), Western Norway Univ Appl Sci, Dept Environm Sci, Sogndal, Norway.</t>
  </si>
  <si>
    <t>Andrew.Hodson@unis.no</t>
  </si>
  <si>
    <t>Redeker, Kelly/AAV-3821-2020</t>
  </si>
  <si>
    <t>Redeker, Kelly/0000-0002-1903-2286; Dayal, Archana/0000-0001-5457-8842; Hodson, Andrew/0000-0002-1255-7987; Pearce, David/0000-0001-5292-4596</t>
  </si>
  <si>
    <t>Natural Environment Research Council (UK) [NE/H014446/1, NE/S001034/1]; Research Council of Norway award [288402]; NERC; NERC [NE/S001034/1, NE/H014446/1] Funding Source: UKRI</t>
  </si>
  <si>
    <t>Natural Environment Research Council (UK)(UK Research &amp; Innovation (UKRI)Natural Environment Research Council (NERC)); Research Council of Norway award(Research Council of Norway); NERC(UK Research &amp; Innovation (UKRI)Natural Environment Research Council (NERC)); NERC(UK Research &amp; Innovation (UKRI)Natural Environment Research Council (NERC))</t>
  </si>
  <si>
    <t>The authors acknowledge Natural Environment Research Council (UK) awards NE/H014446/1 and NE/S001034/1, and Research Council of Norway award 288402 (BIOICE). P. Convey is supported by NERC core funding to the BAS Biodiversity, Evolution and Adaptation Team. The authors thank Laura Gerrish (BAS Mapping and Geographic Information Center) for preparing the map in Figure 1.</t>
  </si>
  <si>
    <t>2169-8953</t>
  </si>
  <si>
    <t>2169-8961</t>
  </si>
  <si>
    <t>J GEOPHYS RES-BIOGEO</t>
  </si>
  <si>
    <t>J. Geophys. Res.-Biogeosci.</t>
  </si>
  <si>
    <t>e2020JG005706</t>
  </si>
  <si>
    <t>10.1029/2020JG005706</t>
  </si>
  <si>
    <t>Environmental Sciences; Geosciences, Multidisciplinary</t>
  </si>
  <si>
    <t>TP8CM</t>
  </si>
  <si>
    <t>Green Accepted, Green Published, Green Submitted</t>
  </si>
  <si>
    <t>WOS:000677821700026</t>
  </si>
  <si>
    <t>Coulon, V; Bulthuis, K; Whitehouse, PL; Sun, SN; Haubner, K; Zipf, L; Pattyn, F</t>
  </si>
  <si>
    <t>Coulon, Violaine; Bulthuis, Kevin; Whitehouse, Pippa L.; Sun, Sainan; Haubner, Konstanze; Zipf, Lars; Pattyn, Frank</t>
  </si>
  <si>
    <t>Contrasting Response of West and East Antarctic Ice Sheets to Glacial Isostatic Adjustment</t>
  </si>
  <si>
    <t>JOURNAL OF GEOPHYSICAL RESEARCH-EARTH SURFACE</t>
  </si>
  <si>
    <t>ice-sheet modeling; Antarctica; GIA; Marine Ice Sheet Instability; ELRA</t>
  </si>
  <si>
    <t>UPPER-MANTLE STRUCTURE; RAPID BEDROCK UPLIFT; SEA-LEVEL CHANGE; SOLID-EARTH; BENEATH ANTARCTICA; FLEXURAL RIGIDITY; THWAITES GLACIER; MASS-BALANCE; MODEL; RETREAT</t>
  </si>
  <si>
    <t>The Antarctic ice sheet (AIS) lies on a solid Earth that displays large spatial variations in rheological properties, with a thin lithosphere and low-viscosity upper mantle (weak Earth structure) beneath West Antarctica and an opposing structure beneath East Antarctica. This contrast is known to have a significant impact on the ice-sheet grounding-line stability. Here, we embed within an ice-sheet model a modified glacial-isostatic Elastic Lithosphere-Relaxing Asthenosphere model that considers a dual pattern for the Earth structure beneath West and East Antarctica supplemented with an approximation of gravitationally consistent geoid changes, allowing to approximate near-field relative sea-level changes. We show that this elementary GIA model captures the essence of global Self-Gravitating Viscoelastic solid-Earth Models (SGVEMs) and compares well with both SGVEM outputs and geodetic observations, allowing to capture the essential features and processes influencing Antarctic grounding-line stability in a computationally efficient way. In this framework, we perform a probabilistic assessment of the impact of uncertainties in solid-Earth rheological properties on the response of the AIS to future warming. Results show that on multicentennial-to-millennial timescales, spatial variability in solid-Earth deformation plays a significant role in promoting the stability of the West Antarctic ice sheet (WAIS). However, WAIS collapse cannot be prevented under high-emissions climate scenarios. On longer timescales and for unmitigated climate scenarios, continent-wide mass loss projections may be underestimated because spatially uniform Earth models, as typically considered in numerical ice sheet models, will overestimate the stabilizing effect of GIA across East Antarctica, which is characterized by thick lithosphere and high upper-mantle viscosity.</t>
  </si>
  <si>
    <t>[Coulon, Violaine; Sun, Sainan; Haubner, Konstanze; Zipf, Lars; Pattyn, Frank] Univ Libre Bruxelles, Lab Glaciol, Brussels, Belgium; [Bulthuis, Kevin] CALTECH, Jet Prop Lab, Pasadena, CA USA; [Whitehouse, Pippa L.] Univ Durham, Dept Geog, Durham, England</t>
  </si>
  <si>
    <t>Universite Libre de Bruxelles; California Institute of Technology; National Aeronautics &amp; Space Administration (NASA); NASA Jet Propulsion Laboratory (JPL); Durham University</t>
  </si>
  <si>
    <t>Coulon, V (corresponding author), Univ Libre Bruxelles, Lab Glaciol, Brussels, Belgium.</t>
  </si>
  <si>
    <t>vcoulon@ulb.ac.be</t>
  </si>
  <si>
    <t>Bulthuis, Kevin/HLQ-7042-2023; Pattyn, Frank/AAA-9640-2019; Haubner, Konstanze/G-3627-2018</t>
  </si>
  <si>
    <t>Pattyn, Frank/0000-0003-4805-5636; Zipf, Lars/0000-0002-6053-2653; Haubner, Konstanze/0000-0002-6243-9268; Sun, Sainan/0000-0002-1614-2658; Whitehouse, Pippa/0000-0002-9092-3444; Bulthuis, Kevin/0000-0001-8706-0062; Coulon, Violaine/0000-0003-2683-7434</t>
  </si>
  <si>
    <t>Fonds de la Recherche Scientifique de Belgique (F.R.S.-FNRS); F.R.S.-FNRS Research Fellowship; NASA; UK Natural Environment Research Council (NERC) [NE/K009958/1]; PROTECT; European Union [869304]; NERC [NE/K009958/1] Funding Source: UKRI</t>
  </si>
  <si>
    <t>Fonds de la Recherche Scientifique de Belgique (F.R.S.-FNRS)(Fonds de la Recherche Scientifique - FNRS); F.R.S.-FNRS Research Fellowship(Fonds de la Recherche Scientifique - FNRS); NASA(National Aeronautics &amp; Space Administration (NASA)); UK Natural Environment Research Council (NERC)(UK Research &amp; Innovation (UKRI)Natural Environment Research Council (NERC)); PROTECT; European Union(European Union (EU)); NERC(UK Research &amp; Innovation (UKRI)Natural Environment Research Council (NERC))</t>
  </si>
  <si>
    <t>We thank Wouter van der Wal and the anonymous reviewers for their thoughtful reviews. We also thank Dick Peltier for making the ICE6G_C (VM5a) model outputs available. This work was funded by the Fonds de la Recherche Scientifique de Belgique (F.R.S.-FNRS) with an F.R.S.-FNRS Research Fellowship (Violaine Coulon). Kevin Bulthuis's research was supported by an appointment to the NASA Postdoctoral Program at the NASA Jet Propulsion Laboratory, administered by Universities Space Research Association under contract with NASA. Pippa L. Whitehouse's contribution was supported by a UK Natural Environment Research Council (NERC) Independent Research Fellowship (NE/K009958/1). This publication was supported by PROTECT. This project has received funding from the European Union's Horizon 2020 research and innovation programme under grant agreement No 869304, PROTECT contribution number 17. Computational resources have been provided by the Shared ICT Services Centre, Universite Libre de Bruxelles.</t>
  </si>
  <si>
    <t>2169-9003</t>
  </si>
  <si>
    <t>2169-9011</t>
  </si>
  <si>
    <t>J GEOPHYS RES-EARTH</t>
  </si>
  <si>
    <t>J. Geophys. Res.-Earth Surf.</t>
  </si>
  <si>
    <t>e2020JF006003</t>
  </si>
  <si>
    <t>10.1029/2020JF006003</t>
  </si>
  <si>
    <t>TR4RU</t>
  </si>
  <si>
    <t>Green Submitted, Green Published, hybrid, Green Accepted</t>
  </si>
  <si>
    <t>WOS:000678954200002</t>
  </si>
  <si>
    <t>Slater, DA; Benn, DI; Cowton, TR; Bassis, JN; Todd, JA</t>
  </si>
  <si>
    <t>Slater, D. A.; Benn, D. I.; Cowton, T. R.; Bassis, J. N.; Todd, J. A.</t>
  </si>
  <si>
    <t>Calving Multiplier Effect Controlled by Melt Undercut Geometry</t>
  </si>
  <si>
    <t>tidewater glaciers; calving; submarine melting; melt-undercutting; Greenland ice sheet; parameterization</t>
  </si>
  <si>
    <t>TIDEWATER GLACIERS; GROUNDING LINES; SUBMARINE MELT; ICE MELANGE; GREENLAND; DYNAMICS; DRIVEN; MODEL; INSIGHTS; BALANCE</t>
  </si>
  <si>
    <t>Quantifying the impact of submarine melting on calving is central to understanding the response of marine-terminating glaciers to ocean forcing. Modeling and observational studies suggest the potential for submarine melting to amplify calving (the calving multiplier effect), but there is little consensus as to under what conditions this occurs. Here, by viewing a marine-terminating glacier as an elastic beam, we propose an analytical basis for understanding the presence or absence of the calving multiplier effect. We show that as a terminus becomes undercut it becomes more susceptible to both serac failure (calving only of ice that is undercut, driven by vertical imbalance) and rotational failure (full-thickness calving of ice behind the grounding line, driven by rotational imbalance). By deriving analytical stress thresholds for these two forms of calving, we suggest that the dominant of the two calving styles is determined principally by the shape of melt-undercutting. Uniform undercutting extending from the bed to the waterline promotes serac failure and no multiplier effect, while glaciers experiencing linear undercutting that is greatest at the bed and zero at the waterline are more likely to experience rotational failure and a multiplier effect. Our study offers a quantitative framework for understanding where and when the calving multiplier effect occurs, and, therefore, a route to parameterizing the effect in ice sheet-scale models.</t>
  </si>
  <si>
    <t>[Slater, D. A.; Benn, D. I.; Cowton, T. R.; Todd, J. A.] Univ St Andrews, Sch Geog &amp; Sustainable Dev, St Andrews, Fife, Scotland; [Benn, D. I.] Univ Edinburgh, Sch Geosci, Edinburgh, Midlothian, Scotland; [Bassis, J. N.] Univ Michigan, Dept Climate &amp; Space Sci &amp; Engn, Ann Arbor, MI USA</t>
  </si>
  <si>
    <t>University of St Andrews; University of Edinburgh; University of Michigan System; University of Michigan</t>
  </si>
  <si>
    <t>Slater, DA (corresponding author), Univ St Andrews, Sch Geog &amp; Sustainable Dev, St Andrews, Fife, Scotland.</t>
  </si>
  <si>
    <t>donald.slater@ed.ac.uk</t>
  </si>
  <si>
    <t>Bassis, Jeremy/ABB-8628-2021</t>
  </si>
  <si>
    <t>Bassis, Jeremy/0000-0003-2946-7176; Slater, Donald/0000-0001-8394-6149; Todd, Joe/0000-0003-3183-043X; Cowton, Tom/0000-0003-1668-7372; Benn, Douglas/0000-0002-3604-0886</t>
  </si>
  <si>
    <t>NERC [NE/P011365/1]; NERC IRF [NE/T011920/1]; DOMINOS project, International Thwaites Glacier Collaboration (ITGC); National Science Foundation (NSF) [1738896]; Natural Environment Research Council (NERC) [NE/S006605/1]; NERC [NE/T011920/1, NE/S006605/1] Funding Source: UKRI</t>
  </si>
  <si>
    <t>NERC(UK Research &amp; Innovation (UKRI)Natural Environment Research Council (NERC)); NERC IRF(UK Research &amp; Innovation (UKRI)Natural Environment Research Council (NERC)); DOMINOS project, International Thwaites Glacier Collaboration (ITGC); National Science Foundation (NSF)(National Science Foundation (NSF)National Research Foundation of Korea); Natural Environment Research Council (NERC)(UK Research &amp; Innovation (UKRI)Natural Environment Research Council (NERC)); NERC(UK Research &amp; Innovation (UKRI)Natural Environment Research Council (NERC))</t>
  </si>
  <si>
    <t>This work was funded by NERC Award NE/P011365/1 (CALISMO: Calving laws for ice sheet models) to PI Benn and NERC IRF NE/T011920/1 (Next generation projections of sea level contribution and freshwater export from the Greenland ice sheet) to PI Slater. This work received support from the DOMINOS project, a component of the International Thwaites Glacier Collaboration (ITGC). Support from National Science Foundation (NSF: Grant 1738896) and Natural Environment Research Council (NERC: Grant NE/S006605/1). Logistics provided by NSF-U.S. Antarctic Program and NERC-British Antarctic Survey. ITGC Contribution No. ITGC-048.</t>
  </si>
  <si>
    <t>e2021JF006191</t>
  </si>
  <si>
    <t>10.1029/2021JF006191</t>
  </si>
  <si>
    <t>WOS:000678954200003</t>
  </si>
  <si>
    <t>Cartagena-Sierra, A; Berke, MA; Robinson, RS; Marcks, B; Castañeda, IS; Starr, A; Hall, IR; Hemming, SR; LeVay, LJ</t>
  </si>
  <si>
    <t>Cartagena-Sierra, Alejandra; Berke, Melissa A.; Robinson, Rebecca S.; Marcks, Basia; Castaneda, Isla S.; Starr, Aidan; Hall, Ian R.; Hemming, Sidney R.; LeVay, Leah J.</t>
  </si>
  <si>
    <t>Expedition 361 Sci Party</t>
  </si>
  <si>
    <t>Latitudinal Migrations of the Subtropical Front at the Agulhas Plateau Through the Mid-Pleistocene Transition</t>
  </si>
  <si>
    <t>MIDDLE PLEISTOCENE TRANSITION; CARBON-DIOXIDE CONCENTRATION; LONG-TERM CHANGES; SOUTH-ATLANTIC; CLIMATE TRANSITION; TETRAETHER LIPIDS; ANTARCTIC CLIMATE; OCEAN CIRCULATION; ORGANIC-MATTER; POLAR FRONT</t>
  </si>
  <si>
    <t>The meridional variability of the Subtropical Front (STF) in the Southern Hemisphere, linked to expansions or contractions of the Southern Ocean, may have played an important role in global ocean circulation by moderating the magnitude of water exchange at the Indian-Atlantic Ocean Gateway, so called Agulhas Leakage. Here we present new biomarker records of upper water column temperature (U-37(K)' and TEX86) and primary productivity (chlorins and alkenones) from marine sediments at IODP Site U1475 on the Agulhas Plateau, near the STF and within the Agulhas retroflection pathway. We use these multiproxy time-series records from 1.4 to 0.3 Ma to examine implied changes in the upper oceanographic conditions at the mid-Pleistocene transition (MPT, ca. 1.2-0.8 Ma). Our reconstructions, combined with prior evidence of migrations of the STF over the last 350 ka, suggest that in the Southwestern Indian Ocean the STF may have been further south from the Agulhas Plateau during the mid-Pleistocene Interim State (MPIS, MIS 23-12) and reached its northernmost position during MIS 34-24 and MIS 10. Comparison to a Globorotalia menardii-derived Agulhas Leakage reconstruction from the Cape Basin suggests that only the most extreme northward migrations of the STF are associated with reduced Agulhas Leakage. During the MPIS, STF migrations do not appear to control Agulhas Leakage variability, we suggest previously modeled shifting westerly winds may be responsible for the patterns observed. A detachment between STF migrations and Agulhas Leakage, in addition to invoking shifting westerly winds may also help explain changes in CO2 ventilation seen during the MPIS.</t>
  </si>
  <si>
    <t>[Cartagena-Sierra, Alejandra; Berke, Melissa A.] Univ Notre Dame, Dept Civil &amp; Environm Engn &amp; Earth Sci, Notre Dame, IN 46556 USA; [Robinson, Rebecca S.; Marcks, Basia] Univ Rhode Isl, Grad Sch Oceanog, Narragansett, RI 02882 USA; [Castaneda, Isla S.] Univ Massachusetts Amherst, Dept Geosci, Amherst, MA USA; [Starr, Aidan; Hall, Ian R.] Cardiff Univ, Sch Earth Sci, Cardiff, Wales; [Hemming, Sidney R.] Columbia Univ, Dept Earth &amp; Environm Sci, Palisades, NY USA; [Hemming, Sidney R.] Columbia Univ, Lamont Doherty Earth Observ, Palisades, NY USA; [LeVay, Leah J.] Texas A&amp;M Univ, Int Ocean Discovery Program, College Stn, TX USA</t>
  </si>
  <si>
    <t>University of Notre Dame; University of Rhode Island; University of Massachusetts System; University of Massachusetts Amherst; Cardiff University; Columbia University; Columbia University; Texas A&amp;M University System; Texas A&amp;M University College Station</t>
  </si>
  <si>
    <t>Cartagena-Sierra, A (corresponding author), Univ Notre Dame, Dept Civil &amp; Environm Engn &amp; Earth Sci, Notre Dame, IN 46556 USA.</t>
  </si>
  <si>
    <t>acartage@nd.edu</t>
  </si>
  <si>
    <t>Simon, Margit/AAB-7420-2021; Berke, Melissa A/H-3819-2016; Koutsodendris, Andreas/G-8966-2013; Hall, Ian/C-2755-2009</t>
  </si>
  <si>
    <t>Simon, Margit/0000-0002-3150-3220; Koutsodendris, Andreas/0000-0003-4236-7508; Starr, Aidan/0000-0003-1854-4412; Robinson, Rebecca/0000-0002-8072-1603; Berke, Melissa/0000-0003-4810-3773; Hall, Ian/0000-0001-6960-1419; Castaneda, Isla/0000-0002-2524-9326; Gruetzner, Jens/0000-0001-5445-2393; Caley, Thibaut/0000-0001-8249-7054; Cartagena-Sierra, Alejandra/0000-0002-0856-077X; LeVay, Leah/0000-0003-3031-7079</t>
  </si>
  <si>
    <t>NSF MGG award [1737218]; U.S. Science Support Program Post-Expedition Award; CEST Bayer Predoctoral Research Fellowship; Joseph F. Downes Memorial Award; NERC [NE/P000037/1] Funding Source: UKRI; Grants-in-Aid for Scientific Research [20H01978] Funding Source: KAKEN</t>
  </si>
  <si>
    <t>NSF MGG award; U.S. Science Support Program Post-Expedition Award; CEST Bayer Predoctoral Research Fellowship; Joseph F. Downes Memorial Award; NERC(UK Research &amp; Innovation (UKRI)Natural Environment Research Council (NERC)); Grants-in-Aid for Scientific Research(Ministry of Education, Culture, Sports, Science and Technology, Japan (MEXT)Japan Society for the Promotion of ScienceGrants-in-Aid for Scientific Research (KAKENHI))</t>
  </si>
  <si>
    <t>We thank the captain and crew of the JOIDES Resolution for their technical support during the recovery of sediment cores used in this study. We thank the International Ocean Discovery Program for the opportunity to sail on Expedition 361 and access Expedition 361 sediment samples. We thank Kristine Mitchell, Dr. Robert Nerenberg, and Dr. Jeff Salacup for assistance in the lab. Funding for this research was made possible through NSF MGG award 1737218 as well as the U.S. Science Support Program Post-Expedition Award, the CEST Bayer Predoctoral Research Fellowship, and the Joseph F. Downes Memorial Award. The authors appreciate the helpful comments and suggestions provided by the anonymous reviewers and editors.</t>
  </si>
  <si>
    <t>e2020PA004084</t>
  </si>
  <si>
    <t>10.1029/2020PA004084</t>
  </si>
  <si>
    <t>TR6IY</t>
  </si>
  <si>
    <t>WOS:000679067400009</t>
  </si>
  <si>
    <t>Holbourn, A; Kuhnt, W; Clemens, SC; Heslop, D</t>
  </si>
  <si>
    <t>Holbourn, Ann; Kuhnt, Wolfgang; Clemens, Steven C.; Heslop, David</t>
  </si>
  <si>
    <t>A ∼12 Myr Miocene Record of East Asian Monsoon Variability From the South China Sea</t>
  </si>
  <si>
    <t>International Ocean Discovery Program; planktic and benthic stable isotopes; diffuse reflectance spectroscopy; Miocene Climatic Optimum; Carbonate Crash; Biogenic Bloom</t>
  </si>
  <si>
    <t>ATMOSPHERIC CARBON-DIOXIDE; LAST GLACIAL MAXIMUM; ISOTOPE STRATIGRAPHY; HADLEY-CELL; CLIMATE; MIDDLE; EQUATORIAL; EVOLUTION; HEMATITE; GOETHITE</t>
  </si>
  <si>
    <t>The long-term evolution of the East Asian Monsoon and the processes controlling its variability under changing climate boundary conditions remain enigmatic. Here, we integrate new and published high-resolution planktic and benthic foraminiferal isotope data with proxy records for chemical weathering derived from diffuse reflectance spectroscopy at Ocean Drilling Program Site 1146 (South China Sea) to reconstruct the evolution of the summer monsoon between similar to 17 and 5 Ma. Our records show that an overall warm and humid tropical climate prevailed over southeastern Asia during the Miocene Climatic Optimum, suggesting northward expansion of the tropical rain belt in response to greenhouse gas forcing. By contrast, monsoon seasonality increased during the middle Miocene Climatic Transition in tandem with Antarctic glacial expansion and global cooling. Substantial weakening of the summer monsoon between similar to 12.7 and 10.9 Ma supports that decreased weathering and riverine input of nutrients and alkalinity contributed to carbonate depletion in the deep ocean during the Carbonate Crash. Intensification of monsoonal circulation and strengthening of the biological pump through the late Miocene promoted carbon burial, drawdown of atmospheric CO2, and climate cooling during the Biogenic Bloom. These results underscore the dynamic evolution of the East Asian Monsoon throughout the middle to late Miocene. Variations in local insolation forcing and in Southern Hemisphere ice volume, influencing the latitudinal thermal gradient, evaporation-moisture budgets, and the strength of the tropical convection, exerted major controls on the development of the monsoon.</t>
  </si>
  <si>
    <t>[Holbourn, Ann; Kuhnt, Wolfgang] Univ Kiel, Inst Geosci, Kiel, Germany; [Clemens, Steven C.] Brown Univ, Earth Environm &amp; Planetary Sci, Providence, RI 02912 USA; [Heslop, David] Australian Natl Univ, Res Sch Earth Sci, Canberra, ACT, Australia</t>
  </si>
  <si>
    <t>University of Kiel; Brown University; Australian National University</t>
  </si>
  <si>
    <t>Holbourn, A (corresponding author), Univ Kiel, Inst Geosci, Kiel, Germany.</t>
  </si>
  <si>
    <t>ann.holbourn@ifg.uni-kiel.de</t>
  </si>
  <si>
    <t>Heslop, David/AGE-1592-2022</t>
  </si>
  <si>
    <t>Heslop, David/0000-0001-8245-0555; Holbourn, Ann/0000-0002-3167-0862</t>
  </si>
  <si>
    <t>Deutsche Forschungsgemeinschaft [Ku649/30-1, Ku649/31-1]; Projekt DEAL</t>
  </si>
  <si>
    <t>Deutsche Forschungsgemeinschaft(German Research Foundation (DFG)); Projekt DEAL</t>
  </si>
  <si>
    <t>This project was funded by the Deutsche Forschungsgemeinschaft (Grant Ku649/30-1 and 31-1). The authors thank the captain, crew, technical staff, and shipboard scientific party of ODP Leg 184 for their efforts and dedication. The authors thank the editor Sarah Feakins and two anonymous reviewers for constructive critical comments that helped us to improve the manuscript. Open Access funding enabled and organized by Projekt DEAL.</t>
  </si>
  <si>
    <t>e2021PA004267</t>
  </si>
  <si>
    <t>10.1029/2021PA004267</t>
  </si>
  <si>
    <t>WOS:000679067400004</t>
  </si>
  <si>
    <t>Saini, H; Kvale, K; Chase, Z; Kohfeld, KE; Meissner, KJ; Menviel, L</t>
  </si>
  <si>
    <t>Saini, Himadri; Kvale, Karin; Chase, Zanna; Kohfeld, Karen E.; Meissner, Katrin J.; Menviel, Laurie</t>
  </si>
  <si>
    <t>Southern Ocean Ecosystem Response to Last Glacial Maximum Boundary Conditions</t>
  </si>
  <si>
    <t>SEA-SURFACE TEMPERATURE; SYSTEM CLIMATE MODEL; ATMOSPHERIC CO2; SEDIMENT REDISTRIBUTION; IRON FERTILIZATION; EXPORT PRODUCTION; PACIFIC SECTOR; INDIAN SECTOR; CARBON-CYCLE; ICE EXTENT</t>
  </si>
  <si>
    <t>Phytoplankton exert a significant control on the marine carbon cycle and can thus impact atmospheric CO2 concentration. Here we use a new ecosystem model to analyze the response of diatoms and coccolithophores in the Southern Ocean to Last Glacial Maximum (LGM) climate conditions, and changes in aeolian iron (Fe) input in the Southern Ocean. We find that LGM climate conditions without changes in Fe input lead to a large increase in diatoms north of the winter sea ice edge in the South Atlantic (19%) and the South Pacific (26%), and a 31% and 9% increase within the seasonal sea-ice zone in the South Atlantic and Indian oceans, respectively, while diatoms decrease in the Ross and Weddell Seas, and in the South Pacific (62%) south of the winter sea ice edge. Coccolithophores increase by 11% in the South West Atlantic near 45 degrees S but are outcompeted by diatoms within the seasonal sea-ice zone, where they decrease by 21%. Overall, this results in a 11% decrease in Southern Ocean net primary productivity (NPP) and a 2.4% decrease in export production (EP). A series of sensitivity experiments with different aeolian Fe input are compared to available paleo-proxy records. The best fit is obtained for a simulation forced with dust fluxes from Lambert et al. (2015), https://doi.org/10.1002/2015gl064250 and reduced Antarctic Bottom Water formation in the Weddell Sea. The 78% increase in aeolian Fe input in the Southern Ocean in this simulation increases the Southern Ocean EP by 4.4%, while NPP remains 8.7% weaker compared to preindustrial.</t>
  </si>
  <si>
    <t>[Saini, Himadri; Meissner, Katrin J.; Menviel, Laurie] Univ New South Wales, Climate Change Res Ctr, Sydney, NSW, Australia; [Saini, Himadri; Meissner, Katrin J.] Australian Res Council, Ctr Excellence Climate Extremes, Sydney, NSW, Australia; [Kvale, Karin] GEOMAR Helmholtz Ctr Ocean Res, West Shore Campus, Kiel, Germany; [Kvale, Karin] GNS Sci, Lower Hutt, New Zealand; [Chase, Zanna] Univ Tasmania, Australian Antarct Program Partnership, Inst Marine &amp; Antarctic Studies, Hobart, Tas, Australia; [Kohfeld, Karen E.] Simon Fraser Univ, Sch Resource &amp; Environm Management, Burnaby, BC, Canada</t>
  </si>
  <si>
    <t>University of New South Wales Sydney; Helmholtz Association; GEOMAR Helmholtz Center for Ocean Research Kiel; GNS Science - New Zealand; University of Tasmania; Simon Fraser University</t>
  </si>
  <si>
    <t>Saini, H (corresponding author), Univ New South Wales, Climate Change Res Ctr, Sydney, NSW, Australia.;Saini, H (corresponding author), Australian Res Council, Ctr Excellence Climate Extremes, Sydney, NSW, Australia.</t>
  </si>
  <si>
    <t>himadri.saini@student.unsw.edu.au</t>
  </si>
  <si>
    <t>Chase, Zanna/E-9232-2013; Kvale, Karin F/A-7597-2013; Kvale, Karin/T-1231-2018; Menviel, Laurie/D-6902-2013</t>
  </si>
  <si>
    <t>Kvale, Karin/0000-0001-8043-5431; Menviel, Laurie/0000-0002-5068-1591; Saini, Himadri/0000-0002-6852-8325; Meissner, Katrin/0000-0002-0716-7415; Kohfeld, Karen/0000-0001-7241-1624</t>
  </si>
  <si>
    <t>University International Postgraduate Award scheme (UNSW); Australian Research Council [DP180102357, FT180100606]; GEOMAR Helmholtz Centre for Ocean Research, Kiel; New Zealand Ministry of Business, Innovation and Employment through the Global Change through Time Program; Australian Research Council [FT180100606] Funding Source: Australian Research Council</t>
  </si>
  <si>
    <t>University International Postgraduate Award scheme (UNSW); Australian Research Council(Australian Research Council); GEOMAR Helmholtz Centre for Ocean Research, Kiel; New Zealand Ministry of Business, Innovation and Employment through the Global Change through Time Program(New Zealand Ministry of Business, Innovation and Employment (MBIE)); Australian Research Council(Australian Research Council)</t>
  </si>
  <si>
    <t>Himadri Saini acknowledges funding from the University International Postgraduate Award scheme (UNSW). Z. Chase and K. J. Meissner acknowledge funding from the Australian Research Council grant DP180102357. L. Menviel acknowledges funding from the Australian Research Council grant FT180100606. K. Kvale acknowledges support from the GEOMAR Helmholtz Centre for Ocean Research, Kiel and the New Zealand Ministry of Business, Innovation and Employment through the Global Change through Time Program. All experiments were performed on the computational facility of NCI owned by the Australian National University through awards under the Merit Allocation Scheme, the Intersect allocation scheme, and the UNSW HPC at NCI Scheme. The authors thank Dr. Rumi Ohgaito for sharing the dust deposition data and Dr. Lise Missiaen for her help on an earlier version of the manuscript.</t>
  </si>
  <si>
    <t>e2020PA004075</t>
  </si>
  <si>
    <t>10.1029/2020PA004075</t>
  </si>
  <si>
    <t>WOS:000679067400013</t>
  </si>
  <si>
    <t>Sangiorgi, F; Quaijtaal, W; Donders, TH; Schouten, S; Louwye, S</t>
  </si>
  <si>
    <t>Sangiorgi, Francesca; Quaijtaal, Willemijn; Donders, Timme H.; Schouten, Stefan; Louwye, Stephen</t>
  </si>
  <si>
    <t>Middle Miocene Temperature and Productivity Evolution at a Northeast Atlantic Shelf Site (IODP U1318, Porcupine Basin): Global and Regional Changes</t>
  </si>
  <si>
    <t>middle Miocene; sea surface temperature; sea surface productivity; North Atlantic; dinoflagellate cysts</t>
  </si>
  <si>
    <t>ANTARCTIC ICE-SHEET; SEA-SURFACE TEMPERATURE; DINOFLAGELLATE CYST ASSEMBLAGES; ATMOSPHERIC CARBON-DIOXIDE; ISOTOPE STRATIGRAPHY; CLIMATIC TRANSITION; TETRAETHER LIPIDS; ORGANIC-MATTER; SOUTHERN; CALIBRATION</t>
  </si>
  <si>
    <t>We present a high-resolution multiproxy middle Miocene sea surface temperature (SST) and productivity (SSP) reconstruction of Integrated Ocean Drilling Program Site U1318, from the upper slope edge (similar to 400 m water depth) of the Porcupine Basin continental margin, eastern North Atlantic Ocean. Biomarker and dinoflagellate cyst proxies reveal warm and mostly stratified waters during the Miocene Climatic Optimum (MCO) that cooled similar to 3 degrees C across the Miocene Climate Transition (MCT). The organic biomarker (TEX86 and UK ' 37) paleothermometers document a series of 11 transient cooling events (CEs), superimposed on the long-term climate evolution. These CEs are associated with increases in cold-water dinocysts and correlate to global benthic delta O-18 shifts, including the Mi-2, Mi-3, and Mi-4 events. Most CEs are also associated with increases in primary productivity. A prolonged interval of high SSP between similar to 13.8 and 13.6 Ma supports the idea that carbon production (and burial) in shallow areas represents a feedback mechanism contributing to long-term atmospheric CO2 decline and cooling during the MCT. SST comparison in three North Atlantic sites (Azores Site 608, Porcupine Basin Site U1318, and Rockall Plateau Site 982) reveals that MCO SSTs are much warmer at Site 608 than at the other two sites. The low-resolution SST record of Site 982 shows no decrease in temperature around the MCT. This may be linked to contemporaneous tectonic changes in the Tethys, Central American, and Arctic Seaways impacting local ocean circulation, superimposed on global drivers of climate change.</t>
  </si>
  <si>
    <t>[Sangiorgi, Francesca; Schouten, Stefan] Univ Utrecht, Dept Earth Sci, Utrecht, Netherlands; [Quaijtaal, Willemijn; Louwye, Stephen] Univ Ghent, Dept Geol, Paleontol &amp; Paleoenvironm, Ghent, Belgium; [Donders, Timme H.] Univ Utrecht, Dept Phys Geog, Utrecht, Netherlands; [Schouten, Stefan] Royal Netherlands Inst Sea Res, Dept Marine Microbiol &amp; Biogeochem, Den Burg, Texel, Netherlands</t>
  </si>
  <si>
    <t>Utrecht University; Ghent University; Utrecht University; Utrecht University; Royal Netherlands Institute for Sea Research (NIOZ)</t>
  </si>
  <si>
    <t>f.sangiorgi@uu.nl</t>
  </si>
  <si>
    <t>Quaijtaal, Willemijn/HNB-5108-2023; Donders, Timme H/J-5044-2012; Louwye, Stephen/D-3856-2012</t>
  </si>
  <si>
    <t>Quaijtaal, Willemijn/0000-0001-6016-0194; Sangiorgi, Francesca/0000-0003-4233-6154; Donders, Timme/0000-0003-4698-3463; Louwye, Stephen/0000-0003-4814-4313</t>
  </si>
  <si>
    <t>Research Foundation-Flanders (FWO) [G.0179.11N]; Ministry of Education, Culture and Science (OCW)</t>
  </si>
  <si>
    <t>Research Foundation-Flanders (FWO)(FWO); Ministry of Education, Culture and Science (OCW)(Ministry of Education, Culture, Sports, Science and Technology, Japan (MEXT))</t>
  </si>
  <si>
    <t>The samples for this study were provided by the Integrated Ocean Discovery Program. Walter Hale and Alex Wulbers kindly supported the sampling at the Bremen Core Repository. Ivo Vandemoortel is thanked for helping with isotope analyses. Anchelique Mets, Jort Ossebaar, Monique Verweij (NIOZ), and Sabine Van Cauwenberghe (UGent) are thanked for their technical assistance. We thank James Super and Matt Huber for sharing the biomarker data of ODP Site 982 and Sindia Sosdian for sharing CO2 data. We thank Stijn de Schepper and one anonymous reviewer for their comments, which greatly improved the manuscript. This work was supported by the Research Foundation-Flanders (FWO) under project number G.0179.11N. SS thanks the Netherlands Earth System Science Center, funded by the Ministry of Education, Culture and Science (OCW).</t>
  </si>
  <si>
    <t>e2020PA004059</t>
  </si>
  <si>
    <t>10.1029/2020PA004059</t>
  </si>
  <si>
    <t>WOS:000679067400012</t>
  </si>
  <si>
    <t>Smith, AW; Forsyth, C; Rae, J; Rodger, CJ; Freeman, MP</t>
  </si>
  <si>
    <t>Smith, Andrew W.; Forsyth, Colin; Rae, Jonathan; Rodger, Craig J.; Freeman, Mervyn P.</t>
  </si>
  <si>
    <t>The Impact of Sudden Commencements on Ground Magnetic Field Variability: Immediate and Delayed Consequences</t>
  </si>
  <si>
    <t>geomagnetic perturbations; geomagnetically induced currents; GICs; interplanetary shocks; sudden commencements</t>
  </si>
  <si>
    <t>GEOMAGNETICALLY INDUCED CURRENTS; EXTREME SPACE WEATHER; INTERPLANETARY SHOCKS; TEMPORAL VARIATIONS; NEW-ZEALAND; SUBSTORMS; SYSTEMS; DISTURBANCES; PASSAGE; STORMS</t>
  </si>
  <si>
    <t>We examine how Sudden Commencements (SCs) and Storm Sudden Commencements (SSCs) influence the occurrence of high rates of change of the magnetic field (R) as a function of geomagnetic latitude. These rapid, high amplitude variations in the ground-level geomagnetic field pose a significant risk to ground infrastructure, such as power networks, as the drivers of geomagnetically induced currents. We find that rates of change of similar to 30 nT min(-1) at near-equatorial stations are up to 700 times more likely in an SC than in any random interval. This factor decreases with geomagnetic latitude such that rates of change around 30 nT min(-1) are only up to 10 times more likely by 65 degrees. At equatorial latitudes we find that 25% of all R in excess of 50 nT min(-1) occurs during SCs. This percentage also decreases with geomagnetic latitude, reaching &lt;= 1% by 55 degrees. However, the time period from the SC to 3 days afterward accounts for &gt;= 90% of geomagnetic field fluctuations over 50 nT min(-1), up to similar to 60 degrees latitude. Above 60 degrees, other phenomena such as isolated substorms account for the majority of large R. Furthermore, the elevated rates of change observed during and after SCs are solely due to those classified as SSCs. These results show that SSCs are the predominant risk events for large R at mid and low latitudes, but that the risk from the SC itself decreases with latitude.</t>
  </si>
  <si>
    <t>[Smith, Andrew W.; Forsyth, Colin] UCL, Mullard Space Sci Lab, Dorking, Surrey, England; [Rae, Jonathan] Northumbria Univ, Dept Math Phys &amp; Elect Engn, Newcastle Upon Tyne, Tyne &amp; Wear, England; [Rodger, Craig J.] Univ Otago, Dept Phys, Dunedin, New Zealand; [Freeman, Mervyn P.] British Antarctic Survey, Cambridge, England</t>
  </si>
  <si>
    <t>University of London; University College London; Northumbria University; University of Otago; UK Research &amp; Innovation (UKRI); Natural Environment Research Council (NERC); NERC British Antarctic Survey</t>
  </si>
  <si>
    <t>Smith, AW (corresponding author), UCL, Mullard Space Sci Lab, Dorking, Surrey, England.</t>
  </si>
  <si>
    <t>andy.w.smith@ucl.ac.uk</t>
  </si>
  <si>
    <t>Freeman, Mervyn/E-5687-2019; Smith, Andy/AAT-7849-2020; Rodger, Craig/A-1501-2011; Forsyth, Colin/E-4159-2010</t>
  </si>
  <si>
    <t>Smith, Andy/0000-0001-7321-4331; Forsyth, Colin/0000-0002-0026-8395; Rae, Iain Jonathan/0000-0002-2637-4786; Rodger, Craig J./0000-0002-6770-2707</t>
  </si>
  <si>
    <t>STFC [ST/S000240/1]; NERC [NE/P017150/1, NE/V002724/1, NE/N014480/1, NE/P016693/1, NE/V002716/1]; New Zealand Ministry of Business, Innovation &amp; Employment through Endeavor Fund Research Program [UOOX2002]; New Zealand Ministry of Business, Innovation &amp; Employment (MBIE) [UOOX2002] Funding Source: New Zealand Ministry of Business, Innovation &amp; Employment (MBIE); NERC [NE/P017150/1, NE/N014480/1, NE/P016693/1] Funding Source: UKRI; SPF [NE/V002716/1, NE/V002724/1] Funding Source: UKRI; STFC [ST/S000240/1, ST/V006320/1] Funding Source: UKRI</t>
  </si>
  <si>
    <t>STFC(UK Research &amp; Innovation (UKRI)Science &amp; Technology Facilities Council (STFC)); NERC(UK Research &amp; Innovation (UKRI)Natural Environment Research Council (NERC)); New Zealand Ministry of Business, Innovation &amp; Employment through Endeavor Fund Research Program; New Zealand Ministry of Business, Innovation &amp; Employment (MBIE)(New Zealand Ministry of Business, Innovation and Employment (MBIE)); NERC(UK Research &amp; Innovation (UKRI)Natural Environment Research Council (NERC)); SPF; STFC(UK Research &amp; Innovation (UKRI)Science &amp; Technology Facilities Council (STFC))</t>
  </si>
  <si>
    <t>A. W. Smith and I. J. Rae were supported by STFC Consolidated Grant ST/S000240/1, and NERC grants NE/P017150/1 and NE/V002724/1. C. Forsyth was supported by the NERC Independent Research Fellowship NE/N014480/1, NERC grant NE/V002724/1 and STFC Consolidated Grant ST/S000240/1. C. J. Rodger was supported by the New Zealand Ministry of Business, Innovation &amp; Employment through Endeavor Fund Research Program contract UOOX2002. M. P. Freeman was supported by NERC grants NE/P016693/1 (SWIGS) and NE/V002716/1 (SWIMMR SAGE). The analysis in this paper was performed using python, including the pandas (McKinney, 2010), numpy (Van Der Walt et al., 2011), scikit-learn (Pedregosa et al., 2011), scipy (Virtanen et al., 2020) and matplotlib (Hunter, 2007) libraries. The authors thank the involved national institutes, the INTERMAGNET network and the ISGI.</t>
  </si>
  <si>
    <t>e2021SW002764</t>
  </si>
  <si>
    <t>10.1029/2021SW002764</t>
  </si>
  <si>
    <t>TR6HQ</t>
  </si>
  <si>
    <t>WOS:000679063900006</t>
  </si>
  <si>
    <t>Cajiao, D; Benayas, J; Tejedo, P; Leung, YF</t>
  </si>
  <si>
    <t>Cajiao, Daniela; Benayas, Javier; Tejedo, Pablo; Leung, Yu-Fai</t>
  </si>
  <si>
    <t>Adaptive Management of Sustainable Tourism in Antarctica: A Rhetoric or Working Progress?</t>
  </si>
  <si>
    <t>SUSTAINABILITY</t>
  </si>
  <si>
    <t>Antarctic treaty system; comprehensive process; environmental impact; protected areas; monitoring; polar regions; strategic planning</t>
  </si>
  <si>
    <t>ECOSYSTEM SERVICES; POPULATION TRENDS; HUMAN IMPACT; LONG-TERM; RESPONSES; GENTOO; CHALLENGES; PENGUINS; SCIENCE; ISLAND</t>
  </si>
  <si>
    <t>Growth and diversification of tourism activities in Antarctica have not been matched by proactive strategies for planning or management. Recognizing that the adaptive management approach has been effectively implemented in managing tourism in protected areas, we examine to what extent this approach has been incorporated into the Antarctic tourism research and management, and what constraints exist for its implementation. To better understand the extent of literature contributions, we conducted an appraisal of 72 peer-reviewed journal articles published from 1992 to 2020 and Antarctic management documents. From a scientific perspective, researchers have been advocating for adaptive management approaches to Antarctic tourism and have applied different elements, particularly ecological assessments, design of management measures, monitoring, and regulatory mechanisms. However, these contributions have not been necessarily translated into management policy and regulations. We acknowledge that full implementation of an adaptive management approach is not easily achievable due to the unique Antarctic regime. However, we argue that comprehensive site-specific and regional adaptive management models could be applied as the first step for a more systematic implementation. This incremental approach could contribute to enhanced stakeholder participation and improved decision-making processes, ultimately leading to a more proactive and effective management of Antarctic tourism, essential for the conservation of the continent.</t>
  </si>
  <si>
    <t>[Cajiao, Daniela; Benayas, Javier; Tejedo, Pablo] Univ Autonoma Madrid, Dept Ecol, C Darwin 2, E-28049 Madrid, Spain; [Cajiao, Daniela] Univ San Francisco Quito, Inst Ecol Aplicada ECOLAP USFQ, POB 1712841, Diego Robles Pampite, Cumbaya, Ecuador; [Leung, Yu-Fai] North Carolina State Univ, Dept Pk Recreat &amp; Tourism Management, Raleigh, NC 27695 USA; [Leung, Yu-Fai] North Carolina State Univ, Ctr Geospatial Analyt, Raleigh, NC 27695 USA</t>
  </si>
  <si>
    <t>Autonomous University of Madrid; Universidad San Francisco de Quito; North Carolina State University; North Carolina State University</t>
  </si>
  <si>
    <t>Cajiao, D (corresponding author), Univ Autonoma Madrid, Dept Ecol, C Darwin 2, E-28049 Madrid, Spain.;Cajiao, D (corresponding author), Univ San Francisco Quito, Inst Ecol Aplicada ECOLAP USFQ, POB 1712841, Diego Robles Pampite, Cumbaya, Ecuador.</t>
  </si>
  <si>
    <t>danicajiao@gmail.com; javier.benayas@uam.es; pablo.tejedo@uam.es; leung@ncsu.edu</t>
  </si>
  <si>
    <t>Tejedo, Pablo/A-7163-2010; Benayas Del Alamo, Fco. Javier/E-5663-2017</t>
  </si>
  <si>
    <t>Tejedo, Pablo/0000-0002-1865-0445; Leung, Yu-Fai/0000-0002-0928-798X; Cajiao, Daniela/0000-0003-0816-2138; Benayas Del Alamo, Fco. Javier/0000-0002-5906-9569</t>
  </si>
  <si>
    <t>Spanish Research Agency through the project ANTECO [CGL2017-89820-P]; Academic Consortium for the 21st Century Special Project Fund [NCSU 2020-2618]</t>
  </si>
  <si>
    <t>Spanish Research Agency through the project ANTECO; Academic Consortium for the 21st Century Special Project Fund</t>
  </si>
  <si>
    <t>This research was funded by the Spanish Research Agency through the project ANTECO CGL2017-89820-P and Academic Consortiumfor the 21st Century Special Project Fund NCSU 2020-2618.</t>
  </si>
  <si>
    <t>2071-1050</t>
  </si>
  <si>
    <t>SUSTAINABILITY-BASEL</t>
  </si>
  <si>
    <t>Sustainability</t>
  </si>
  <si>
    <t>10.3390/su13147649</t>
  </si>
  <si>
    <t>Green &amp; Sustainable Science &amp; Technology; Environmental Sciences; Environmental Studies</t>
  </si>
  <si>
    <t>Science &amp; Technology - Other Topics; Environmental Sciences &amp; Ecology</t>
  </si>
  <si>
    <t>TO7VY</t>
  </si>
  <si>
    <t>WOS:000677115300001</t>
  </si>
  <si>
    <t>Liu, W; Liu, ZY; Li, SW</t>
  </si>
  <si>
    <t>Liu, Wei; Liu, Zhengyu; Li, Shouwei</t>
  </si>
  <si>
    <t>The Driving Mechanisms on Southern Ocean Upwelling Change during the Last Deglaciation</t>
  </si>
  <si>
    <t>GEOSCIENCES</t>
  </si>
  <si>
    <t>Southern Ocean upwelling; last deglaciation; Southern Hemisphere westerlies; buoyancy forcing; topography</t>
  </si>
  <si>
    <t>WESTERLY WIND CHANGES; ANTARCTIC SEA-ICE; GLACIAL MAXIMUM; ATMOSPHERIC CO2; CIRCULATION; CLIMATE; HEMISPHERE; MODEL; SIMULATION; HISTORY</t>
  </si>
  <si>
    <t>We explore the change in Southern Ocean upwelling during the last deglaciation, based on proxy records and a transient climate model simulation. Our analyses suggest that, beyond a conventional mechanism of the Southern Hemisphere westerlies shift, Southern Ocean upwelling is strongly influenced by surface buoyancy forcing and the local topography. Over the Antarctic Circumpolar Current region, the zonal mean and local upwelled flows exhibited distinct evolution patterns during the last deglaciation, since they are driven by different mechanisms. The zonal mean upwelling is primarily driven by surface wind stress via zonal mean Ekman pumping, whereas local upwelling is driven by both wind and buoyancy forcing, and is tightly coupled to local topography. During the early stage of the last deglaciation, the vertical extension of the upwelled flows increased downstream of submarine ridges but decreased upstream, which led to enhanced and diminished local upwelling, downstream and upstream of the submarine ridges, respectively.</t>
  </si>
  <si>
    <t>[Liu, Wei; Li, Shouwei] Univ Calif Riverside, Dept Earth &amp; Planetary Sci, Riverside, CA 92521 USA; [Liu, Zhengyu] Ohio State Univ, Dept Geog, Columbus, OH 43210 USA</t>
  </si>
  <si>
    <t>University of California System; University of California Riverside; University System of Ohio; Ohio State University</t>
  </si>
  <si>
    <t>Liu, W (corresponding author), Univ Calif Riverside, Dept Earth &amp; Planetary Sci, Riverside, CA 92521 USA.</t>
  </si>
  <si>
    <t>wei.liu@ucr.edu; liu.7022@osu.edu; sli227@ucr.edu</t>
  </si>
  <si>
    <t>Alfred P. Sloan Foundation; Sloan Research Fellowship</t>
  </si>
  <si>
    <t>Alfred P. Sloan Foundation(Alfred P. Sloan Foundation); Sloan Research Fellowship(Alfred P. Sloan Foundation)</t>
  </si>
  <si>
    <t>W.L. is supported by the Alfred P. Sloan Foundation as a Research Fellow. S.L. is supported by the Sloan Research Fellowship awarded to W.L.</t>
  </si>
  <si>
    <t>2076-3263</t>
  </si>
  <si>
    <t>Geosciences</t>
  </si>
  <si>
    <t>10.3390/geosciences11070266</t>
  </si>
  <si>
    <t>TQ4BU</t>
  </si>
  <si>
    <t>WOS:000678227500001</t>
  </si>
  <si>
    <t>Park, KT; Yoon, YJ; Lee, K; Tunved, P; Krejci, R; Ström, J; Jang, E; Kang, HJ; Jang, S; Park, J; Lee, BY; Traversi, R; Becagli, S; Hermansen, O</t>
  </si>
  <si>
    <t>Park, Ki-Tae; Yoon, Young Jun; Lee, Kitack; Tunved, Peter; Krejci, Radovan; Strom, Johan; Jang, Eunho; Kang, Hyo Jin; Jang, Sehyun; Park, Jiyeon; Lee, Bang Yong; Traversi, Rita; Becagli, Silvia; Hermansen, Ove</t>
  </si>
  <si>
    <t>Dimethyl Sulfide-Induced Increase in Cloud Condensation Nuclei in the Arctic Atmosphere</t>
  </si>
  <si>
    <t>Aerosols; Arctic atmosphere; cloud condensation nuclei; dimethyl sulfide; phytoplankton</t>
  </si>
  <si>
    <t>PARTICLE FORMATION EVENTS; KING SEJONG STATION; OCEANIC PHYTOPLANKTON; ANTARCTIC PENINSULA; AEROSOL PROPERTIES; SIZE DISTRIBUTION; MARINE; SULFUR; GROWTH; CLIMATE</t>
  </si>
  <si>
    <t>Oceanic dimethyl sulfide (DMS) emissions have been recognized as a biological regulator of climate by contributing to cloud formation. Despite decades of research, the climatic role of DMS remains ambiguous largely because of limited observational evidence for DMS-induced cloud condensation nuclei (CCN) enhancement. Here, we report concurrent measurement of DMS, physiochemical properties of aerosol particles, and CCN in the Arctic atmosphere during the phytoplankton bloom period of 2010. We encountered multiple episodes of new particle formation (NPF) and particle growth when DMS mixing ratios were both low and high. The growth of particles to sizes at which they can act as CCN accelerated in response to an increase in atmospheric DMS. Explicitly, the sequential increase in all relevant parameters (including the source rate of condensable vapor, the growth rate of particles, Aitken mode particles, hygroscopicity, and CCN) was pronounced at the DMS-derived NPF and particle growth events. This field study unequivocally demonstrates the previously unconfirmed roles of DMS in the growth of particles into climate-relevant size and eventual CCN activation.</t>
  </si>
  <si>
    <t>[Park, Ki-Tae; Yoon, Young Jun; Jang, Eunho; Kang, Hyo Jin; Park, Jiyeon; Lee, Bang Yong] Korea Polar Res Inst, Incheon, South Korea; [Park, Ki-Tae; Jang, Eunho; Kang, Hyo Jin] Univ Sci &amp; Technol, Daejeon, South Korea; [Lee, Kitack; Jang, Sehyun] Pohang Univ Sci &amp; Technol, Dept Environm Sci &amp; Engn, Pohang, South Korea; [Tunved, Peter; Krejci, Radovan; Strom, Johan] Stockholm Univ, Dept Environm Sci, Stockholm, Sweden; [Tunved, Peter; Krejci, Radovan; Strom, Johan] Stockholm Univ, Analyt Chem &amp; Bolin Ctr Climate Res, Stockholm, Sweden; [Traversi, Rita; Becagli, Silvia] Univ Florence, Dept Chem Ugo Schiff, Sesto Fiorentino, Italy; [Traversi, Rita; Becagli, Silvia] CNR, ISP, Inst Polar Sci, Venice, Italy; [Hermansen, Ove] Norwegian Inst Air Res, Kjeller, Norway</t>
  </si>
  <si>
    <t>Korea Polar Research Institute (KOPRI); University of Science &amp; Technology (UST); Pohang University of Science &amp; Technology (POSTECH); Stockholm University; Stockholm University; University of Florence; Consiglio Nazionale delle Ricerche (CNR); Istituto di Scienze Polari (ISP-CNR); NILU</t>
  </si>
  <si>
    <t>Park, KT (corresponding author), Korea Polar Res Inst, Incheon, South Korea.;Park, KT (corresponding author), Univ Sci &amp; Technol, Daejeon, South Korea.</t>
  </si>
  <si>
    <t>ktpark@kopri.re.kr</t>
  </si>
  <si>
    <t>Krejci, Radovan/L-3257-2013; Lee, Kitack/G-7184-2015; Becagli, Silvia/GNW-2665-2022; Park, Ki-Tae/CAF-2480-2022</t>
  </si>
  <si>
    <t>Krejci, Radovan/0000-0002-9384-9702; Kang, Hyojin/0000-0002-1682-6689</t>
  </si>
  <si>
    <t>National Research Foundation of Korea [NRF-2021M1A5A1065425 (KOPRI-PN21011), NRF-2021R1A2C3008748]</t>
  </si>
  <si>
    <t>National Research Foundation of Korea(National Research Foundation of Korea)</t>
  </si>
  <si>
    <t>This study has been supported by the National Research Foundation of Korea (grant nos. NRF-2021M1A5A1065425 (KOPRI-PN21011) and NRF-2021R1A2C3008748).</t>
  </si>
  <si>
    <t>e2021GB006969</t>
  </si>
  <si>
    <t>10.1029/2021GB006969</t>
  </si>
  <si>
    <t>TP8AF</t>
  </si>
  <si>
    <t>WOS:000677815700002</t>
  </si>
  <si>
    <t>Papale, M; Rizzo, C; Caruso, G; La Ferla, R; Maimone, G; Lo Giudice, A; Azzaro, M; Guglielmin, M</t>
  </si>
  <si>
    <t>Papale, Maria; Rizzo, Carmen; Caruso, Gabriella; La Ferla, Rosabruna; Maimone, Giovanna; Lo Giudice, Angelina; Azzaro, Maurizio; Guglielmin, Mauro</t>
  </si>
  <si>
    <t>First Insights into the Microbiology of Three Antarctic Briny Systems of the Northern Victoria Land</t>
  </si>
  <si>
    <t>DIVERSITY-BASEL</t>
  </si>
  <si>
    <t>cryoenvironments; prokaryotic diversity; prokaryotic abundance; microbial metabolic activities; predictive functional profiling; Antarctic lakes' brines</t>
  </si>
  <si>
    <t>LAKE FRYXELL; RESPIRATORY ACTIVITY; BACTERIA; PERMAFROST; DIVERSITY; AMINOPEPTIDASE; PURIFICATION; COMMUNITIES; REDUCTION; PROTEASE</t>
  </si>
  <si>
    <t>Different polar environments (lakes and glaciers), also in Antarctica, encapsulate brine pools characterized by a unique combination of extreme conditions, mainly in terms of high salinity and low temperature. Since 2014, we have been focusing our attention on the microbiology of brine pockets from three lakes in the Northern Victoria Land (NVL), lying in the Tarn Flat (TF) and Boulder Clay (BC) areas. The microbial communities have been analyzed for community structure by next generation sequencing, extracellular enzyme activities, metabolic potentials, and microbial abundances. In this study, we aim at reconsidering all available data to analyze the influence exerted by environmental parameters on the community composition and activities. Additionally, the prediction of metabolic functions was attempted by the phylogenetic investigation of communities by reconstruction of unobserved states (PICRUSt2) tool, highlighting that prokaryotic communities were presumably involved in methane metabolism, aromatic compound biodegradation, and organic compound (proteins, polysaccharides, and phosphates) decomposition. The analyzed cryoenvironments were different in terms of prokaryotic diversity, abundance, and retrieved metabolic pathways. By the analysis of DNA sequences, common operational taxonomic units ranged from 2.2% to 22.0%. The bacterial community was dominated by Bacteroidetes. In both BC and TF brines, sequences of the most thermally tolerant and methanogenic Archaea were detected, some of them related to hyperthermophiles.</t>
  </si>
  <si>
    <t>[Papale, Maria; Rizzo, Carmen; Caruso, Gabriella; La Ferla, Rosabruna; Maimone, Giovanna; Lo Giudice, Angelina; Azzaro, Maurizio] Natl Res Council CNR ISP, Inst Polar Sci, Spianata San Raineri 86, I-98122 Messina, Italy; [Rizzo, Carmen] Natl Inst Biol, Dept BIOTECH, Stn Zool Anton Dohrn, Contrada Porticatello 29, I-98167 Messina, Italy; [Guglielmin, Mauro] Univ Insubria, Dipartimento Sci Teor &amp; Applicate, Via JH Dunant 3, I-21100 Varese, Italy</t>
  </si>
  <si>
    <t>Consiglio Nazionale delle Ricerche (CNR); Istituto di Scienze Polari (ISP-CNR); Stazione Zoologica Anton Dohrn di Napoli; University of Insubria</t>
  </si>
  <si>
    <t>Lo Giudice, A (corresponding author), Natl Res Council CNR ISP, Inst Polar Sci, Spianata San Raineri 86, I-98122 Messina, Italy.</t>
  </si>
  <si>
    <t>maria.papale@isp.cnr.it; carmen.rizzo@cnr.it; gabriella.caruso@cnr.it; rosabruna.laferla@cnr.it; giovanna.maimone@cnr.it; angelina.logiudice@cnr.it; maurizio.azzaro@cnr.it; mauro.guglielmin@uninsubria.it</t>
  </si>
  <si>
    <t>azzaro, Maurizio/AAE-6784-2019; Caruso, Gabriella/F-5450-2013; Rizzo, Carmen/S-6285-2019; Rizzo, Carmen/AAA-3075-2022</t>
  </si>
  <si>
    <t>azzaro, Maurizio/0000-0001-7885-2340; Caruso, Gabriella/0000-0002-3819-5486; Rizzo, Carmen/0000-0002-4340-3833; Papale, Maria/0000-0002-6013-4436</t>
  </si>
  <si>
    <t>Programma Nazionale di Ricerche in Antartide (PNRA) [PNRA16_00194-A1, PNRA18_00186-E]</t>
  </si>
  <si>
    <t>Programma Nazionale di Ricerche in Antartide (PNRA)</t>
  </si>
  <si>
    <t>This research was funded by the Programma Nazionale di Ricerche in Antartide (PNRA): PNRA16_00194-A1 Climate Change and Permafrost Ecosystems in Continental Antarctica and PNRA18_00186-E Interactions between permafrost and ecosystems in Continental Antarctica.</t>
  </si>
  <si>
    <t>1424-2818</t>
  </si>
  <si>
    <t>Diversity-Basel</t>
  </si>
  <si>
    <t>10.3390/d13070323</t>
  </si>
  <si>
    <t>TN7WO</t>
  </si>
  <si>
    <t>WOS:000676440900001</t>
  </si>
  <si>
    <t>Kalarus, M; Panasiuk, A</t>
  </si>
  <si>
    <t>Kalarus, Marcin; Panasiuk, Anna</t>
  </si>
  <si>
    <t>Spatial Distribution Patterns of Appendicularians in the Drake Passage: Potential Indicators of Water Masses?</t>
  </si>
  <si>
    <t>larvaceans; Drake Passage; latitudinal changes in assemblages; Fritillaria borealis; environmental conditions</t>
  </si>
  <si>
    <t>ZOOPLANKTON COMMUNITY STRUCTURE; SOUTHERN-OCEAN SOUTH; ATLANTIC SECTOR; SEASONAL VARIABILITY; AUSTRAL SUMMER; OIKOPLEURA; PHYTOPLANKTON; TUNICATA; HOUSE; LARVACEANS</t>
  </si>
  <si>
    <t>Appendicularians are one of the most common animals found within zooplankton assemblages. They play a very important role as filter feeders but are, unfortunately, inconsistently reported in the Antarctic literature. The present paper attempts to describe the zonal diversity of appendicularians and the main environmental factors influencing their communities in the Drake Passage. Samples were collected during Antarctic summer in 2009-2010. A total of eight species of larvaceans were identified. Fritillaria borealis was the species found in the highest numbers in almost the entire studied area, and was observed at all sampling stations. The distributions of other taxa were limited to specific hydrological zones and hydrological conditions. F. fraudax and Oikopleura gaussica were typical of the areas between the Polar Front and the Subantarctic Front zones, and their distributions were significantly correlated with temperature and salinity, likely making them good indicator species. The F. fusiformis distribution was strictly related to South American waters. In summary, temperature was the strongest environmental factor influencing the larvacean community structure in the Drake Passage, and we also found that testing environmental factors on larvaceans as a whole group did not give entirely reliable results.</t>
  </si>
  <si>
    <t>[Kalarus, Marcin] Gdynia Maritime Univ, Maritime Inst, Dept Aquat Ecol, Smoluchowskiego 1-3, PL-80214 Gdansk, Poland; [Panasiuk, Anna] Univ Gdansk, Inst Oceanog, Fac Oceanog &amp; Geog, Dept Marine Plankton Res, Av Marszalka J Pilsudskiego 46, PL-81378 Gdynia, Poland</t>
  </si>
  <si>
    <t>Maritime Institute in Gdansk; Gdynia Maritime University; Fahrenheit Universities; University of Gdansk</t>
  </si>
  <si>
    <t>Panasiuk, A (corresponding author), Univ Gdansk, Inst Oceanog, Fac Oceanog &amp; Geog, Dept Marine Plankton Res, Av Marszalka J Pilsudskiego 46, PL-81378 Gdynia, Poland.</t>
  </si>
  <si>
    <t>Marcin.Kalarus@im.umg.edu.pl; anna.panasiuk@ug.edu.pl</t>
  </si>
  <si>
    <t>Kalarus, Marcin/AAE-2681-2020; Panasiuk, Anna/HDO-1195-2022</t>
  </si>
  <si>
    <t>Kalarus, Marcin/0000-0001-5879-3750; Panasiuk, Anna/0000-0002-1008-2922</t>
  </si>
  <si>
    <t>Ministry of Science and Higher Education (Poland) [N306 445 638]</t>
  </si>
  <si>
    <t>Ministry of Science and Higher Education (Poland)(Ministry of Science and Higher Education, Poland)</t>
  </si>
  <si>
    <t>This work was supported by research grant No. N306 445 638 (2010-2012) awarded to the Institute of Oceanography (University of Gdansk) by the Ministry of Science and Higher Education (Poland).</t>
  </si>
  <si>
    <t>10.3390/d13070286</t>
  </si>
  <si>
    <t>TP0WN</t>
  </si>
  <si>
    <t>WOS:000677320100001</t>
  </si>
  <si>
    <t>Yusof, NA; Hashim, NHF; Bharudin, I</t>
  </si>
  <si>
    <t>Yusof, Nur Athirah; Hashim, Noor Haza Fazlin; Bharudin, Izwan</t>
  </si>
  <si>
    <t>Cold Adaptation Strategies and the Potential of Psychrophilic Enzymes from the Antarctic Yeast, Glaciozyma antarctica PI12</t>
  </si>
  <si>
    <t>JOURNAL OF FUNGI</t>
  </si>
  <si>
    <t>Antarctica; antifreeze protein; cold-active proteins; cold adaptation; membrane fluidity; psychrophilic yeast</t>
  </si>
  <si>
    <t>ICE-BINDING PROTEINS; ANTIFREEZE PROTEIN; MEMBRANE-FLUIDITY; PROVIDES INSIGHTS; EXPRESSION; BACTERIUM; GENOME; PREDICTION; SHOCK; IDENTIFICATION</t>
  </si>
  <si>
    <t>Psychrophilic organisms possess several adaptive strategies which allow them to sustain life at low temperatures between -20 to 20 degrees C. Studies on Antarctic psychrophiles are interesting due to the multiple stressors that exist on the permanently cold continent. These organisms produce, among other peculiarities, cold-active enzymes which not only have tremendous biotechnological potential but are valuable models for fundamental research into protein structure and function. Recent innovations in omics technologies such as genomics, transcriptomics, proteomics and metabolomics have contributed a remarkable perspective of the molecular basis underpinning the mechanisms of cold adaptation. This review critically discusses similar and different strategies of cold adaptation in the obligate psychrophilic yeast, Glaciozyma antarctica PI12 at the molecular (genome structure, proteins and enzymes, gene expression) and physiological (antifreeze proteins, membrane fluidity, stress-related proteins) levels. Our extensive studies on G. antarctica have revealed significant insights towards the innate capacity of- and the adaptation strategies employed by this psychrophilic yeast for life in the persistent cold. Furthermore, several cold-active enzymes and proteins with biotechnological potential are also discussed.</t>
  </si>
  <si>
    <t>[Yusof, Nur Athirah] Univ Malaysia Sabah, Biotechnol Res Inst, Jalan UMS, Kota Kinabalu 88400, Sabah, Malaysia; [Hashim, Noor Haza Fazlin] Minist Environm &amp; Water, Natl Water Res Inst Malaysia NAHRIM, Water Qual Lab, Jalan Putra Permai, Seri Kembangan 43300, Selangor, Malaysia; [Bharudin, Izwan] Univ Kebangsaan Malaysia, Fac Sci &amp; Technol, Dept Biol Sci &amp; Biotechnol, Bangi 43600, Selangor, Malaysia</t>
  </si>
  <si>
    <t>Universiti Malaysia Sabah; Universiti Kebangsaan Malaysia</t>
  </si>
  <si>
    <t>Bharudin, I (corresponding author), Univ Kebangsaan Malaysia, Fac Sci &amp; Technol, Dept Biol Sci &amp; Biotechnol, Bangi 43600, Selangor, Malaysia.</t>
  </si>
  <si>
    <t>nrathirah.yusof@ums.edu.my; hazafazlin@nahrim.gov.my; ibb@ukm.edu.my</t>
  </si>
  <si>
    <t>Yusof, Nur Athirah/ABD-6881-2021</t>
  </si>
  <si>
    <t>Yusof, Nur Athirah/0000-0002-9298-7425; Hashim, Noor Haza Fazlin/0000-0002-6385-6469; Bharudin, Izwan/0000-0002-8908-4786</t>
  </si>
  <si>
    <t>2309-608X</t>
  </si>
  <si>
    <t>J FUNGI</t>
  </si>
  <si>
    <t>J. Fungi</t>
  </si>
  <si>
    <t>10.3390/jof7070528</t>
  </si>
  <si>
    <t>Microbiology; Mycology</t>
  </si>
  <si>
    <t>TP1JM</t>
  </si>
  <si>
    <t>WOS:000677354400001</t>
  </si>
  <si>
    <t>Lencinas, MV; Soler, R; Cellini, JM; Bahamonde, H; Flores, MP; Monelos, L; Pastur, GJM; Peri, PL</t>
  </si>
  <si>
    <t>Vanessa Lencinas, Maria; Soler, Rosina; Manuel Cellini, Juan; Bahamonde, Hector; Perez Flores, Magali; Monelos, Lucas; Martinez Pastur, Guillermo Jose; Luis Peri, Pablo</t>
  </si>
  <si>
    <t>Variation in Alpine Plant Diversity and Soil Temperatures in Two Mountain Landscapes of South Patagonia</t>
  </si>
  <si>
    <t>mountain vegetation; foothill grasslands; sub-Antarctic forests; Santa Cruz; Tierra del Fuego; GLORIA approach</t>
  </si>
  <si>
    <t>RANGE SHIFTS; VEGETATION PATTERNS; CLIMATE-CHANGE; VASCULAR PLANTS; LEFKA-ORI; ZONE; BIODIVERSITY; MANAGEMENT; INVASIONS; DYNAMICS</t>
  </si>
  <si>
    <t>Alpine environments and their temporal changes are rarely studied at high latitudes in the southern hemisphere. We analyzed alpine plants, soil temperatures, and growing-season length in mountains of two landscapes of South Patagonia (46 degrees to 56 degrees SL): three summits (814-1085 m a.s.l) surrounded by foothill grasslands in Santa Cruz province (SC), and four summits (634-864 m a.s.l.) in sub-Antarctic forests of Tierra del Fuego province (TF). Sampling followed the protocolized methodology of the Global Observational Research Initiative in Alpine Environments (GLORIA). Factors were topography (elevation and cardinal aspect) and time (baseline vs. re-sampling for plants, five annual periods for temperatures), assessed by univariate and multivariate tests. Plant composition reflected the lowland surrounding landscapes, with only 9 mountain species on 52 totals in SC and 3 on 30 in TF. Richness was higher in re-sampling than baseline, being assemblages more influenced by aspect than elevation. Mean annual soil temperature and growing-season length, which varied with topography, were related to the Multivariate El Nino Southern Oscillation Index (MEI) but did not show clear warming trends over time. We highlight the importance of long-term studies in mountainous regions of extreme southern latitudes, where factors other than warming (e.g., extreme climate events) explain variations.</t>
  </si>
  <si>
    <t>[Vanessa Lencinas, Maria; Soler, Rosina; Martinez Pastur, Guillermo Jose] Consejo Nacl Invest Cient &amp; Tecn CONICET, Ctr Austral Invest Cient CADIC, Av Houssay 200, RA-9410 Ushuaia, Tierra Fuego, Argentina; [Manuel Cellini, Juan] Univ Nacl La Plata UNLP, Lab Invest Madera LIMAD, Diagonal 113 469, RA-1900 La Plata, Buenos Aires, Argentina; [Bahamonde, Hector] Univ Nacl La Plata UNLP, Fac Ciencias Agr &amp; Forestales, Av 60 &amp; 119, RA-1900 La Plata, Buenos Aires, Argentina; [Perez Flores, Magali] Univ Nacl La Plata UNLP, Lab Invest Sistemas Ecol &amp; Ambientales LISEA, Diag 113 469, RA-1900 La Plata, Buenos Aires, Argentina; [Monelos, Lucas] Univ Nacl Patagonia Austral UNPA, Unidad Acad Rio Gallegos, Lisandro de la Torre 860, RA-9400 Rio Gallegos, Santa Cruz, Argentina; [Luis Peri, Pablo] Univ Nacl Patagonia Austral UNPA, Inst Nacl Tecnol Agr INTA, Consejo Nacl Invest Cient &amp; Tecn CONICET, CC 332, RA-9400 Rio Gallegos, Santa Cruz, Argentina</t>
  </si>
  <si>
    <t>Consejo Nacional de Investigaciones Cientificas y Tecnicas (CONICET); National University of La Plata; National University of La Plata; National University of La Plata; Universidad Nacional de la Patagonia San Juan Bosco; Instituto Nacional de Tecnologia Agropecuaria (INTA); Universidad Nacional de la Patagonia San Juan Bosco</t>
  </si>
  <si>
    <t>Lencinas, MV (corresponding author), Consejo Nacl Invest Cient &amp; Tecn CONICET, Ctr Austral Invest Cient CADIC, Av Houssay 200, RA-9410 Ushuaia, Tierra Fuego, Argentina.</t>
  </si>
  <si>
    <t>mvlencinas@conicet.gov.ar; rosina.soler@conicet.gov.ar; jmc@agro.unlp.edu.ar; hectorbh3@gmail.com; mpf@agro.unlp.edu.ar; lucasmonelos@gmail.com; gpastur@conicet.gov.ar; peri.pablo@inta.gob.ar</t>
  </si>
  <si>
    <t>Martínez Pastur, Guillermo J./H-8188-2014; Peri, Pablo Luis/ACF-3770-2022</t>
  </si>
  <si>
    <t>Martínez Pastur, Guillermo J./0000-0003-2614-5403; Bahamonde, Hector Alejandro/0000-0003-3065-9749; Peri, Pablo Luis/0000-0002-5398-4408; Cellini, Juan Manuel/0000-0002-7870-5751; Lencinas, Maria Vanessa/0000-0002-2123-3976; Perez Flores, Magali/0000-0001-5579-1389; Soler, Rosina/0000-0002-5799-1672</t>
  </si>
  <si>
    <t>ANPCyT-Argentina [PICT2012-1028, PICT2016-1968]; binational program BMWF-MINCyT</t>
  </si>
  <si>
    <t>ANPCyT-Argentina(ANPCyT); binational program BMWF-MINCyT</t>
  </si>
  <si>
    <t>This work was conducted with funds provided by PICT2012-1028 and PICT2016-1968, both from ANPCyT-Argentina and from the binational program BMWF-MINCyT 2013-2015.</t>
  </si>
  <si>
    <t>10.3390/d13070310</t>
  </si>
  <si>
    <t>TO1ZK</t>
  </si>
  <si>
    <t>WOS:000676718700001</t>
  </si>
  <si>
    <t>Williams, A; Osterhage, D; Althaus, F; Ryan, T; Green, M; Pogonoski, J</t>
  </si>
  <si>
    <t>Williams, Alan; Osterhage, Deborah; Althaus, Franziska; Ryan, Timothy; Green, Mark; Pogonoski, John</t>
  </si>
  <si>
    <t>A Very Large Spawning Aggregation of a Deep-Sea Eel: Magnitude and Status</t>
  </si>
  <si>
    <t>Diastobranchus capensis; seamount; trawling impact; marine park; monitoring</t>
  </si>
  <si>
    <t>ROUGHY HOPLOSTETHUS-ATLANTICUS; DEMERSAL FISH COMMUNITY; SYNAPHOBRANCHID EEL; DIASTOBRANCHUS-CAPENSIS; NORTHEAST ATLANTIC; CONTINENTAL-SLOPE; TARGET STRENGTH; CHATHAM RISE; NEW-ZEALAND; SEAMOUNT</t>
  </si>
  <si>
    <t>Multiple lines of evidence substantiate the existence of a very large aggregation of the basketwork eel, Diastobranchus capensis, on the small (3 km(2)) Patience Seamount off southeast Australia. The aggregation appears to be present year-round, but largest in the austral autumn when composed of spawning eels. Twenty eels caught in April 2015 (14 female, 6 male) were all in advanced stages of spawning condition. The eel's abundance in the aggregation was very high as measured at seamount, local and regional scales. Hydroacoustic measurement of the spawning aggregation's dimensions (similar to 100 x 1000 m) and conservative counts of 100 s of eels along camera transects of similar to 1000-2000 m length indicate 10,000 s individual eels may have been present. The absence of other known spawning locations indicates the Patience Seamount is a regional-scale spatial anchor for spawning. The aggregation was protected in a marine park in 2007 following a decades-long impact from bottom trawling, indicating that the population can be expected to stabilise and recover. Monitoring the aggregation's status, and validating seasonal spawning, provide important opportunities to examine conservation-led recovery in the deep sea as part of Australia's new national strategy of Monitoring, Evaluation, Reporting and Improvement (MERI) for conservation values within marine parks.</t>
  </si>
  <si>
    <t>[Williams, Alan; Althaus, Franziska; Ryan, Timothy; Green, Mark; Pogonoski, John] CSIRO Oceans &amp; Atmosphere, Marine Labs, Hobart, Tas 7001, Australia; [Osterhage, Deborah] Univ Tasmania, Inst Marine &amp; Antarctic Studies, Hobart, Tas 7001, Australia</t>
  </si>
  <si>
    <t>Commonwealth Scientific &amp; Industrial Research Organisation (CSIRO); University of Tasmania</t>
  </si>
  <si>
    <t>Williams, A (corresponding author), CSIRO Oceans &amp; Atmosphere, Marine Labs, Hobart, Tas 7001, Australia.</t>
  </si>
  <si>
    <t>alan.williams@csiro.au; deboraho@utas.edu.au; franzis.althaus@csiro.au; Tim.ryan@csiro.au; mark.green@csiro.au; john.pogonoski@csiro.au</t>
  </si>
  <si>
    <t>Althaus, Franziska/E-4660-2017</t>
  </si>
  <si>
    <t>Althaus, Franziska/0000-0002-5336-4612; Pogonoski, John/0000-0002-4878-3919; ryan, tim/0000-0002-4857-9846</t>
  </si>
  <si>
    <t>CSIRO Oceans and Atmosphere; Parks Australia; Australian Government National Environmental Science Program (NESP), Marine Biodiversity Hub</t>
  </si>
  <si>
    <t>CSIRO Oceans and Atmosphere; Parks Australia; Australian Government National Environmental Science Program (NESP), Marine Biodiversity Hub(Australian Government)</t>
  </si>
  <si>
    <t>This research was funded primarily by CSIRO Oceans and Atmosphere. Survey #3 was funded, collectively, by the CSIRO Oceans and Atmosphere, Parks Australia and the Australian Government National Environmental Science Program (NESP), Marine Biodiversity Hub.</t>
  </si>
  <si>
    <t>10.3390/jmse9070723</t>
  </si>
  <si>
    <t>TO3AN</t>
  </si>
  <si>
    <t>WOS:000676789200001</t>
  </si>
  <si>
    <t>Lee, H; Seo, H; Han, H; Ju, H; Lee, J</t>
  </si>
  <si>
    <t>Lee, Hoonyol; Seo, Heejeong; Han, Hyangsun; Ju, Hyeontae; Lee, Joohan</t>
  </si>
  <si>
    <t>Velocity Anomaly of Campbell Glacier, East Antarctica, Observed by Double-Differential Interferometric SAR and Ice Penetrating Radar</t>
  </si>
  <si>
    <t>Campbell Glacier; DDInSAR; Ice Penetrating Radar; velocity anomaly</t>
  </si>
  <si>
    <t>SHEET MASS-BALANCE; MOUNT MELBOURNE; WEST ANTARCTICA; GREENLAND; SURFACE; TONGUE; BED; ACCELERATION; BEHAVIOR; STRAIN</t>
  </si>
  <si>
    <t>Regional changes in the flow velocity of Antarctic glaciers can affect the ice sheet mass balance and formation of surface crevasses. The velocity anomaly of a glacier can be detected using the Double-Differential Interferometric Synthetic Aperture Radar (DDInSAR) technique that removes the constant displacement in two Differential Interferometric SAR (DInSAR) images at different times and shows only the temporally variable displacement. In this study, two circular-shaped ice-velocity anomalies in Campbell Glacier, East Antarctica, were analyzed by using 13 DDInSAR images generated from COSMO-SkyMED one-day tandem DInSAR images in 2010-2011. The topography of the ice surface and ice bed were obtained from the helicopter-borne Ice Penetrating Radar (IPR) surveys in 2016-2017. Denoted as A and B, the velocity anomalies were in circular shapes with radii of similar to 800 m, located 14.7 km (A) and 11.3 km (B) upstream from the grounding line of the Campbell Glacier. Velocity anomalies were up to similar to 1 cm/day for A and similar to 5 cm/day for B. To investigate the cause of the two velocity anomalies, the ice surface and bed profiles derived from the IPR survey crossing the anomalies were analyzed. The two anomalies lay over a bed hill along the glacial valley where stick-slip and pressure melting can occur, resulting in temporal variation of ice velocity. The bright radar reflection and flat hydraulic head at the ice bed of A observed in the IPR-derived radargram strongly suggested the existence of basal water in a form of reservoir or film, which caused smaller friction and the reduced variation of stick-slip motion compared to B. Crevasses began to appear at B due to tensile stress at the top of the hill and the fast flow downstream. The sporadic shift of the location of anomalies suggests complex pressure melting and transportation of the basal water over the bed hill.</t>
  </si>
  <si>
    <t>[Lee, Hoonyol; Seo, Heejeong; Han, Hyangsun] Kangwon Natl Univ, Dept Geophys, Chunchon 24341, South Korea; [Seo, Heejeong] Korea Meteorol Adm, Earthquake &amp; Volcano Res Div, Seoul 07062, South Korea; [Ju, Hyeontae; Lee, Joohan] Korea Polar Res Inst, Dept Future Technol Convergence, Incheon 21990, South Korea</t>
  </si>
  <si>
    <t>Kangwon National University; Korea Meteorological Administration (KMA); Korea Polar Research Institute (KOPRI)</t>
  </si>
  <si>
    <t>Han, H (corresponding author), Kangwon Natl Univ, Dept Geophys, Chunchon 24341, South Korea.</t>
  </si>
  <si>
    <t>hoonyol@kangwon.ac.kr; sheejeong@korea.kr; hyangsun@kangwon.ac.kr; hyeontae@kopri.re.kr; joohan@kopri.re.kr</t>
  </si>
  <si>
    <t>Han, Hyangsun/AAE-7670-2022</t>
  </si>
  <si>
    <t>Han, Hyangsun/0000-0002-0414-519X; Lee, Hoonyol/0000-0002-5980-8640; Lee, Joohan/0000-0003-2382-7054; ju, hyeontae/0000-0002-1526-7942</t>
  </si>
  <si>
    <t>National Research Foundation of Korea [NRF-2019R1F1A1041389, 2019R1A6A1A03033167]; Korea Polar Research Institute [PE21080, PE21070]</t>
  </si>
  <si>
    <t>National Research Foundation of Korea(National Research Foundation of Korea); Korea Polar Research Institute(Korea Polar Research Institute of Marine Research Placement (KOPRI))</t>
  </si>
  <si>
    <t>This research was funded by the National Research Foundation of Korea (NRF-2019R1F1A1041389 and No. 2019R1A6A1A03033167) and also by Korea Polar Research Institute (No. PE21080 and PE21070).</t>
  </si>
  <si>
    <t>10.3390/rs13142691</t>
  </si>
  <si>
    <t>TO6WJ</t>
  </si>
  <si>
    <t>WOS:000677048800001</t>
  </si>
  <si>
    <t>Li, L; Tang, XY; Guo, JX; Cui, XB; Xiao, EZ; Latif, K; Sun, B; Zhang, Q; Shi, XS</t>
  </si>
  <si>
    <t>Li, Lin; Tang, Xueyuan; Guo, Jingxue; Cui, Xiangbin; Xiao, Enzhao; Latif, Khalid; Sun, Bo; Zhang, Qiao; Shi, Xiaosong</t>
  </si>
  <si>
    <t>Inversion of Geothermal Heat Flux under the Ice Sheet of Princess Elizabeth Land, East Antarctica</t>
  </si>
  <si>
    <t>heat flux; Curie depth; aeromagnetic; subglacial geothermal; East Antarctica</t>
  </si>
  <si>
    <t>CURIE-POINT DEPTH; WEST ANTARCTICA; FLOW; TEMPERATURE; BOREHOLE; SURFACE; BENEATH; MODEL; METAMORPHISM; CONSTRAINTS</t>
  </si>
  <si>
    <t>Antarctic geothermal heat flux is a basic input variable for ice sheet dynamics simulation. It greatly affects the temperature and mechanical properties at the bottom of the ice sheet, influencing sliding, melting, and internal deformation. Due to the fact that the Antarctica is covered by a thick ice sheet, direct measurements of heat flux are very limited. This study was carried out to estimate the regional heat flux in the Antarctic continent through geophysical inversion. Princess Elizabeth Land, East Antarctica is one of the areas in which we have a weak understanding of geothermal heat flux. Through the latest airborne geomagnetic data, we inverted the Curie depth, obtaining the heat flux of bedrock based on the one-dimensional steady-state heat conduction equation. The results indicated that the Curie depth of the Princess Elizabeth Land is shallower than previously estimated, and the heat flux is consequently higher. Thus, the contribution of subglacial heat flux to the melting at the bottom of the ice sheet is likely greater than previously expected in this region. It further provides research clues for the formation of the developed subglacial water system in Princess Elizabeth Land.</t>
  </si>
  <si>
    <t>[Li, Lin; Tang, Xueyuan; Guo, Jingxue; Cui, Xiangbin; Xiao, Enzhao; Sun, Bo; Shi, Xiaosong] Polar Res Inst China, Shanghai 200136, Peoples R China; [Latif, Khalid] Univ Peshawar, Natl Ctr Excellence Geol, Peshawar 25130, Pakistan; [Zhang, Qiao] Chinese Acad Geol Sci, Inst Geomech, Beijing 100081, Peoples R China</t>
  </si>
  <si>
    <t>Polar Research Institute of China; University of Peshawar; China Geological Survey; Chinese Academy of Geological Sciences; Institute of Geomechanics, Chinese Academy of Geological Sciences</t>
  </si>
  <si>
    <t>Tang, XY (corresponding author), Polar Res Inst China, Shanghai 200136, Peoples R China.</t>
  </si>
  <si>
    <t>lilin@pric.org.cn; tangxueyuan@pric.org.cn; guojingxue@pric.org.cn; cuixiangbin@pric.org.cn; xiaoenzhao@pric.org.cn; khalidlatif@uop.edu.pk; sunbo@pric.org.cn; zhangqiao@mail.cgs.gov.cn; shixiaosong@pric.org.cn</t>
  </si>
  <si>
    <t>sun, bo/JFA-9978-2023</t>
  </si>
  <si>
    <t>Latif, Khalid/0000-0002-5329-9902; Cui, Xiangbin/0000-0002-4269-8086; Tang, Xueyuan/0000-0002-6226-4891</t>
  </si>
  <si>
    <t>National Natural Science Foundation of China [41941004, 41876230, 41941006]; National key R&amp;D Program of China [2019YFC1509102]; Shanghai Sailing Program [21YF1452100]</t>
  </si>
  <si>
    <t>National Natural Science Foundation of China(National Natural Science Foundation of China (NSFC)); National key R&amp;D Program of China; Shanghai Sailing Program</t>
  </si>
  <si>
    <t>This research was funded by National Natural Science Foundation of China (Nos. 41941004, 41876230, and 41941006); the National key R&amp;D Program of China (No. 2019YFC1509102); and the Shanghai Sailing Program (21YF1452100).</t>
  </si>
  <si>
    <t>10.3390/rs13142760</t>
  </si>
  <si>
    <t>TO6KC</t>
  </si>
  <si>
    <t>WOS:000677016900001</t>
  </si>
  <si>
    <t>Soren, BC; Dasari, JB; Ottaviani, A; Messina, B; Andreotti, G; Romeo, A; Iacovelli, F; Falconi, M; Desideri, A; Fiorani, P</t>
  </si>
  <si>
    <t>Soren, Bini Chhetri; Dasari, Jagadish Babu; Ottaviani, Alessio; Messina, Beatrice; Andreotti, Giada; Romeo, Alice; Iacovelli, Federico; Falconi, Mattia; Desideri, Alessandro; Fiorani, Paola</t>
  </si>
  <si>
    <t>In Vitro and In Silico Characterization of an Antimalarial Compound with Antitumor Activity Targeting Human DNA Topoisomerase IB</t>
  </si>
  <si>
    <t>INTERNATIONAL JOURNAL OF MOLECULAR SCIENCES</t>
  </si>
  <si>
    <t>human DNA topoisomerase; cancer; drug; molecular docking</t>
  </si>
  <si>
    <t>LINKER DOMAIN; CAMPTOTHECIN; ANTICANCER; RELAXATION; MUTATION; DRUG; SENSITIVITY; IRINOTECAN; DYNAMICS; SYSTEM</t>
  </si>
  <si>
    <t>Human DNA topoisomerase IB controls the topological state of supercoiled DNA through a complex catalytic cycle that consists of cleavage and religation reactions, allowing the progression of fundamental DNA metabolism. The catalytic steps of human DNA topoisomerase IB were analyzed in the presence of a drug, obtained by the open-access drug bank Medicines for Malaria Venture. The experiments indicate that the compound strongly and irreversibly inhibits the cleavage step of the enzyme reaction and reduces the cell viability of three different cancer cell lines. Molecular docking and molecular dynamics simulations suggest that the drug binds to the human DNA topoisomerase IB-DNA complex sitting inside the catalytic site of the enzyme, providing a molecular explanation for the cleavage-inhibition effect. For all these reasons, the aforementioned drug could be a possible lead compound for the development of an efficient anti-tumor molecule targeting human DNA topoisomerase IB.</t>
  </si>
  <si>
    <t>[Soren, Bini Chhetri; Dasari, Jagadish Babu; Ottaviani, Alessio; Messina, Beatrice; Andreotti, Giada; Romeo, Alice; Iacovelli, Federico; Falconi, Mattia; Desideri, Alessandro; Fiorani, Paola] Univ Roma Tor Vergata, Dept Biol, Via Ric Sci 1, I-00133 Rome, Italy; [Fiorani, Paola] CNR, Natl Res Council, Inst Translat Pharmacol, Via Fosso del Cavaliere 100, I-00133 Rome, Italy; [Dasari, Jagadish Babu] Diagnost BioSyst USA Pvt Ltd, 612 Eden Sq,St Johns Rd, Secunderabad 500003, India</t>
  </si>
  <si>
    <t>University of Rome Tor Vergata; Consiglio Nazionale delle Ricerche (CNR); Istituto di Farmacologia Traslazionale (IFT-CNR)</t>
  </si>
  <si>
    <t>Ottaviani, A (corresponding author), Univ Roma Tor Vergata, Dept Biol, Via Ric Sci 1, I-00133 Rome, Italy.</t>
  </si>
  <si>
    <t>binichhetri.14@gmail.com; jagadishdrdasari@gmail.com; alessio.ottaviani@uniroma2.it; beatrice.messina702@gmail.com; giada0404@gmail.com; alice.romeo@uniroma2.it; federico.iacovelli@uniroma2.it; falconi@uniroma2.it; desideri@uniroma2.it; paola.fiorani@uniroma2.it</t>
  </si>
  <si>
    <t>Dasari, Jagadish Babu/AAT-6847-2020; Falconi, Mattia/B-9621-2013; Romeo, Alice/AAL-1922-2021; Ottaviani, Alessio/K-7240-2018</t>
  </si>
  <si>
    <t>Falconi, Mattia/0000-0002-3990-4758; Romeo, Alice/0000-0001-6162-6814; Dasari, Dr.Jagadish Babu/0000-0002-0351-1725; Messina, Beatrice/0000-0001-7733-8593; FIORANI, Paola/0000-0001-5409-2789; Iacovelli, Federico/0000-0001-7511-6575; Ottaviani, Alessio/0000-0002-4796-3184; MOROZZO DELLA ROCCA, BLASCO/0000-0001-5491-1131; desideri, alessandro/0000-0003-1541-4217</t>
  </si>
  <si>
    <t>PNRA (the Italian National Antarctic Research Program) - Ministry for the Education, University and Scientific Research (MIUR) [PNRA18_00005-D]</t>
  </si>
  <si>
    <t>PNRA (the Italian National Antarctic Research Program) - Ministry for the Education, University and Scientific Research (MIUR)</t>
  </si>
  <si>
    <t>This research and AO were supported by PNRA (the Italian National Antarctic Research Program) awarded by the Ministry for the Education, University and Scientific Research (MIUR), grant number PNRA18_00005-D.</t>
  </si>
  <si>
    <t>1422-0067</t>
  </si>
  <si>
    <t>INT J MOL SCI</t>
  </si>
  <si>
    <t>Int. J. Mol. Sci.</t>
  </si>
  <si>
    <t>10.3390/ijms22147455</t>
  </si>
  <si>
    <t>Biochemistry &amp; Molecular Biology; Chemistry, Multidisciplinary</t>
  </si>
  <si>
    <t>Biochemistry &amp; Molecular Biology; Chemistry</t>
  </si>
  <si>
    <t>TN8OX</t>
  </si>
  <si>
    <t>WOS:000676488600001</t>
  </si>
  <si>
    <t>Moros, M; De Deckker, P; Perner, K; Ninnemann, US; Wacker, L; Telford, R; Jansen, E; Blanz, T; Schneider, R</t>
  </si>
  <si>
    <t>Moros, Matthias; De Deckker, Patrick; Perner, Kerstin; Ninnemann, Ulysses S.; Wacker, Lukas; Telford, Richard; Jansen, Eystein; Blanz, Thomas; Schneider, Ralph</t>
  </si>
  <si>
    <t>Hydrographic shifts south of Australia over the last deglaciation and possible interhemispheric linkages</t>
  </si>
  <si>
    <t>QUATERNARY RESEARCH</t>
  </si>
  <si>
    <t>Westerlies; Leeuwin Current; Planktic foraminifera; Subtropical Front; Subpolar Front</t>
  </si>
  <si>
    <t>SUB-ANTARCTIC FRONT; NORTH-ATLANTIC; ATMOSPHERIC CO2; NEW-ZEALAND; PLANKTONIC-FORAMINIFERA; CLIMATE VARIABILITY; LEEUWIN CURRENT; ASIAN MONSOON; CARBON-CYCLE; OCEAN</t>
  </si>
  <si>
    <t>Northern and southern hemispheric influences-particularly changes in Southern Hemisphere westerly winds (SSW) and Southern Ocean ventilation-triggered the stepwise atmospheric CO2 increase that accompanied the last deglaciation. One approach for gaining potential insights into past changes in SWW/CO2 upwelling is to reconstruct the positions of the northern oceanic fronts associated with the Antarctic Circumpolar Current. Using two deep-sea cores located similar to 600 km apart off the southern coast of Australia, we detail oceanic changes from similar to 23 to 6 ka using foraminifer faunal and biomarker alkenone records. Our results indicate a tight coupling between hydrographic and related frontal displacements offshore South Australia (and by analogy, possibly the entire Southern Ocean) and Northern Hemisphere (NH) climate that may help confirm previous hypotheses that the westerlies play a critical role in modulating CO2 uptake and release from the Southern Ocean on millennial and potentially even centennial timescales. The intensity and extent of the northward displacements of the Subtropical Front following well-known NH cold events seem to decrease with progressing NH ice sheet deglaciation and parallel a weakening NH temperature response and amplitude of Intertropical Convergence Zone shifts. In addition, an exceptional poleward shift of Southern Hemisphere fronts occurs during the NH Heinrich Stadial 1. This event was likely facilitated by the NH ice maximum and acted as a coup-de-grace for glacial ocean stratification and its high CO2 capacitance. Thus, through its influence on the global atmosphere and on ocean mixing, excessive NH glaciation could have triggered its own demise by facilitating the destratification of the glacial ocean CO2 state.</t>
  </si>
  <si>
    <t>[Moros, Matthias; Perner, Kerstin] Leibniz Inst Baltic Sea Res Warnemunde, Rostock, Germany; [De Deckker, Patrick] Australian Natl Univ, Res Sch Earth Sci, Canberra, ACT, Australia; [Ninnemann, Ulysses S.; Jansen, Eystein] Univ Bergen, Dept Earth Sci, Bergen, Norway; [Ninnemann, Ulysses S.; Jansen, Eystein] Bjerknes Ctr Climate Res, Bergen, Norway; [Wacker, Lukas] ETH, Lab Ion Beam Phys, Zurich, Switzerland; [Telford, Richard] Univ Bergen, Dept Biol Sci, Ecol &amp; Environm Change Res Grp, Bergen, Norway; [Blanz, Thomas; Schneider, Ralph] Univ Kiel, Inst Geosci, Ludwig Meyn Str 10, D-24118 Kiel, Germany</t>
  </si>
  <si>
    <t>Leibniz Institut fur Ostseeforschung Warnemunde; Australian National University; University of Bergen; Bjerknes Centre for Climate Research; Swiss Federal Institutes of Technology Domain; ETH Zurich; University of Bergen; University of Kiel</t>
  </si>
  <si>
    <t>Moros, M (corresponding author), Leibniz Inst Baltic Sea Res Warnemunde, Rostock, Germany.;Ninnemann, US (corresponding author), Univ Bergen, Dept Earth Sci, Bergen, Norway.;Ninnemann, US (corresponding author), Bjerknes Ctr Climate Res, Bergen, Norway.</t>
  </si>
  <si>
    <t>matthias.moros@io-warnemuende.de; ulysses@uib.no</t>
  </si>
  <si>
    <t>Telford, Richard/AAD-2249-2019</t>
  </si>
  <si>
    <t>Telford, Richard/0000-0001-9826-3076; Wacker, Lukas/0000-0002-8215-2678; Jansen, Eystein/0000-0002-7383-5100; Perner, Kerstin/0000-0002-7464-2191; De Deckker, Patrick/0000-0003-3003-5143</t>
  </si>
  <si>
    <t>European Research Council under the European Community's Seventh Framework Programme (FP7/2007-2013) ERC grant, ice2ice project [610055]; Research Council of Norway (THRESHOLDS project) [254964]</t>
  </si>
  <si>
    <t>European Research Council under the European Community's Seventh Framework Programme (FP7/2007-2013) ERC grant, ice2ice project; Research Council of Norway (THRESHOLDS project)(Research Council of Norway)</t>
  </si>
  <si>
    <t>Jansen acknowledges funding for this research by the European Research Council under the European Community's Seventh Framework Programme (FP7/2007-2013) ERC grant agreement 610055 as part of the ice2ice project. Ninnemann acknowledges funding from the Research Council of Norway (THRESHOLDS project; grant 254964).</t>
  </si>
  <si>
    <t>0033-5894</t>
  </si>
  <si>
    <t>1096-0287</t>
  </si>
  <si>
    <t>QUATERNARY RES</t>
  </si>
  <si>
    <t>Quat. Res.</t>
  </si>
  <si>
    <t>10.1017/qua.2021.12</t>
  </si>
  <si>
    <t>TM5FV</t>
  </si>
  <si>
    <t>WOS:000675576300011</t>
  </si>
  <si>
    <t>Lee-Chang, KJ; Taylor, MC; Drummond, G; Mulder, RJ; Mansour, MP; Brock, M; Nichols, PD</t>
  </si>
  <si>
    <t>Lee-Chang, Kim Jye; Taylor, Matthew C.; Drummond, Guy; Mulder, Roger J.; Mansour, Maged Peter; Brock, Mina; Nichols, Peter D.</t>
  </si>
  <si>
    <t>Docosahexaenoic Acid Is Naturally Concentrated at the sn-2 Position in Triacylglycerols of the Australian Thraustochytrid Aurantiochytrium sp. Strain TC 20</t>
  </si>
  <si>
    <t>thraustochytrids; regiospecificity; triacylglycerols; polyunsaturated fatty acids</t>
  </si>
  <si>
    <t>POLYUNSATURATED FATTY-ACIDS; LIPOPROTEIN; BIODIESEL; LIPIDS; OIL</t>
  </si>
  <si>
    <t>The Labyrinthulomycetes or Labyrinthulea are a class of protists that produce a network of filaments that enable the cells to glide along and absorb nutrients. One of the main two Labyrinthulea groups is the thraustochytrids, which are becoming an increasingly recognised and commercially used alternate source of long-chain (LC, &gt;= C-20) omega-3 containing oils. This study demonstrates, to our knowledge for the first time, the regiospecificity of the triacylglycerol (TAG) fraction derived from Australian thraustochytrid Aurantiochytrium sp. strain TC 20 obtained using C-13 nuclear magnetic resonance spectroscopy (C-13 NMR) analysis. The DHA present in the TC 20 TAG fraction was determined to be concentrated in the sn-2 position, with TAG (16:0/22:6/16:0) identified as the main species present. The sn-2 preference is similar to that found in salmon and tuna oil, and differs to seal oil containing largely sn-1,3 LC-PUFA. A higher concentration of sn-2 DHA occurred in the thraustochytrid TC 20 oil compared to that of tuna oil.</t>
  </si>
  <si>
    <t>[Lee-Chang, Kim Jye; Brock, Mina; Nichols, Peter D.] CSIRO Oceans &amp; Atmosphere, Hobart, Tas 7000, Australia; [Taylor, Matthew C.] CSIRO Land &amp; Water, Canberra, ACT 2601, Australia; [Drummond, Guy] Pharmamark Nutr Pty Ltd, Eight Mile Plains, Qld 4113, Australia; [Mulder, Roger J.] CSIRO Mfg, Clayton, Vic 3169, Australia; [Mansour, Maged Peter] CSIRO Agr &amp; Food, Werribee, Vic 3030, Australia; [Nichols, Peter D.] Univ Tasmania, Inst Marine &amp; Antarctic Studies, Hobart, Tas 7005, Australia</t>
  </si>
  <si>
    <t>Commonwealth Scientific &amp; Industrial Research Organisation (CSIRO); Commonwealth Scientific &amp; Industrial Research Organisation (CSIRO); CSIRO Land &amp; Water; Commonwealth Scientific &amp; Industrial Research Organisation (CSIRO); Commonwealth Scientific &amp; Industrial Research Organisation (CSIRO); University of Tasmania</t>
  </si>
  <si>
    <t>Lee-Chang, KJ (corresponding author), CSIRO Oceans &amp; Atmosphere, Hobart, Tas 7000, Australia.</t>
  </si>
  <si>
    <t>Kim.Leechang@csiro.au; M.Taylor@csiro.au; Guyd@pharmamark.com.au; Roger.Mulder@csiro.au; Peter.Mansour@csiro.au; Mina.Brock@csiro.au; Peter.Nichols@csiro.au</t>
  </si>
  <si>
    <t>Drummond, Grant R/A-7427-2008; Taylor, Matthew/B-5903-2009; Nichols, Peter D/C-5128-2011; lee chang, kim jye/P-6933-2014; Mulder, Roger/F-4607-2011</t>
  </si>
  <si>
    <t>Taylor, Matthew/0000-0001-9576-1555; lee chang, kim jye/0000-0003-3489-7592; Drummond, Grant/0000-0001-8556-9738; Mulder, Roger/0000-0002-8740-802X</t>
  </si>
  <si>
    <t>Commonwealth Scientific and Industrial Research Organisation (CSIRO)</t>
  </si>
  <si>
    <t>Commonwealth Scientific and Industrial Research Organisation (CSIRO)(Commonwealth Scientific &amp; Industrial Research Organisation (CSIRO))</t>
  </si>
  <si>
    <t>The authors thank the Commonwealth Scientific and Industrial Research Organisation (CSIRO) for their support of the project, and Elizabeth Brewer for comments on an earlier version of this manuscript and the anonymous journal reviewers for their helpful inputs.</t>
  </si>
  <si>
    <t>10.3390/md19070382</t>
  </si>
  <si>
    <t>TO0DV</t>
  </si>
  <si>
    <t>gold, Green Published, Green Submitted</t>
  </si>
  <si>
    <t>WOS:000676595000001</t>
  </si>
  <si>
    <t>Leyton, A; Flores, L; Shene, C; Chisti, Y; Larama, G; Asenjo, JA; Armenta, RE</t>
  </si>
  <si>
    <t>Leyton, Allison; Flores, Liset; Shene, Carolina; Chisti, Yusuf; Larama, Giovanni; Asenjo, Juan A.; Armenta, Roberto E.</t>
  </si>
  <si>
    <t>Antarctic Thraustochytrids as Sources of Carotenoids and High-Value Fatty Acids</t>
  </si>
  <si>
    <t>Thraustochytrium; antarctic thraustochytrids; microbial carotenoids; canthaxantin; docosahexaenoic acid; eicosapentaenoic acid</t>
  </si>
  <si>
    <t>GENE; IDENTIFICATION; AURANTIOCHYTRIUM; OPTIMIZATION; ASTAXANTHIN; ANNOTATION; ELONGATION; STRATEGY; SEQUENCE; STRAIN</t>
  </si>
  <si>
    <t>Eicosapentaenoic acid (EPA), docosahexaenoic acid (DHA), and carotenoids are needed as human dietary supplements and are essential components in commercial feeds for the production of aquacultured seafood. Microorganisms such as thraustochytrids are potential natural sources of these compounds. This research reports on the lipid and carotenoid production capacity of thraustochytrids that were isolated from coastal waters of Antarctica. Of the 22 isolates, 21 produced lipids containing EPA+DHA, and the amount of these fatty acids exceeded 20% of the total fatty acids in 12 isolates. Ten isolates were shown to produce carotenoids (27.4-63.9 mu g/g dry biomass). The isolate RT2316-16, identified as Thraustochytrium sp., was the best producer of biomass (7.2 g/L in five days) rich in carotenoids (63.9 mu g/g) and, therefore, became the focus of this investigation. The main carotenoids in RT2316-16 were beta-carotene and canthaxanthin. The content of EPA+DHA in the total lipids (34 +/- 3% w/w in dry biomass) depended on the stage of growth of RT2316-16. Lipid and carotenoid content of the biomass and its concentration could be enhanced by modifying the composition of the culture medium. The estimated genome size of RT2316-16 was 44 Mb. Of the 5656 genes predicted from the genome, 4559 were annotated. These included genes of most of the enzymes in the elongation and desaturation pathway of synthesis of omega-3 polyunsaturated fatty acids. Carotenoid precursors in RT2316-16 were synthesized through the mevalonate pathway. A beta-carotene synthase gene, with a different domain organization compared to the gene in other thraustochytrids, explained the carotenoid profile of RT2316-16.</t>
  </si>
  <si>
    <t>[Leyton, Allison; Flores, Liset; Shene, Carolina] Univ La Frontera, Ctr Biotechnol &amp; Bioengn CeBiB, Ctr Food Biotechnol &amp; Bioseparat, BIOREN, Francisco Salazar 01145, Temuco 4780000, Chile; [Leyton, Allison; Flores, Liset; Shene, Carolina] Univ La Frontera, Dept Chem Engn, Francisco Salazar 01145, Temuco 4780000, Chile; [Chisti, Yusuf] Massey Univ, Sch Engn, Private Bag 11 222, Palmerston North 4442, New Zealand; [Larama, Giovanni] Univ La Frontera, Ctr Modelac &amp; Computat Cient, Av Francisco Salazar 01145, Temuco 4780000, Chile; [Asenjo, Juan A.] Univ Chile, Ctr Biotechnol &amp; Bioengn CeBiB, Dept Chem Engn &amp; Biotechnol, Beauchef 851, Santiago 8370459, Chile; [Armenta, Roberto E.] Mara Renewables Corp, 101A Res Dr, Dartmouth, NS B2Y 4T6, Canada; [Armenta, Roberto E.] Dalhousie Univ, Dept Proc Engn &amp; Appl Sci, Halifax, NS B3H 4R2, Canada</t>
  </si>
  <si>
    <t>Universidad de La Frontera; Universidad de La Frontera; Massey University; Universidad de La Frontera; Universidad de Chile; Dalhousie University</t>
  </si>
  <si>
    <t>Shene, C (corresponding author), Univ La Frontera, Ctr Biotechnol &amp; Bioengn CeBiB, Ctr Food Biotechnol &amp; Bioseparat, BIOREN, Francisco Salazar 01145, Temuco 4780000, Chile.;Shene, C (corresponding author), Univ La Frontera, Dept Chem Engn, Francisco Salazar 01145, Temuco 4780000, Chile.</t>
  </si>
  <si>
    <t>allison.leyton@ufrontera.cl; liset.flores@ufrontera.cl; carolina.shene@ufrontera.cl; Y.Chisti@massey.ac.nz; giovanni.larama@ufrontera.cl; juasenjo@ing.uchile.cl; rarmenta@maracorp.ca</t>
  </si>
  <si>
    <t>Asenjo, Juan JAA/L-8336-2013; Chisti, Mohammad Muhsin/T-7760-2017; Larama, Giovanni/O-2745-2019; Larama, Giovanni/IAN-1822-2023</t>
  </si>
  <si>
    <t>Chisti, Mohammad Muhsin/0000-0002-2676-9577; Leyton, Allison/0000-0002-8665-267X; Shene, Carolina/0000-0003-4646-038X; Chisti, Yusuf/0000-0002-0826-7012; Larama, Giovanni/0000-0002-9658-7752; Flores Saldivia, Liset Soledad/0000-0001-9334-0087</t>
  </si>
  <si>
    <t>ANID [Fondecyt 1200642]; Centre for Biotechnology and Bioengineering (CeBiB) [FB-0001]</t>
  </si>
  <si>
    <t>ANID; Centre for Biotechnology and Bioengineering (CeBiB)</t>
  </si>
  <si>
    <t>This research was funded by ANID, grant Fondecyt 1200642, and the Centre for Biotechnology and Bioengineering (CeBiB) FB-0001.</t>
  </si>
  <si>
    <t>10.3390/md19070386</t>
  </si>
  <si>
    <t>TN7DK</t>
  </si>
  <si>
    <t>WOS:000676391000001</t>
  </si>
  <si>
    <t>Cyriac, A; Phillips, HE; Bindoff, NL; Mao, HB; Feng, M</t>
  </si>
  <si>
    <t>Cyriac, Ajitha; Phillips, Helen E.; Bindoff, Nathaniel L.; Mao, Huabin; Feng, Ming</t>
  </si>
  <si>
    <t>Observational Estimates of Turbulent Mixing in the Southeast Indian Ocean</t>
  </si>
  <si>
    <t>Internal waves; Mixing; Ocean circulation</t>
  </si>
  <si>
    <t>LEEUWIN CURRENT SYSTEM; INTERNAL WAVES; FINESCALE PARAMETERIZATIONS; HYDROGRAPHIC SECTION; DISSIPATION; ENERGY; CIRCULATION; WIND; SURFACE; DRIVEN</t>
  </si>
  <si>
    <t>This study investigates the spatiotemporal variability of turbulent mixing in the eastern south Indian Ocean using a collection of data from electromagnetic autonomous profiling explorer (EM-APEX) profiling floats, shipboard CTD, and microstructure profilers. The floats collected 1566 profiles of temperature, salinity, and horizontal velocity data down to 1200 m over a period of about four months. A finescale parameterization is applied to the float and CTD data to estimate turbulent mixing. Elevated mixing is observed in the upper ocean, over bottom topography, and in mesoscale eddies. Mixing is enhanced in the anticyclonic eddies due to trapped near-inertial waves within the eddy. We found that cyclonic eddies contribute to turbulent mixing in the depth range of 500-1000 m, which is associated with downward-propagating internal waves. The mean diapycnal diffusivity over 250-500-m depth is O(10(-6)) m(2) s(-1), and it increases to O(10(-5)) m(2) s(-1) in 500-1000 m in cyclonic eddies. The turbulent mixing in this region has implications for water-mass transformation and large-scale circulation. Higher diffusivity [O(10(-5)) m(2) s(-1)] is observed in the Antarctic Intermediate Water (AAIW) layer in cyclonic eddies, whereas weak diffusivity is observed in the Subantarctic Mode Water (SAMW) layer [O(10(-6)) m(2) s(-1)]. Counterintuitively, then, the SAMW water-mass properties are strongly affected in cyclonic eddies, whereas the AAIW layer is less affected. Comparatively high diffusivity at the location of the South Indian Countercurrent (SICC) jets suggests there are wave-mean flow interactions in addition to the wave-eddy interactions that warrant further investigation.</t>
  </si>
  <si>
    <t>[Cyriac, Ajitha; Phillips, Helen E.; Bindoff, Nathaniel L.] Univ Tasmania, Inst Marine &amp; Antarct Studies, Hobart, Tas, Australia; [Cyriac, Ajitha] ARC Ctr Excellence Climate Syst Sci, Hobart, Tas, Australia; [Phillips, Helen E.; Bindoff, Nathaniel L.] Univ Tasmania, Inst Marine &amp; Antarct Studies, Australian Antarct Program Partnership, Hobart, Tas, Australia; [Bindoff, Nathaniel L.] CSIRO Marine &amp; Atmospher Res, Hobart, Tas, Australia; [Bindoff, Nathaniel L.] ARC Ctr Excellence Climate Extremes, Hobart, Tas, Australia; [Mao, Huabin] Chinese Acad Sci, South China Sea Inst Oceanol, State Key Lab Trop Oceanog, Guangzhou, Peoples R China; [Feng, Ming] IOMRC, CSIRO Oceans &amp; Atmosphere, Crawley, Western Austral, Australia; [Feng, Ming] Ctr Southern Hemisphere Oceans Res, Hobart, Tas, Australia</t>
  </si>
  <si>
    <t>University of Tasmania; ARC Centre of Excellence for Climate System Science; University of Tasmania; Commonwealth Scientific &amp; Industrial Research Organisation (CSIRO); Chinese Academy of Sciences; South China Sea Institute of Oceanology, CAS; Commonwealth Scientific &amp; Industrial Research Organisation (CSIRO); University of Western Australia</t>
  </si>
  <si>
    <t>Cyriac, A (corresponding author), Univ Tasmania, Inst Marine &amp; Antarct Studies, Hobart, Tas, Australia.</t>
  </si>
  <si>
    <t>ajitha.cyriac@utas.edu.au</t>
  </si>
  <si>
    <t>Bindoff, Nathaniel Lee/C-8050-2011; Bindoff, Nathaniel Lee/IVV-0333-2023; Phillips, Helen/I-3761-2013; Feng, Ming/F-5411-2010</t>
  </si>
  <si>
    <t>Bindoff, Nathaniel Lee/0000-0001-5662-9519; Bindoff, Nathaniel Lee/0000-0001-5662-9519; Phillips, Helen/0000-0002-2941-7577; Cyriac, Ajitha/0000-0001-6149-740X; Feng, Ming/0000-0002-2855-7092</t>
  </si>
  <si>
    <t>Quantitative Marine Science (QMS) program; University of Tasmania; CSIRO; ARC Discovery Project [DP130102088]; Australian Government Department of the Environment and Energy National Environmental Science Programme (NESP); ARC Centre of Excellence in Climate Extremes; Australian Government [ASCI000002]; CSHOR; Qingdao National Laboratory for Marine Science and Technology (QNLM); University of New South Wales</t>
  </si>
  <si>
    <t>Quantitative Marine Science (QMS) program; University of Tasmania; CSIRO(Commonwealth Scientific &amp; Industrial Research Organisation (CSIRO)); ARC Discovery Project(Australian Research Council); Australian Government Department of the Environment and Energy National Environmental Science Programme (NESP); ARC Centre of Excellence in Climate Extremes; Australian Government(Australian Government); CSHOR; Qingdao National Laboratory for Marine Science and Technology (QNLM); University of New South Wales</t>
  </si>
  <si>
    <t>We thank the two anonymous reviewers for their insightful comments. A. C. thanks Dr. Amelie Meyer and Dr. Kurt Polzin for the helpful discussions. A. C. also acknowledges the support from Quantitative Marine Science (QMS) program, a joint program between University of Tasmania and CSIRO. H. P. and N. B. acknowledge support from the ARC Discovery Project DP130102088, Australian Government Department of the Environment and Energy National Environmental Science Programme (NESP), and ARC Centre of Excellence in Climate Extremes. This project also received grant funding from the Australian Government (ASCI000002). M. F. acknowledges the support from CSHOR, a joint initiative between the Qingdao National Laboratory for Marine Science and Technology (QNLM), CSIRO, University of New South Wales, and University of Tasmania.</t>
  </si>
  <si>
    <t>10.1175/JPO-D-20-0036.1</t>
  </si>
  <si>
    <t>TL5HJ</t>
  </si>
  <si>
    <t>Green Published, Bronze</t>
  </si>
  <si>
    <t>WOS:000674887900003</t>
  </si>
  <si>
    <t>Zhang, Y; Du, Y; Qu, TD; Hong, Y; Domingues, CM; Feng, M</t>
  </si>
  <si>
    <t>Zhang, Ying; Du, Yan; Qu, Tangdong; Hong, Yu; Domingues, Catia M.; Feng, Ming</t>
  </si>
  <si>
    <t>Changes in the Subantarctic Mode Water Properties and Spiciness in the Southern Indian Ocean based on Argo Observations</t>
  </si>
  <si>
    <t>Water masses; storage; Air-sea interaction; Ocean dynamics; Oceanic mixed layer; Currents; Climate variability</t>
  </si>
  <si>
    <t>INTERMEDIATE WATER; MASS TRANSFORMATION; CIRCUMPOLAR CURRENT; CLIMATE-CHANGE; SEA-ICE; THERMOCLINE; CIRCULATION; SUBDUCTION; PACIFIC; VARIABILITY</t>
  </si>
  <si>
    <t>The Subantarctic Mode Water (SAMW) plays an essential role in the global heat, freshwater, carbon, and nutrient budgets. In this study, decadal changes in the SAMW properties in the southern Indian Ocean (SIO) and associated thermodynamic and dynamic processes are investigated during the Argo era. Both temperature and salinity of the SAMW in the SIO show increasing trends during 2004-18. A two-layer structure of the SAMW trend, with more warm and salty light SAMW but less cool and fresh dense SAMW, is identified. The heaving and spiciness processes are important but have opposite contributions to the temperature and salinity trends of the SAMW. A significant deepening of isopycnals (heaving), peaking at sigma(theta) = 26.7-26.8 kg m(-3) in the middle layer of the SAMW, expands the warm and salty light SAMW and compresses the cool and fresh dense SAMW corresponding to the change in subduction rate during 2004-18. The change in the SAMW subduction rate is dominated by the change in the mixed layer depth, controlled by the changes in wind stress curl and surface buoyancy fluxes. An increase in the mixed layer temperature due to weakening northward Ekman transport of cool water leads to a lighter surface density in the SAMW formation region. Consequently, density outcropping lines in the SAMW formation region shift southward and favor the intrusion and entrainment of the cooler and fresher Antarctic surface water from the south, contributing to the cooling/freshening trend of isopycnals (spiciness). Subsequently, the cooler and fresher SAMW spiciness anomalies spread in the SIO via the subtropical gyre. Significance Statement Subantarctic Mode Water is a distinct water mass with vertically uniform properties in the Southern Hemisphere's subtropical gyres. Climate change is imprinted in the SAMW through the ventilation at the base of the winter mixed layer. The ocean modulation associated with wind-forced large-scale waves and circulation also plays an essential role in heat, salinity, and water mass redistribution. A net increase in volume-weighted potential temperature and salinity of the SAMW is found during the Argo era since 2004, resulting from a combination of climate change and ocean modulation through opposite heaving and spiciness processes. This study improves our understanding of the dynamics and thermodynamics involved in the SAMW formation during rapid climate change.</t>
  </si>
  <si>
    <t>[Zhang, Ying; Du, Yan; Hong, Yu] Chinese Acad Sci, South China Sea Inst Oceanol, State Key Lab Trop Oceanog, Guangzhou, Peoples R China; [Zhang, Ying; Du, Yan; Hong, Yu] Southern Marine Sci &amp; Engn Guangdong Lab, Guangzhou, Peoples R China; [Du, Yan] Univ Chinese Acad Sci, Coll Marine Sci, Beijing, Peoples R China; [Qu, Tangdong] Univ Calif Los Angeles, Joint Inst Reg Earth Syst Sci &amp; Engn, Los Angeles, CA USA; [Domingues, Catia M.] Natl Oceanog Ctr, Southampton, Hants, England; [Domingues, Catia M.] Australian Res Council, Ctr Excellence Climate Extremes, Hobart, Tas, Australia; [Domingues, Catia M.] Univ Tasmania, Inst Marine &amp; Antarctic Studies, Hobart, Tas, Australia; [Feng, Ming] CSIRO Oceans &amp; Atmosphere, Crawley, WA, Australia; [Feng, Ming] Ctr Southern Hemisphere Oceans Res, Hobart, Tas, Australia</t>
  </si>
  <si>
    <t>Chinese Academy of Sciences; South China Sea Institute of Oceanology, CAS; Southern Marine Science &amp; Engineering Guangdong Laboratory; Southern Marine Science &amp; Engineering Guangdong Laboratory (Guangzhou); Chinese Academy of Sciences; University of Chinese Academy of Sciences, CAS; University of California System; University of California Los Angeles; NERC National Oceanography Centre; University of Tasmania; Commonwealth Scientific &amp; Industrial Research Organisation (CSIRO)</t>
  </si>
  <si>
    <t>Du, Y (corresponding author), Chinese Acad Sci, South China Sea Inst Oceanol, State Key Lab Trop Oceanog, Guangzhou, Peoples R China.;Du, Y (corresponding author), Southern Marine Sci &amp; Engn Guangdong Lab, Guangzhou, Peoples R China.;Du, Y (corresponding author), Univ Chinese Acad Sci, Coll Marine Sci, Beijing, Peoples R China.</t>
  </si>
  <si>
    <t>duyan@scsio.ac.cn</t>
  </si>
  <si>
    <t>DU, Yan/C-4496-2013; DU, YAN/HZI-1091-2023; Feng, Ming/F-5411-2010; Domingues, Catia M./A-2901-2015</t>
  </si>
  <si>
    <t>DU, Yan/0000-0002-7842-0801; Feng, Ming/0000-0002-2855-7092; Hong, Yu/0000-0003-2150-5449; Domingues, Catia M./0000-0001-5100-4595</t>
  </si>
  <si>
    <t>National Natural Science Foundation of China [42006026, 42090042, 41906180, 41830538]; Natural Science Foundation of Guangdong Province, China [2020A1515010361]; Chinese Academy of Sciences [XDB42010304, XDA15020901, 133244KYSB20190031, LTOZZ2005, XDA19060501]; Southern Marine Science and Engineering Guangdong Laboratory (Guangzhou) [GML2019ZD0303, 2019BT02H594]; NSF [1829809]; ARC Future Fellowship [FT130101532]; ARC Discovery Project [DP160103130]; Transient tracer-based Investigation of circulation and Thermal Ocean Change (TICTOC; NERC) [NE/P019293/2]; Directorate For Geosciences; Division Of Ocean Sciences [1829809] Funding Source: National Science Foundation</t>
  </si>
  <si>
    <t>National Natural Science Foundation of China(National Natural Science Foundation of China (NSFC)); Natural Science Foundation of Guangdong Province, China(National Natural Science Foundation of Guangdong Province); Chinese Academy of Sciences(Chinese Academy of Sciences); Southern Marine Science and Engineering Guangdong Laboratory (Guangzhou); NSF(National Science Foundation (NSF)); ARC Future Fellowship(Australian Research Council); ARC Discovery Project(Australian Research Council); Transient tracer-based Investigation of circulation and Thermal Ocean Change (TICTOC; NERC); Directorate For Geosciences; Division Of Ocean Sciences(National Science Foundation (NSF)NSF - Directorate for Geosciences (GEO))</t>
  </si>
  <si>
    <t>This study is supported by the National Natural Science Foundation of China (42006026, 42090042, 41906180, and 41830538), the Natural Science Foundation of Guangdong Province, China (2020A1515010361), the Chinese Academy of Sciences (XDB42010304, XDA15020901, 133244KYSB20190031, LTOZZ2005, and XDA19060501), and the Southern Marine Science and Engineering Guangdong Laboratory (Guangzhou) (GML2019ZD0303, and 2019BT02H594). T. Qu was supported by the NSF through Grant 1829809. CMD was partially supported by an ARC Future Fellowship FT130101532, an ARC Discovery Project (DP160103130), and the Transient tracer-based Investigation of circulation and Thermal Ocean Change (TICTOC; NERC Grant NE/P019293/2).</t>
  </si>
  <si>
    <t>10.1175/JPO-D-20-0254.1</t>
  </si>
  <si>
    <t>WOS:000674887900008</t>
  </si>
  <si>
    <t>Arnscheidt, CW; Marshall, J; Dutrieux, P; Rye, CD; Ramadhan, A</t>
  </si>
  <si>
    <t>Arnscheidt, Constantin W.; Marshall, John; Dutrieux, Pierre; Rye, Craig D.; Ramadhan, Ali</t>
  </si>
  <si>
    <t>On the Settling Depth of Meltwater Escaping from beneath Antarctic Ice Shelves</t>
  </si>
  <si>
    <t>Ocean; Antarctica; Glaciers; Snowmelt; icemelt; Climate change</t>
  </si>
  <si>
    <t>PINE ISLAND GLACIER; SEA-LEVEL RISE; FRESH-WATER; THERMOHALINE CIRCULATION; SOUTHERN-OCEAN; AMUNDSEN SEA; MELT RATES; PLUMES; PARAMETERIZATION; CONVECTION</t>
  </si>
  <si>
    <t>Antarctic glacial meltwater is thought to play an important role in determining large-scale Southern Ocean climate trends, yet recent modeling efforts have proceeded without a good understanding of how its vertical distribution in the water column is set. To rectify this, here we conduct new large-eddy simulations of the ascent of a buoyant meltwater plume after its escape from beneath an Antarctic ice shelf. We find that the meltwater's settling depth is primarily a function of the buoyancy forcing per unit width of the source and the ambient stratification, consistent with the classical theory of turbulent buoyant plumes and in contrast to previous work that suggested an important role for centrifugal instability. Our results further highlight the significant role played by localized variability in stratification; this helps explain observed interannual variability in the vertical meltwater distribution near Pine Island Glacier. Because of the vast heterogeneity in mass loss rates and ambient conditions at different Antarctic ice shelves, a dynamic parameterization of meltwater settling depth may be crucial for accurately simulating high-latitude climate in a warming world; we discuss how this may be developed following this work, and where the remaining challenges lie.</t>
  </si>
  <si>
    <t>[Arnscheidt, Constantin W.; Marshall, John; Rye, Craig D.; Ramadhan, Ali] MIT, Dept Earth Atmospher &amp; Planetary Sci, Cambridge, MA 02114 USA; [Dutrieux, Pierre] NERC, British Antarctic Survey, Cambridge, England; [Dutrieux, Pierre] Columbia Univ, Lamont Doherty Geol Observ, Palisades, NY 10964 USA; [Rye, Craig D.] Goddard Inst Space Studies, New York, NY 10025 USA</t>
  </si>
  <si>
    <t>Massachusetts Institute of Technology (MIT); UK Research &amp; Innovation (UKRI); Natural Environment Research Council (NERC); NERC British Antarctic Survey; Columbia University; National Aeronautics &amp; Space Administration (NASA); NASA Goddard Space Flight Center; Goddard Institute for Space Studies</t>
  </si>
  <si>
    <t>Arnscheidt, CW (corresponding author), MIT, Dept Earth Atmospher &amp; Planetary Sci, Cambridge, MA 02114 USA.</t>
  </si>
  <si>
    <t>cwa@mit.edu</t>
  </si>
  <si>
    <t>Rye, Craig/AAU-7772-2021; Dutrieux, Pierre/GVS-2890-2022</t>
  </si>
  <si>
    <t>Dutrieux, Pierre/0000-0002-8066-934X</t>
  </si>
  <si>
    <t>NASA MAP program; MIT-GISS cooperative agreement; Eric and Wendy Schmidt foundation; NSF OPP Award [1643285]; Earth Institute of Columbia University; NERC [bas0100033] Funding Source: UKRI</t>
  </si>
  <si>
    <t>NASA MAP program(National Aeronautics &amp; Space Administration (NASA)); MIT-GISS cooperative agreement; Eric and Wendy Schmidt foundation; NSF OPP Award; Earth Institute of Columbia University; NERC(UK Research &amp; Innovation (UKRI)Natural Environment Research Council (NERC))</t>
  </si>
  <si>
    <t>We thank Alberto Naveira Garabato for discussions that helped motivate this work, Gianluca Meneghello and Jean-Michel Campin for discussions that aided in its execution, and two reviewers for comments that greatly improved the manuscript. J. M. and C. D. R. acknowledge support from the NASA MAP program and the MIT-GISS cooperative agreement. A. R. was supported through the CliMA initiative funded by the Eric and Wendy Schmidt foundation. P. D. was supported by NSF OPP Award 1643285 and his Center for Climate and Life Fellowship from the Earth Institute of Columbia University.</t>
  </si>
  <si>
    <t>10.1175/JPO-D-20-0286.1</t>
  </si>
  <si>
    <t>WOS:000674887900011</t>
  </si>
  <si>
    <t>Waldman, RJ; Marsaglia, KM; Hickey-Vargas, R; Ishizuka, O; Johnson, KE; McCarthy, A; Yogodzinski, G; Samajpati, E; Li, H; Laxton, K; Savov, IP; Meffre, S; Arculus, RJ; Bandini, AN; Barth, AP; Bogus, K; Brandl, PA; Gurnis, M; Jiang, FQ</t>
  </si>
  <si>
    <t>Waldman, Ryan J.; Marsaglia, Kathleen M.; Hickey-Vargas, Rosemary; Ishizuka, Osamu; Johnson, Kyle E.; McCarthy, Anders; Yogodzinski, Gene; Samajpati, Eshita; Li, He; Laxton, Kate; Savov, Ivan P.; Meffre, Sebastien; Arculus, Richard J.; Bandini, Alexandre N.; Barth, Andrew P.; Bogus, Kara; Brandl, Philipp A.; Gurnis, Michael; Jiang, Fuqing</t>
  </si>
  <si>
    <t>Sedimentary and volcanic record of the nascent Izu-Bonin-Mariana arc from IODP Site U1438</t>
  </si>
  <si>
    <t>GEOLOGICAL SOCIETY OF AMERICA BULLETIN</t>
  </si>
  <si>
    <t>WEST PHILIPPINE BASIN; RECENT DEEP-SEA; SUBDUCTION INITIATION; FORE-ARC; METALLIFEROUS SEDIMENTS; EARLY HISTORY; ORIGIN; AGE; GEOCHEMISTRY; EVOLUTION</t>
  </si>
  <si>
    <t>The oldest known, intact sedimentary record of a nascent intraoceanic arc was recovered in a similar to 100-m-thick unit (IV) above ca. 49 Ma basaltic basement at International Ocean Discovery Program Site U1438 in the Amami Sankaku Basin. During deposition of Unit IV the site was located similar to 250 km from the plate edge, where Izu-Bonin-Mariana subduction initiated at 52 Ma. Basement basalts are overlain by a mudstone-dominated subunit (IVC) with a thin basal layer of dark brown metalliferous mudstone followed by mudstone with sparse, graded laminae of amphibole- and biotite-bearing tuffaceous sandstone and siltstone. Amphibole and zircon ages from these laminae suggest that the intermediate subduction-related magmatism that sourced them initiated at ca. 47 Ma soon after basement formation. Overlying volcaniclastic, sandy, gravity-flow deposits (subunit IVB) have a different provenance; shallow water fauna and tachylitic glass fragments indicate a source volcanic edifice that rose above the carbonate compensation depth and may have been emergent. Basaltic andesite intervals in upper subunit IVB have textures suggesting emplacement as intrusions into unconsolidated sediment on a volcanic center with geochemical and petrological characteristics of mafic, differentiated island arc magmatism. Distinctive Hf-Nd isotope characteristics similar to the least-radiogenic Izu-Bonin-Mariana boninites support a relatively old age for the basaltic andesites similar to detrital amphibole dated at 47 Ma. The absence of boninites at that time may have resulted from the position of Site U1438 at a greater distance from the plate edge. The upper interval of mudstone with tuffaceous beds (subunit IVA) progresses upsection into Unit III, part of a wedge of sediment fed by growing arc-axis volcanoes to the east. At Site U1438, in what was to become a reararc position, the succession of early extensional basaltic magmatism associated with spontaneous subduction initiation is followed by a rapid transition into potentially widespread subduction-related magmatism and sedimentation prior to the onset of focused magmatism and major arc building.</t>
  </si>
  <si>
    <t>[Waldman, Ryan J.; Marsaglia, Kathleen M.; Johnson, Kyle E.] Calif State Univ Northridge, Dept Geol Sci, 18111 Nordhoff St, Northridge, CA 91330 USA; [Waldman, Ryan J.; Yogodzinski, Gene] Univ South Carolina, Sch Earth Ocean &amp; Environm, 701 Sumter St,EWSC617, Columbia, SC 29208 USA; [Hickey-Vargas, Rosemary; Samajpati, Eshita] Florida Int Univ, Earth &amp; Environm Dept, AHC5-360, Miami, FL 33199 USA; [Ishizuka, Osamu] Geol Survey Japan AIST, Cent 7 1-1-1 Higashi, Tsukuba, Ibaraki 3058567, Japan; [Ishizuka, Osamu] Japan Agcy Marine Earth Sci &amp; Technol JAMSTEC, 2-15 Natsushima Cho, Yokosuka, Kanagawa 2370061, Japan; [McCarthy, Anders] Univ Lausanne, Inst Earth Sci, CH-1015 Lausanne, Switzerland; [McCarthy, Anders] Univ Tasmania, Inst Marine &amp; Antarctic Studies, Hobart, Tas 7004, Australia; [Li, He] Chinese Acad Sci, Ctr Deep Sea Res, Inst Oceanol, Qingdao 266071, Peoples R China; [Laxton, Kate; Savov, Ivan P.] Univ Leeds, Sch Earth &amp; Environm, Leeds LS2 9JT, W Yorkshire, England; [Meffre, Sebastien] Univ Tasmania, Sch Earth Sci, Hobart, Tas 7001, Australia; [Arculus, Richard J.] Australian Natl Univ, Res Sch Earth Sci, Canberra, ACT 2601, Australia; [Bandini, Alexandre N.] Univ Western Australia, Sch Earth Sci, M004,35 Stirling Highway, Crawley, WA 6009, Australia; [Barth, Andrew P.] Indiana Univ Purdue Univ, Dept Earth Sci, Indianapolis, IN 46202 USA; [Bogus, Kara] Texas A&amp;M Univ, Int Ocean Discovery Program, 1000 Discovery Dr, College Stn, TX 77845 USA; [Brandl, Philipp A.] GEOMAR Helmholtz Ctr Ocean Res Kiel, Wischhofstr 1-3, D-24148 Kiel, Germany; [Gurnis, Michael] CALTECH, Seismol Lab, Pasadena, CA 91125 USA; [Jiang, Fuqing] Chinese Acad Sci, Inst Oceanol, 7 Nanhai Rd, Qingdao 266071, Peoples R China</t>
  </si>
  <si>
    <t>California State University System; California State University Northridge; University of South Carolina System; University of South Carolina Columbia; State University System of Florida; Florida International University; National Institute of Advanced Industrial Science &amp; Technology (AIST); Japan Agency for Marine-Earth Science &amp; Technology (JAMSTEC); University of Lausanne; University of Tasmania; Chinese Academy of Sciences; Institute of Oceanology, CAS; University of Leeds; University of Tasmania; Australian National University; University of Western Australia; Indiana University System; Indiana University-Purdue University Indianapolis; Texas A&amp;M University System; Texas A&amp;M University College Station; Helmholtz Association; GEOMAR Helmholtz Center for Ocean Research Kiel; California Institute of Technology; Chinese Academy of Sciences; Institute of Oceanology, CAS</t>
  </si>
  <si>
    <t>Marsaglia, KM (corresponding author), Calif State Univ Northridge, Dept Geol Sci, 18111 Nordhoff St, Northridge, CA 91330 USA.</t>
  </si>
  <si>
    <t>kathie.marsaglia@csun.edu</t>
  </si>
  <si>
    <t>Brandl, Philipp Alexander/F-5576-2012; li, he/ISB-4278-2023; zhang, lin/IZQ-4870-2023; Bandini, Alexandre N/B-1306-2012; Jiang, Fuqing/Y-4264-2019; Gao, Lin/JNF-0375-2023</t>
  </si>
  <si>
    <t>Brandl, Philipp Alexander/0000-0001-6863-5262; Jiang, Fuqing/0000-0002-4707-1653; Yogodzinski, Gene/0000-0003-4166-3321; Bogus, Kara/0000-0003-4690-0576; Laxton, Kate/0000-0003-3700-4446</t>
  </si>
  <si>
    <t>National Science Foundation [OCE-1503694]; Ocean Leadership; Geological Society of America; Japan Agency for Marine-Earth Science and Technology; Japan Drilling Earth Science Consortium; National Natural Science Foundation of China [91958110, 41473029]; Swiss National Science Foundation [P2LAP2_171819]; NSF [OCE 1537861, 1537135]; [25287133]; Directorate For Geosciences; Division Of Ocean Sciences [1537135] Funding Source: National Science Foundation; Swiss National Science Foundation (SNF) [P2LAP2_171819] Funding Source: Swiss National Science Foundation (SNF)</t>
  </si>
  <si>
    <t>National Science Foundation(National Science Foundation (NSF)); Ocean Leadership; Geological Society of America; Japan Agency for Marine-Earth Science and Technology; Japan Drilling Earth Science Consortium; National Natural Science Foundation of China(National Natural Science Foundation of China (NSFC)); Swiss National Science Foundation(Swiss National Science Foundation (SNSF)); NSF(National Science Foundation (NSF)); ; Directorate For Geosciences; Division Of Ocean Sciences(National Science Foundation (NSF)NSF - Directorate for Geosciences (GEO)); Swiss National Science Foundation (SNF)(Swiss National Science Foundation (SNSF))</t>
  </si>
  <si>
    <t>We thank the International Ocean Discovery Program (IODP) for access to core samples and acknowledge the IODP Expedition 351 shipboard scientists, technicians, and captain and crew of the R/V JOIDES Resolution, who made this study possible. Awards to K. Marsaglia from the National Science Foundation (OCE-1503694) and Ocean Leadership and from the Geological Society of America to K. Johnson supported this work. O. Ishizuka appreciates Japan Agency for Marine-Earth Science and Technology and Japan Drilling Earth Science Consortium for their funding to join the expedition and post cruise research. O. Ishizuka used Grant-in-Aid (B) (No. 25287133) for shore-based research. H. Li appreciates support from National Natural Science Foundation of China (91958110 and 41473029) and use of facilities at Australian National University. A. McCarthy acknowledges the support of Swiss National Science Foundation Grant P2LAP2_171819. We thank K. Tani for providing the opportunity to use SELFRAG at National Museum of Nature and Science and E. Curtis for providing access to olivine data. We also appreciate Oregon State University research reactor for providing irradiation opportunities. R. Hickey-Vargas, E. Samajpati, and G. Yogodzinski are grateful for support received from NSF (OCE 1537861 and 1537135) and for the use of facilities at the Florida Center for Analytical Electron Microscopy at Florida International University and the Center for Elemental Mass Spectrometry at the University of South Carolina. Constructive reviews by J. Gill, A. Robertson, and Associate Editor N. Riggs greatly improved the manuscript.</t>
  </si>
  <si>
    <t>0016-7606</t>
  </si>
  <si>
    <t>1943-2674</t>
  </si>
  <si>
    <t>GEOL SOC AM BULL</t>
  </si>
  <si>
    <t>Geol. Soc. Am. Bull.</t>
  </si>
  <si>
    <t>10.1130/B35612.1</t>
  </si>
  <si>
    <t>TI3YO</t>
  </si>
  <si>
    <t>WOS:000672732700005</t>
  </si>
  <si>
    <t>Singh, AK; Panda, SK; Das, RM</t>
  </si>
  <si>
    <t>Singh, Arun Kumar; Panda, Sampad Kumar; Das, Rupesh M.</t>
  </si>
  <si>
    <t>Comparison of polar ionospheric behavior at Arctic and Antarctic regions for improved satellite-based positioning</t>
  </si>
  <si>
    <t>JOURNAL OF APPLIED GEODESY</t>
  </si>
  <si>
    <t>Interplanetary magnetic field; Space weather; Total Electron Content; Positioning Scintillation; Polar ionosphere</t>
  </si>
  <si>
    <t>HIGH SOLAR-ACTIVITY; GPS OBSERVATIONS; GEOMAGNETIC STORM; ELECTRON-CONTENT; TEC VARIABILITY; HIGH-LATITUDES; MODEL; IRREGULARITIES; SCINTILLATION; PARAMETERS</t>
  </si>
  <si>
    <t>In this paper, we investigate the hemispheric symmetric and asymmetric characteristics of ionospheric total electron content (TEC) and its dependency on the interplanetary magnetic field (IMF) in the northern and southern polar ionosphere. The changes in amplitude and phase scintillation are also probed through Global Ionospheric Scintillation and TEC monitoring (GISTM) systems recordings at North pole [Himadri station; Geographic 78 degrees 55' N, 11 degrees 56' E] and South pole [Maitri station; Geographic 70 degrees 46' S 11 degrees 44' E]. Observations show the range of %TEC variability being relatively more over Antarctic region (-40 % to 60 %) than Arctic region (-25 % to 25 %), corroborating the role of the dominant solar photoionization production process. Our analysis confirms that TEC variation at polar latitudes is a function of magnetosphere-ionosphere coupling, depending on interplanetary magnetic field (IMF) orientation and magnitude in the X (Bx), Y (By), and Z (Bz) plane. Visible enhancement in TEC is noticed in the northern polar latitude when Bx &lt; 0, By &lt; -6 nT or By &gt; 6 nT and Bz &gt; 0 whereas the southern polar latitude perceives TEC enhancements with Bx &gt; 0, -6 nT &lt; By &lt; 6 nT and Bz &lt; 0. Further investigation reveals the intensity of phase scintillation being more pronounced than the amplitude scintillation during the disturbed geomagnetic conditions with excellent correlation with the temporal variation of TEC at both the stations. Corresponding variations in the parameters are studied in terms of particle precipitation, auroral oval expansion, Joule's heating phenomena, and other ionospheric parameters. The studies are in line with efforts for improving ionospheric delay error and scintillation modeling and satellite-based positioning accuracies in polar latitudes.</t>
  </si>
  <si>
    <t>[Singh, Arun Kumar; Das, Rupesh M.] CSIR Natl Phys Lab, Dr KS Krishnan Marg, New Delhi 110012, India; [Singh, Arun Kumar; Das, Rupesh M.] Acad Sci &amp; Innovat Res AcSIR, Postal Staff Coll Area, CSIR HRDC Campus,Sect 19, Ghaziabad 201002, Uttar Pradesh, India; [Panda, Sampad Kumar] KL Deemed Univ, Dept ECE, Koneru Lakshmaiah Educ Fdn, Guntur 522502, Andhra Pradesh, India</t>
  </si>
  <si>
    <t>Council of Scientific &amp; Industrial Research (CSIR) - India; CSIR - National Physical Laboratory (NPL); Academy of Scientific &amp; Innovative Research (AcSIR); Koneru Lakshmaiah Education Foundation (K L Deemed to be University)</t>
  </si>
  <si>
    <t>Singh, AK (corresponding author), CSIR Natl Phys Lab, Dr KS Krishnan Marg, New Delhi 110012, India.;Singh, AK (corresponding author), Acad Sci &amp; Innovat Res AcSIR, Postal Staff Coll Area, CSIR HRDC Campus,Sect 19, Ghaziabad 201002, Uttar Pradesh, India.</t>
  </si>
  <si>
    <t>arsurya123@gmail.com; sampadpanda@gmail.com</t>
  </si>
  <si>
    <t>PANDA, SAMPAD KUMAR/G-1993-2014</t>
  </si>
  <si>
    <t>PANDA, SAMPAD KUMAR/0000-0001-5655-3585</t>
  </si>
  <si>
    <t>Ministry of Science and Higher Education of the Russian Federation [0852-2020-0015]</t>
  </si>
  <si>
    <t>Ministry of Science and Higher Education of the Russian Federation</t>
  </si>
  <si>
    <t>The research was financially supported by the Ministry of Science and Higher Education of the Russian Federation (State assignment in the field of scientific activity,. 0852-2020-0015).</t>
  </si>
  <si>
    <t>WALTER DE GRUYTER GMBH</t>
  </si>
  <si>
    <t>GENTHINER STRASSE 13, D-10785 BERLIN, GERMANY</t>
  </si>
  <si>
    <t>1862-9016</t>
  </si>
  <si>
    <t>1862-9024</t>
  </si>
  <si>
    <t>J APPL GEOD</t>
  </si>
  <si>
    <t>J. Appl. Geod.</t>
  </si>
  <si>
    <t>10.1515/jag-2021-0033</t>
  </si>
  <si>
    <t>Remote Sensing</t>
  </si>
  <si>
    <t>TI1QX</t>
  </si>
  <si>
    <t>WOS:000672560700007</t>
  </si>
  <si>
    <t>Cho, A; Cho, YJ; Kim, OS</t>
  </si>
  <si>
    <t>Cho, Ahnna; Cho, Yong-Joon; Kim, Ok-Sun</t>
  </si>
  <si>
    <t>Draft Genome Sequence of the Chitin-Degrading Psychrotolerant Bacterium Pedobacter jejuensis TN23, Isolated from Antarctic Soil</t>
  </si>
  <si>
    <t>MICROBIOLOGY RESOURCE ANNOUNCEMENTS</t>
  </si>
  <si>
    <t>Pedobacter jejuensis TN23 was isolated from soil from Terra Nova Bay, Victoria Land, Antarctica. The assembled draft genome size is 4,795,808 bp, and it contains a total of 4,095 genes with 3,970 coding sequences, including genes putatively involved in the degradation of chitin.</t>
  </si>
  <si>
    <t>[Cho, Ahnna; Kim, Ok-Sun] Korea Polar Res Inst, Div Polar Life Sci, Incheon, South Korea; [Cho, Yong-Joon] Seoul Natl Univ, Dept Biol Sci, Seoul, South Korea; [Cho, Yong-Joon] Seoul Natl Univ, Res Inst Basic Sci, Seoul, South Korea</t>
  </si>
  <si>
    <t>Korea Polar Research Institute (KOPRI); Seoul National University (SNU); Seoul National University (SNU)</t>
  </si>
  <si>
    <t>Kim, OS (corresponding author), Korea Polar Res Inst, Div Polar Life Sci, Incheon, South Korea.</t>
  </si>
  <si>
    <t>oskim@kopri.re.kr</t>
  </si>
  <si>
    <t>Cho, Yong-Joon/0000-0003-3191-2670</t>
  </si>
  <si>
    <t>Korea Polar Research Institute [PE19150, PE21130]</t>
  </si>
  <si>
    <t>This work was supported by Korea Polar Research Institute (grant numbers PE19150 and PE21130).</t>
  </si>
  <si>
    <t>2576-098X</t>
  </si>
  <si>
    <t>MICROBIOL RESOUR ANN</t>
  </si>
  <si>
    <t>Microbiol. Resour. Ann.</t>
  </si>
  <si>
    <t>e00523-21</t>
  </si>
  <si>
    <t>10.1128/MRA.00523-21</t>
  </si>
  <si>
    <t>TH9EV</t>
  </si>
  <si>
    <t>WOS:000672386500020</t>
  </si>
  <si>
    <t>Emami-Khoyi, A; Knapp, IS; Monsanto, DM; van Vuuren, BJ; Toonen, RJ; Teske, PR</t>
  </si>
  <si>
    <t>Emami-Khoyi, Arsalan; Knapp, Ingrid S.; Monsanto, Daniela M.; van Vuuren, Bettine Jansen; Toonen, Robert J.; Teske, Peter R.</t>
  </si>
  <si>
    <t>Genomic divergence and differential gene expression between crustacean ecotypes across a marine thermal gradient</t>
  </si>
  <si>
    <t>MARINE GENOMICS</t>
  </si>
  <si>
    <t>Climate change; Decapod crustaceans; Ecological speciation; Gene expression; Genomic divergence; Pool-Seq; RNAseq; Temperature adaptation; Transcriptomics</t>
  </si>
  <si>
    <t>SEGREGATING SITES; SOUTH-AFRICA; DNA; DROSOPHILA; TOOL; TEMPERATURE; POPULATIONS; DISPERSAL; HISTORIES; SELECTION</t>
  </si>
  <si>
    <t>Environmental gradients between marine biogeographical provinces separate distinct faunal communities. However, the absence of absolute dispersal barriers allows numerous species to occur on both sides of such boundaries. While the regional populations of such widespread species are often morphologically indistinguishable from each other, genetic evidence suggests that they represent unique ecotypes, and likely even cryptic species, that may be uniquely adapted to their local environment. Here, we explored genomic divergence in four sympatric southern African decapod crustaceans whose ranges span the boundary between the cool-temperate west coast (south-eastern Atlantic) and the warm-temperate south coast (south-western Indian Ocean) near the southern tip of the African continent. Using genome-wide data, we found that all four species comprise distinct west coast and south coast ecotypes, with molecular dating suggesting divergence during the Pleistocene. Transcriptomic data from the hepatopancreas of twelve specimens of one of these species, the mudprawn Upogebia africana, which were exposed to either 10 degrees C or 20 degrees C, showed a clear difference in gene expression profiles between the west- and south coast ecotypes. This difference was particularly clear at 10 degrees C, where individuals from the south coast experienced a `transcriptomic shock'. This low temperature is more typical of the west coast during upwelling events, and the physiological stress experienced by the south coast ecotype under such conditions may explain its absence from that coastline. Our results shed new light on the processes involved in driving genomic divergence and incipient speciation along coastlines with porous dispersal barriers.</t>
  </si>
  <si>
    <t>[Emami-Khoyi, Arsalan; Monsanto, Daniela M.; van Vuuren, Bettine Jansen; Teske, Peter R.] Univ Johannesburg, Ctr Ecol Genom &amp; Wildlife Conservat, Dept Zool, ZA-2006 Auckland Pk, South Africa; [Knapp, Ingrid S.; Toonen, Robert J.] Univ Hawaii Manoa, Hawaii Inst Marine Biol, Honolulu, HI 96822 USA</t>
  </si>
  <si>
    <t>University of Johannesburg; University of Hawaii System; University of Hawaii Manoa</t>
  </si>
  <si>
    <t>Emami-Khoyi, A; Teske, PR (corresponding author), Univ Johannesburg, Ctr Ecol Genom &amp; Wildlife Conservat, Dept Zool, ZA-2006 Auckland Pk, South Africa.</t>
  </si>
  <si>
    <t>ekarsalan@gmail.com; pteske101@gmail.com</t>
  </si>
  <si>
    <t>Jansen van Vuuren, Bettine/E-6227-2013; Teske, Peter/B-1564-2019</t>
  </si>
  <si>
    <t>Jansen van Vuuren, Bettine/0000-0002-5334-5358;</t>
  </si>
  <si>
    <t>PADI Foundation [10981]; University of Johannesburg (URC/FRC); NSF [1924604]; University of Johannesburg; National Research Foundation [110728]; Directorate For Geosciences [1924604] Funding Source: National Science Foundation; Division Of Ocean Sciences [1924604] Funding Source: National Science Foundation</t>
  </si>
  <si>
    <t>PADI Foundation; University of Johannesburg (URC/FRC); NSF(National Science Foundation (NSF)); University of Johannesburg; National Research Foundation; Directorate For Geosciences(National Science Foundation (NSF)NSF - Directorate for Geosciences (GEO)); Division Of Ocean Sciences(National Science Foundation (NSF)NSF - Directorate for Geosciences (GEO))</t>
  </si>
  <si>
    <t>This study was funded by the PADI Foundation (grant no. 10981 to P. R.T.) , the University of Johannesburg (URC/FRC grant to P.R.T.) and the NSF (grant 1924604 to R.J.T) . A.E.-K. and D.M.M acknowledge the University of Johannesburg for a Global Excellence and Stature (GES) fellowships, and the National Research Foundation for a South Africa National Antarctic Program (SANAP) research grant (grant no. 110728 to B.v.V) . Computational platforms for this study were provided by the Centre for High Performance Computing (CHPC) in Cape Town and the University of Johannesburg's IT department. The authors would like to express their gratitude to Robert Kofler, Ronald Vitalis and Fabian Clemente for their advice.</t>
  </si>
  <si>
    <t>1874-7787</t>
  </si>
  <si>
    <t>1876-7478</t>
  </si>
  <si>
    <t>MAR GENOM</t>
  </si>
  <si>
    <t>Mar. Genom.</t>
  </si>
  <si>
    <t>10.1016/j.margen.2021.100847</t>
  </si>
  <si>
    <t>Genetics &amp; Heredity; Marine &amp; Freshwater Biology</t>
  </si>
  <si>
    <t>TG5IM</t>
  </si>
  <si>
    <t>WOS:000671438600007</t>
  </si>
  <si>
    <t>Polyakov, V; Nizamutdinov, T; Abakumov, E; Morgun, E</t>
  </si>
  <si>
    <t>Polyakov, Vyacheslav; Nizamutdinov, Timur; Abakumov, Evgeny; Morgun, Eugeniya</t>
  </si>
  <si>
    <t>Soil Diversity and Key Functional Characteristics of Yakutsk City: Largest Urbanized Cryogenic World's Ecosystem</t>
  </si>
  <si>
    <t>ENERGIES</t>
  </si>
  <si>
    <t>trace elements; agrochemical properties; pollution status; permafrost soil; Podzols</t>
  </si>
  <si>
    <t>LENA RIVER DELTA; PERMAFROST; CARBON; SIBERIA; SURFACE; CLIMATE; TUNDRA; COVER; SITE</t>
  </si>
  <si>
    <t>Urban soils are the most vulnerable component of the current terrestrial ecosystem. Due to the anthropogenic influence, various pollutants can accumulate in the soils and have a negative effect on the health of citizens. As a result of the degradation of permafrost landscapes, the disappearance of a number of natural ecosystems, as well as urban areas, is possible. In the course of the development of thermokarst processes, problems arise in the urban environment with the destruction of urban buildings and a decrease in agricultural areas. The ecosystem of Yakutsk city is located in the valley of the Lena River and represents the largest urbanized terrestrial biotope, located in the permafrost-affected bioclimatic and geogenic conditions. This work represents relevant datasets on the physico-chemical, toxicological and agrochemical state of soil cover components in various functional zones of the city. An 3excess of the maximum threshold levels for Zn was noted in the area of active mining within the city borders. From the data obtained of pollution state, the most polluted zone of Yakutsk city is the quarry complex located in relative proximity to the city. In other studied areas of the city, there is no excess of permissible threshold levels for trace elements. According to agrochemical analysis, in Yakutsk city, there is a relatively low content of available agrochemical elements in comparison with other cities located in the permafrost-affected zone.</t>
  </si>
  <si>
    <t>[Polyakov, Vyacheslav; Nizamutdinov, Timur; Abakumov, Evgeny] St Petersburg State Univ, Fac Biol, Dept Appl Ecol, 16th Liniya VO 29, St Petersburg 199178, Russia; [Polyakov, Vyacheslav] Arctic &amp; Antarctic Res Inst, Beringa St 38, St Petersburg 199397, Russia; [Morgun, Eugeniya] Arctic Res Ctr Yamal Nenets Autonomous Dist, Respublikiv St 20, Salekhard 629008, Yamal Autonomou, Russia</t>
  </si>
  <si>
    <t>Saint Petersburg State University; Arctic &amp; Antarctic Research Institute</t>
  </si>
  <si>
    <t>Abakumov, E (corresponding author), St Petersburg State Univ, Fac Biol, Dept Appl Ecol, 16th Liniya VO 29, St Petersburg 199178, Russia.</t>
  </si>
  <si>
    <t>slavon6985@gmail.com; timur_nizam@mail.ru; e_abakumov@mail.ru; morgun148@gmail.com</t>
  </si>
  <si>
    <t>Abakumov, Evgeny/AAO-8580-2020; Abakumov, e_abakumov@mail.ru/ADJ-1297-2022; Nizamutdinov, Timur/AAA-9686-2021; Polyakov, Vyacheslav/H-5483-2016</t>
  </si>
  <si>
    <t>Abakumov, Evgeny/0000-0002-5248-9018; Abakumov, e_abakumov@mail.ru/0000-0002-5248-9018; Nizamutdinov, Timur/0000-0003-2600-5494; Abakumov, Evgeniy/0000-0003-3703-9147; Polyakov, Vyacheslav/0000-0001-6171-3221</t>
  </si>
  <si>
    <t>Ministry of Science and Higher Education of the Russian Federation [075-15-2020-922]; World-class Scientific Center Agrotechnologies for the Future</t>
  </si>
  <si>
    <t>Ministry of Science and Higher Education of the Russian Federation; World-class Scientific Center Agrotechnologies for the Future</t>
  </si>
  <si>
    <t>T This work was supported by the Ministry of Science and Higher Education of the Russian Federation in accordance with agreement &gt; 075-15-2020-922 date 16.11.2020 on providing a grant in the form of subsidies from the Federal budget of Russian Federation. The grant was provided for state support for the creation and development of a World-class Scientific Center Agrotechnologies for the Future.</t>
  </si>
  <si>
    <t>1996-1073</t>
  </si>
  <si>
    <t>Energies</t>
  </si>
  <si>
    <t>10.3390/en14133819</t>
  </si>
  <si>
    <t>Energy &amp; Fuels</t>
  </si>
  <si>
    <t>TG0JE</t>
  </si>
  <si>
    <t>WOS:000671098700001</t>
  </si>
  <si>
    <t>Redón, S; Gajardo, G; Vasileva, GP; Sánchez, MI; Green, AJ</t>
  </si>
  <si>
    <t>Redon, Stella; Gajardo, Gonzalo; Vasileva, Gergana P.; Sanchez, Marta I.; Green, Andy J.</t>
  </si>
  <si>
    <t>Explaining Variation in Abundance and Species Diversity of Avian Cestodes in Brine Shrimps in the Salar de Atacama and Other Chilean Wetlands</t>
  </si>
  <si>
    <t>WATER</t>
  </si>
  <si>
    <t>Artemia; cestode infection; environmental factors; latitude; hypersaline lagoons; Chile</t>
  </si>
  <si>
    <t>FLAMINGO PHOENICOPARRUS-ANDINUS; LATITUDINAL GRADIENTS; ARTEMIA-FRANCISCANA; PHOENICOPTERUS-CHILENSIS; SEASONAL DISTRIBUTION; AQUATIC BIRDS; LIFE-SPAN; PREVALENCE; CRUSTACEA; BRANCHIOPODA</t>
  </si>
  <si>
    <t>Further biogeographical studies of parasites are vital to improve our understanding of biodiversity distribution and predict the impacts of global change. Hypersaline lakes are good laboratories to investigate the avian cestode abundance and species diversity given the abundance of hosts (waterbirds and Artemia) and their broad latitudinal distribution. We analysed cestode infection in brine shrimp Artemia franciscana in northern (Atacama) and central Chile and compared them to results from A. persimilis in southern Chile (Patagonia). Thus, we covered a broad latitudinal gradient from 23 degrees to 53 degrees S. Five cestode taxa including two species of the genus Flamingolepis, Gynandrotaenia stammeri, Eurycestus avoceti, and Fuhrmannolepis averini were recorded from A. franciscana in Atacama lagoons (prevalence = 4.1%). In contrast, no cestode infection was detected in central Chile, likely because they are temporary wetlands. Parasites of flamingos and shorebirds were associated with Atacama lagoons (arid and higher salinity), while Confluaria podicipina and Fimbriarioides sp. (parasites of grebes and ducks, respectively) were dominant in Patagonian lagoons (sub-antarctic and of lower salinity). These differences mirror changes in the relative abundance of the respective final hosts. The flamingo parasite Flamingolepis sp. 1 was the most prevalent and abundant cestode in Atacama, where it was recorded only in autumn. Seasonality and habitat effects (especially abundance and phenology of different bird species) appear to override any latitudinal trends in the prevalence, diversity, and distribution of cestodes. Cestode prevalence was higher in larger wetlands but was not related to the sex of either intermediate host. We recorded a greater taxonomic richness at the cestode family level in Atacama, but a greater dominance of a single family of avian hosts (the flamingos). Ours is the first spatio-temporal study of Artemia cestodes at local and regional scales in the southern hemisphere.</t>
  </si>
  <si>
    <t>[Redon, Stella; Gajardo, Gonzalo] Univ Los Lagos, Lab Genet Aquaculture &amp; Biodivers, Avda Fuchslocher 1305, Osorno 5290000, Chile; [Redon, Stella; Green, Andy J.] Estn Biol Donana, Dept Wetland Ecol, Americo Vespucio 26, Seville 41092, Spain; [Redon, Stella; Sanchez, Marta I.] Univ Seville, Fac Biol, Dept Plant Biol &amp; Ecol, Avda Reina Mercedes S-N, Seville 41012, Spain; [Vasileva, Gergana P.] Bulgarian Acad Sci, Inst Biodivers &amp; Ecosyst Res, 2 Gagarin St, Sofia 1113, Bulgaria</t>
  </si>
  <si>
    <t>Universidad de Los Lagos; Consejo Superior de Investigaciones Cientificas (CSIC); CSIC - Estacion Biologica de Donana (EBD); University of Sevilla; Bulgarian Academy of Sciences</t>
  </si>
  <si>
    <t>Green, AJ (corresponding author), Estn Biol Donana, Dept Wetland Ecol, Americo Vespucio 26, Seville 41092, Spain.</t>
  </si>
  <si>
    <t>mredon@us.es; ggajardo@ulagos.cl; Gergana.Vasileva@iber.bas.bg; msanchez85@us.es; ajgreen@ebd.csic.es</t>
  </si>
  <si>
    <t>Green, Andy J/A-5189-2008; Redón, Stella/AAA-9621-2020</t>
  </si>
  <si>
    <t>Green, Andy J/0000-0002-1268-4951; Redón, Stella/0000-0001-9351-6601; Vasileva, Gergana/0000-0001-6378-7769; Gajardo, Gonzalo/0000-0001-8634-141X</t>
  </si>
  <si>
    <t>ANID, Agencia Nacional de Investigacion y Desarrollo through the Fondo Nacional de Desarrollo Cientifico y Tecnologico (FONDECYT) [3170939]; Fondecyt postdoctoral fellowship; European Social Fund [PAIDI-DOCTOR 01221]; Spanish National Plan project (AEI/FEDER, EU) [CGL2016-76067-P]; University of Los Lagos, Chile; CSIC, Spain; Junta de Andalucia [PAIDI-DOCTOR 01221]</t>
  </si>
  <si>
    <t>ANID, Agencia Nacional de Investigacion y Desarrollo through the Fondo Nacional de Desarrollo Cientifico y Tecnologico (FONDECYT); Fondecyt postdoctoral fellowship(Comision Nacional de Investigacion Cientifica y Tecnologica (CONICYT)CONICYT FONDECYT); European Social Fund(European Social Fund (ESF)); Spanish National Plan project (AEI/FEDER, EU); University of Los Lagos, Chile; CSIC, Spain; Junta de Andalucia(Junta de Andalucia)</t>
  </si>
  <si>
    <t>This research was funded by the Comision Nacional de Investigacion Cientifica y Tecnologica de Chile (CONICYT; now ANID, Agencia Nacional de Investigacion y Desarrollo) through the Fondo Nacional de Desarrollo Cientifico y Tecnologico (FONDECYT, Project 3170939 lead by S.R.). S.R. was supported by Fondecyt postdoctoral fellowship, Postdoctoral contract by Junta de Andalucia and European Social Fund (PAIDI-DOCTOR 01221, ESF) and by Spanish National Plan project CGL2016-76067-P (AEI/FEDER, EU) to A.J.G. The APC was funded by the University of Los Lagos, Chile and CSIC, Spain.</t>
  </si>
  <si>
    <t>2073-4441</t>
  </si>
  <si>
    <t>WATER-SUI</t>
  </si>
  <si>
    <t>Water</t>
  </si>
  <si>
    <t>10.3390/w13131742</t>
  </si>
  <si>
    <t>Environmental Sciences; Water Resources</t>
  </si>
  <si>
    <t>Environmental Sciences &amp; Ecology; Water Resources</t>
  </si>
  <si>
    <t>TF7WQ</t>
  </si>
  <si>
    <t>WOS:000670928100001</t>
  </si>
  <si>
    <t>Baker, AR; Kanakidou, M; Nenes, A; Myriokefalitakis, S; Croot, PL; Duce, RA; Gao, Y; Guieu, C; Ito, A; Jickells, TD; Mahowald, NM; Middag, R; Perron, MMG; Sarin, MM; Shelley, R; Turner, DR</t>
  </si>
  <si>
    <t>Baker, Alex R.; Kanakidou, Maria; Nenes, Athanasios; Myriokefalitakis, Stelios; Croot, Peter L.; Duce, Robert A.; Gao, Yuan; Guieu, Cecile; Ito, Akinori; Jickells, Tim D.; Mahowald, Natalie M.; Middag, Rob; Perron, Morgane M. G.; Sarin, Manmohan M.; Shelley, Rachel; Turner, David R.</t>
  </si>
  <si>
    <t>Changing atmospheric acidity as a modulator of nutrient deposition and ocean biogeochemistry</t>
  </si>
  <si>
    <t>SCIENCE ADVANCES</t>
  </si>
  <si>
    <t>SOLUBLE ORGANIC-MATTER; IRON SOLUBILITY; MINERAL DUST; AEROSOL ACIDITY; BIOAVAILABLE PHOSPHORUS; SOUTHERN-OCEAN; PARTICLE WATER; SPECIATION; NITROGEN; PH</t>
  </si>
  <si>
    <t>Anthropogenic emissions to the atmosphere have increased the flux of nutrients, especially nitrogen, to the ocean, but they have also altered the acidity of aerosol, cloud water, and precipitation over much of the marine atmosphere. For nitrogen, acidity-driven changes in chemical speciation result in altered partitioning between the gas and particulate phases that subsequently affect long-range transport. Other important nutrients, notably iron and phosphorus, are affected, because their soluble fractions increase upon exposure to acidic environments during atmospheric transport. These changes affect the magnitude, distribution, and deposition mode of individual nutrients supplied to the ocean, the extent to which nutrient deposition interacts with the sea surface microlayer during its passage into bulk seawater, and the relative abundances of soluble nutrients in atmospheric deposition. Atmospheric acidity change therefore affects ecosystem composition, in addition to overall marine productivity, and these effects will continue to evolve with changing anthropogenic emissions in the future.</t>
  </si>
  <si>
    <t>[Baker, Alex R.; Jickells, Tim D.; Shelley, Rachel] Univ East Anglia, Ctr Ocean &amp; Atmospher Sci, Sch Environm Sci, Norwich, Norfolk, England; [Kanakidou, Maria] Univ Crete, Dept Chem, Environm Chem Proc Lab ECPL, Iraklion, Greece; [Kanakidou, Maria; Nenes, Athanasios] Fdn Res &amp; Technol Hellas, Ctr Studies Air Qual &amp; Climate Change, Inst Chem Engn Sci, Patras, Greece; [Kanakidou, Maria] Univ Bremen, Inst Environm Phys, Excellence Chair, Bremen, Germany; [Nenes, Athanasios] Ecole Polytech Fed Lausanne EPFL, Lab Atmospher Proc &amp; Their Impacts LAPI, Lausanne, Switzerland; [Myriokefalitakis, Stelios] Natl Observ Athens NOA, Inst Environm Res &amp; Sustainable Dev IERSD, GR-15236 Palea Penteli, Greece; [Croot, Peter L.] Natl Univ Ireland Galway, iCRAG Irish Ctr Res Appl Geosci Earth &amp; Ocean Sci, Sch Nat Sci, Galway, Ireland; [Croot, Peter L.] Natl Univ Ireland Galway, Ryan Inst, Galway, Ireland; [Duce, Robert A.] Texas A&amp;M Univ, Dept Oceanog, College Stn, TX USA; [Duce, Robert A.] Texas A&amp;M Univ, Dept Atmospher Sci, College Stn, TX USA; [Gao, Yuan] Rutgers State Univ, Dept Earth &amp; Environm Sci, Newark, DE USA; [Guieu, Cecile] Sorbonne Univ, Lab Oceanog Villefranche LOV, CNRS, Villefranche Sur Mer, France; [Ito, Akinori] JAMSTEC, Yokohama Inst Earth Sci, Yokohama, Kanagawa, Japan; [Mahowald, Natalie M.] Cornell Univ, Dept Earth &amp; Atmospher Sci, Ithaca, NY USA; [Middag, Rob] Royal Netherlands Inst Sea Res, Dept Ocean Syst OCS, POB 59, NL-1790 AB Den Burg, Netherlands; [Perron, Morgane M. G.] Univ Tasmania, Inst Marine &amp; Antarctic Studies, Hobart, Tas, Australia; [Sarin, Manmohan M.] Phys Res Lab, Geosci Div, Ahmadabad, Gujarat, India; [Shelley, Rachel] Florida State Univ, Dept Earth Ocean &amp; Atmospher Sci, Tallahassee, FL 32306 USA; [Turner, David R.] Univ Gothenburg, Dept Marine Sci, Gothenburg, Sweden</t>
  </si>
  <si>
    <t>University of East Anglia; University of Crete; Foundation for Research &amp; Technology - Hellas (FORTH); Institute of Chemical Engineering Sciences (ICE-HT); University of Bremen; Swiss Federal Institutes of Technology Domain; Ecole Polytechnique Federale de Lausanne; National Observatory of Athens; Ollscoil na Gaillimhe-University of Galway; Ollscoil na Gaillimhe-University of Galway; Texas A&amp;M University System; Texas A&amp;M University College Station; Texas A&amp;M University System; Texas A&amp;M University College Station; Rutgers University System; Rutgers University Newark; Centre National de la Recherche Scientifique (CNRS); Sorbonne Universite; Japan Agency for Marine-Earth Science &amp; Technology (JAMSTEC); Cornell University; Utrecht University; Royal Netherlands Institute for Sea Research (NIOZ); University of Tasmania; Department of Space (DoS), Government of India; Physical Research Laboratory - India; State University System of Florida; Florida State University; University of Gothenburg</t>
  </si>
  <si>
    <t>Baker, AR (corresponding author), Univ East Anglia, Ctr Ocean &amp; Atmospher Sci, Sch Environm Sci, Norwich, Norfolk, England.</t>
  </si>
  <si>
    <t>alex.baker@uea.ac.uk; mariak@uoc.gr</t>
  </si>
  <si>
    <t>Mahowald, Natalie M/D-8388-2013; Guieu, Cecile/AAU-6883-2021; Ito, Akinori/M-9599-2014; Perron, Morgane/HHS-1241-2022; Baker, Alex R/D-1233-2011; Nenes, Athanasios/ABE-6478-2020; Middag, Rob/D-6423-2013; Duce, Robert A/A-9917-2010; Kanakidou, Maria/D-7882-2012; Croot, Peter/C-8460-2009; Myriokefalitakis, Stelios/J-3701-2014</t>
  </si>
  <si>
    <t>Mahowald, Natalie M/0000-0002-2873-997X; Guieu, Cecile/0000-0001-6373-8326; Ito, Akinori/0000-0002-4937-2927; Nenes, Athanasios/0000-0003-3873-9970; Kanakidou, Maria/0000-0002-1724-9692; Perron, Morgane/0000-0001-5424-7138; Croot, Peter/0000-0003-1396-0601; Myriokefalitakis, Stelios/0000-0002-1541-7680; Gao, Yuan/0000-0002-1781-8971; Baker, Alex/0000-0002-8365-8953</t>
  </si>
  <si>
    <t>Science Foundation Ireland (SFI) [13/RC/2092]; European Regional Development Fund; iCRAG; JSPS KAKENHI [20H04329]; Ministry of Education, Culture, Sports, Science and Technology (MEXT), Japan [JPMXD0717935715]; project PyroTRACH (ERC-2016-COG) funded from H2020-EU.1.1.-Excellent Science-European Research Council (ERC) [726165]; European Union [821205]; Alexander von Humboldt Research Award; Grants-in-Aid for Scientific Research [20H04329] Funding Source: KAKEN</t>
  </si>
  <si>
    <t>Science Foundation Ireland (SFI)(Science Foundation Ireland); European Regional Development Fund(European Union (EU)); iCRAG; JSPS KAKENHI(Ministry of Education, Culture, Sports, Science and Technology, Japan (MEXT)Japan Society for the Promotion of ScienceGrants-in-Aid for Scientific Research (KAKENHI)); Ministry of Education, Culture, Sports, Science and Technology (MEXT), Japan(Ministry of Education, Culture, Sports, Science and Technology, Japan (MEXT)); project PyroTRACH (ERC-2016-COG) funded from H2020-EU.1.1.-Excellent Science-European Research Council (ERC); European Union(European Union (EU)); Alexander von Humboldt Research Award(Alexander von Humboldt Foundation); Grants-in-Aid for Scientific Research(Ministry of Education, Culture, Sports, Science and Technology, Japan (MEXT)Japan Society for the Promotion of ScienceGrants-in-Aid for Scientific Research (KAKENHI))</t>
  </si>
  <si>
    <t>P.L.C. acknowledges that his aerosol research is supported in part by a research grant from Science Foundation Ireland (SFI) under grant number 13/RC/2092 and cofunded under the European Regional Development Fund and by iCRAG industry partners. A.I. acknowledges JSPS KAKENHI grant number 20H04329 and Integrated Research Program for Advancing Climate Models (TOUGOU) grant number JPMXD0717935715 from the Ministry of Education, Culture, Sports, Science and Technology (MEXT), Japan. We also acknowledge support by the project PyroTRACH (ERC-2016-COG) funded from H2020-EU.1.1.-Excellent Science-European Research Council (ERC), project ID 726165 and from the European Union Horizon 2020 project FORCeS under grant agreement number 821205, and from an Alexander von Humboldt Research Award to M.K.</t>
  </si>
  <si>
    <t>AMER ASSOC ADVANCEMENT SCIENCE</t>
  </si>
  <si>
    <t>1200 NEW YORK AVE, NW, WASHINGTON, DC 20005 USA</t>
  </si>
  <si>
    <t>2375-2548</t>
  </si>
  <si>
    <t>SCI ADV</t>
  </si>
  <si>
    <t>Sci. Adv.</t>
  </si>
  <si>
    <t>eabd8800</t>
  </si>
  <si>
    <t>10.1126/sciadv.abd8800</t>
  </si>
  <si>
    <t>TF0XC</t>
  </si>
  <si>
    <t>WOS:000670435700005</t>
  </si>
  <si>
    <t>Roslee, AFA; Ahmad, SA; Gomez-Fuentes, C; Shaharuddin, NA; Khalil, KA; Zulkharnain, A</t>
  </si>
  <si>
    <t>Roslee, Ahmad Fareez Ahmad; Ahmad, Siti Aqlima; Gomez-Fuentes, Claudio; Shaharuddin, Noor Azmi; Khalil, Khalilah Abdul; Zulkharnain, Azham</t>
  </si>
  <si>
    <t>Scientometric Analysis of Diesel Pollutions in Antarctic Territories: A Review of Causes and Potential Bioremediation Approaches</t>
  </si>
  <si>
    <t>hydrocarbon; bioremediation; genes; sequencing</t>
  </si>
  <si>
    <t>OIL-CONTAMINATED SOIL; BACTERIAL-DEGRADATION; METABOLIC PATHWAYS; DNA HYBRIDIZATION; BIODEGRADATION; PSEUDOMONAS; DIVERSITY; REMEDIATION; BIOSTIMULATION; MICROORGANISMS</t>
  </si>
  <si>
    <t>Despite the continuous enforcement of Antarctic Treaty System, ATS (1961), today Antarctica is constantly plagued by hydrocarbon pollution from both legacy and present-day wastes, especially near where anthropogenic activities are the most intense. The advances of science have led to multiple breakthroughs to bolster bioremediation techniques and revamp existing laws that prevent or limit the extent of hydrocarbon pollution in Antarctica. This review serves as the extension of collective efforts by the Antarctic communities through visual representation that summarizes decades of findings (circa 2000-2020) from various fields, pertinent to the application of microbe-mediated hydrocarbons remediation. A scientometric analysis was carried out based on indexed, scientific repositories (ScienceDirect and Scopus), encompassing various parameters, including but not limited to keywords co-occurrences, contributing countries, trends and current breakthroughs in polar researches. The emergence of keywords such as bioremediation, biosurfactants, petroleum hydrocarbons, biodiesel, metagenomics and Antarctic treaty policy portrays the dynamic shifts in Antarctic affairs during the last decades, which initially focused on exploration and resources exploitation before switching to scientific research and the more recent ecotourism. This review also presents the hydrocarbonoclastic microbes studied in the past, known and proposed metabolic pathways and genes related to hydrocarbon biodegradation as well as bacterial adaptations to low-temperature condition.</t>
  </si>
  <si>
    <t>[Roslee, Ahmad Fareez Ahmad; Ahmad, Siti Aqlima; Shaharuddin, Noor Azmi] Univ Putra Malaysia UPM, Dept Biochem, Fac Biotechnol &amp; Biomol Sci, Serdang 43400, Selangor, Malaysia; [Ahmad, Siti Aqlima; Gomez-Fuentes, Claudio] Univ Magallanes, Ctr Res &amp; Antarct Environm Monitoring CIMAA, Avda Bulnes, Punta Arenas 01855, Region Magallan, Chile; [Gomez-Fuentes, Claudio] Univ Magallanes, Dept Chem Engn, Avda Bulnes, Punta Arenas 01855, Region Magallan, Chile; [Khalil, Khalilah Abdul] Univ Teknol MARA, Fac Sci Appl, Sch Biol, Shah Alam 40450, Selangor, Malaysia; [Zulkharnain, Azham] Shibaura Inst Technol, Dept Biosci &amp; Engn, Coll Syst Engn &amp; Sci, Minuma Ku, 307 Fukasaku, Saitama 3378570, Japan</t>
  </si>
  <si>
    <t>Universiti Putra Malaysia; Universidad de Magallanes; Universidad de Magallanes; Universiti Teknologi MARA; Shibaura Institute of Technology</t>
  </si>
  <si>
    <t>Zulkharnain, A (corresponding author), Shibaura Inst Technol, Dept Biosci &amp; Engn, Coll Syst Engn &amp; Sci, Minuma Ku, 307 Fukasaku, Saitama 3378570, Japan.</t>
  </si>
  <si>
    <t>fareezlee@yahoo.com; aqlima@upm.edu.my; claudio.gomez@umag.cl; noorazmi@upm.edu.my; khali552@uitm.edu.my; azham@shibaura-it.ac.jp</t>
  </si>
  <si>
    <t>Gomez-Fuentes, Claudio/ACN-8984-2022</t>
  </si>
  <si>
    <t>Gomez-Fuentes, Claudio/0000-0001-9060-7727; Shaharuddin, Noor Azmi/0000-0003-0057-9932; Ahmad, Siti Aqlima/0000-0002-7625-3704; Zulkharnain, Azham/0000-0001-9173-8171</t>
  </si>
  <si>
    <t>Shibaura Institute of Technology; Public Service Department of Malaysia (JPA)</t>
  </si>
  <si>
    <t>This project was financially supported by Shibaura Institute of Technology. The authors also thank the Public Service Department of Malaysia (JPA) for granting a personal scholarship (PhD programme) to Ahmad Fareez Ahmad Roslee.</t>
  </si>
  <si>
    <t>10.3390/su13137064</t>
  </si>
  <si>
    <t>TG0LC</t>
  </si>
  <si>
    <t>gold, Green Published, Green Accepted</t>
  </si>
  <si>
    <t>WOS:000671103700001</t>
  </si>
  <si>
    <t>Kusahara, K</t>
  </si>
  <si>
    <t>Kusahara, Kazuya</t>
  </si>
  <si>
    <t>Summertime linkage between Antarctic sea-ice extent and ice-shelf basal melting through Antarctic coastal water masses' variability: a circumpolar Southern Ocean model study</t>
  </si>
  <si>
    <t>Antarctic ice-shelf basal melting; Antarctic sea-ice extent; ocean-sea ice-ice shelf modeling</t>
  </si>
  <si>
    <t>TRENDS; RETREAT; COVER</t>
  </si>
  <si>
    <t>Recent observations indicate that two cryospheric components, namely the Antarctic sea ice and ice shelf over the Southern Ocean, have been changing over the decades. Here we analyze results from an ocean-sea ice-ice shelf model to examine variability in the Antarctic sea-ice extent and ice-shelf basal melting. The model reproduces seasonal and interannual variability in the Antarctic sea-ice extent and demonstrates that summertime ice-shelf basal melting is closely anti-correlated with the sea-ice extent anomaly. For example, the unprecedented minimum of the Antarctic sea-ice extent in the 2016 spring was accompanied by a substantial increase in the Antarctic ice-shelf melting in the model. Detailed analysis of Antarctic coastal water masses flowing into the ice-shelf cavities illustrates the physical linkage in the strong anti-correlation. This study suggests that the Antarctic summer sea-ice extent in the regions where the sea-ice edge approaches the Antarctic coastline can be a proxy for Antarctic coastal water masses and subsequent ice-shelf basal melting.</t>
  </si>
  <si>
    <t>[Kusahara, Kazuya] Japan Agcy Marine Earth Sci &amp; Technol JAMSTEC, Yokohama, Kanagawa, Japan</t>
  </si>
  <si>
    <t>Kusahara, K (corresponding author), Japan Agcy Marine Earth Sci &amp; Technol JAMSTEC, Yokohama, Kanagawa, Japan.</t>
  </si>
  <si>
    <t>kazuya.kusahara@gmail.com</t>
  </si>
  <si>
    <t>Kusahara, Kazuya/0000-0003-4067-7959</t>
  </si>
  <si>
    <t>Integrated Research Program for Advancing Climate Models (TOUGOU) [JPMXD0717935715]; Ministry of Education, Culture, Sports, Science and Technology (MEXT), Japan; JSPS KAKENHI [JP19K12301, JP17H06323]</t>
  </si>
  <si>
    <t>Integrated Research Program for Advancing Climate Models (TOUGOU); Ministry of Education, Culture, Sports, Science and Technology (MEXT), Japan(Ministry of Education, Culture, Sports, Science and Technology, Japan (MEXT)); JSPS KAKENHI(Ministry of Education, Culture, Sports, Science and Technology, Japan (MEXT)Japan Society for the Promotion of ScienceGrants-in-Aid for Scientific Research (KAKENHI))</t>
  </si>
  <si>
    <t>This work was supported by the Integrated Research Program for Advancing Climate Models (TOUGOU) Grant Number JPMXD0717935715 from the Ministry of Education, Culture, Sports, Science and Technology (MEXT), Japan and JSPS KAKENHI Grants JP19K12301, JP17H06323. All the numerical experiments with the ocean-sea ice-ice shelf model were performed on an HPE Apollo6000XL230k Gen10 (DA system) in JAMSTEC and Fujitsu PRIMERGY CX600M1/CX1640M1 (Oakforest-PACS) at the Information Technology Center, The University of Tokyo. I sincerely thank Dr Guy D Williams and Dr Shigeru Aoki for useful discussions on the preliminary results. I am grateful to two anonymous reviewers for their careful reading and constructive comments on the manuscript at the review stages, and their comments were very helpful in improving the quality of the manuscript.</t>
  </si>
  <si>
    <t>IOP PUBLISHING LTD</t>
  </si>
  <si>
    <t>10.1088/1748-9326/ac0de0</t>
  </si>
  <si>
    <t>TG8XJ</t>
  </si>
  <si>
    <t>WOS:000671680600001</t>
  </si>
  <si>
    <t>Chi, J; Lee, H; Hong, SG; Kim, HC</t>
  </si>
  <si>
    <t>Chi, Junhwa; Lee, Hyoungseok; Hong, Soon Gyu; Kim, Hyun-Cheol</t>
  </si>
  <si>
    <t>Spectral Characteristics of the Antarctic Vegetation: A Case Study of Barton Peninsula</t>
  </si>
  <si>
    <t>Antarctic vegetation; Barton Peninsula; field spectroscopy; King George Island; lichen; moss; spectral characteristics; spectral library</t>
  </si>
  <si>
    <t>KING-GEORGE ISLAND; SOUTH SHETLAND ISLANDS; WATER-CONTENT; WEST ANTARCTICA; SEJONG-STATION; LICHEN; REFLECTANCE; ABUNDANCE; SOILS</t>
  </si>
  <si>
    <t>Spectral information is a proxy for understanding the characteristics of ground targets without a potentially disruptive contact. A spectral library is a collection of this information and serves as reference data in remote sensing analyses. Although widely used, data of this type for most ground objects in polar regions are notably absent. Remote sensing data are widely used in polar research because they can provide helpful information for difficult-to-access or extensive areas. However, a lack of ground truth hinders remote sensing efforts. Accordingly, a spectral library was developed for 16 common vegetation species and decayed moss in the ice-free areas of Antarctica using a field spectrometer. In particular, the relative importance of shortwave infrared wavelengths in identifying Antarctic vegetation using spectral similarity comparisons was demonstrated. Due to the lack of available remote sensing images of the study area, simulated images were generated using the developed spectral library. Then, these images were used to evaluate the potential performance of the classification and spectral unmixing according to spectral resolution. We believe that the developed library will enhance our understanding of Antarctic vegetation and will assist in the analysis of various remote sensing data.</t>
  </si>
  <si>
    <t>[Chi, Junhwa; Lee, Hyoungseok; Hong, Soon Gyu; Kim, Hyun-Cheol] Korea Polar Res Inst, Incheon 21990, South Korea</t>
  </si>
  <si>
    <t>Korea Polar Research Institute (KOPRI)</t>
  </si>
  <si>
    <t>Lee, H (corresponding author), Korea Polar Res Inst, Incheon 21990, South Korea.</t>
  </si>
  <si>
    <t>jhchi@kopri.re.kr; soulaid@kopri.re.kr; polypore@kopri.re.kr; kimhc@kopri.re.kr</t>
  </si>
  <si>
    <t>Chi, Junhwa/0000-0003-4943-3790; Lee, Hyoungseok/0000-0002-5831-6345; Kim, Hyun-Cheol/0000-0002-6831-9291</t>
  </si>
  <si>
    <t>This research was funded by the Korea Polar Research Institute (grant number PE21130).</t>
  </si>
  <si>
    <t>10.3390/rs13132470</t>
  </si>
  <si>
    <t>TG4NM</t>
  </si>
  <si>
    <t>WOS:000671383500001</t>
  </si>
  <si>
    <t>Jiang, H; Jin, SG; Hernandez-Pajares, M; Xi, H; An, JC; Wang, ZM; Xu, XY; Yan, HX</t>
  </si>
  <si>
    <t>Jiang, Hu; Jin, Shuanggen; Hernandez-Pajares, Manuel; Xi, Hui; An, Jiachun; Wang, Zemin; Xu, Xueyong; Yan, Houxuan</t>
  </si>
  <si>
    <t>A New Method to Determine the Optimal Thin Layer Ionospheric Height and Its Application in the Polar Regions</t>
  </si>
  <si>
    <t>thin layer ionospheric height (TLIH); mapping function; dG-TLIH technique; global navigation satellite system (GNSS); height of maximum density of the F2 layer (hmF2)</t>
  </si>
  <si>
    <t>TOTAL ELECTRON-CONTENT; TEC; MODEL</t>
  </si>
  <si>
    <t>The conversion between the line-of-sight slant total electron content (STEC) and the vertical total electron content (VTEC) depends on the mapping function (MF) under the widely used thin layer ionospheric model. The thin layer ionospheric height (TLIH) is an essential parameter of the MF, which affects the accuracy of the conversion between the STEC and VTEC. Due to the influence of temporal and spatial variations of the ionosphere, the optimal TLIH is not constant over the globe, particularly in the polar regions. In this paper, a new method for determining the optimal TLIH is proposed, which compares the mapping function values (MFVs) from the MF at different given TLIHs with the truth mapping values from the UQRG global ionospheric maps (GIMs) and the differential TEC (dSTEC) method, namely the dSTEC- and GIM-based thin layer ionospheric height (dG-TLIH) techniques. The optimal TLIH is determined using the dG-TLIH method based on GNSS data over the Antarctic and Arctic. Furthermore, we analyze the relationship between the optimal TLIH derived from the dG-TLIH method and the height of maximum density of the F2 layer (hmF2) based on COSMIC data in the polar regions. According to the dG-TLIH method, the optimal TLIH is mainly distributed between 370 and 500 km over the Arctic and between 400 and 500 km over the Antarctic in a solar cycle. In the Arctic, the correlation coefficient between the hmF2 and optimal TLIH is 0.7, and the deviation between them is 162 km. Meanwhile, in the Antarctic, the correlation coefficient is 0.60, with a phase lag of similar to 3 months, with the hmF2 leading the optimal TLIH, and the deviation between them is 177 km.</t>
  </si>
  <si>
    <t>[Jiang, Hu; Jin, Shuanggen] Nanjing Univ Informat Sci &amp; Technol, Sch Remote Sensing &amp; Geomat Engn, Nanjing 210044, Peoples R China; [Jiang, Hu; An, Jiachun; Wang, Zemin] Wuhan Univ, Chinese Antarct Ctr Surveying &amp; Mapping, Wuhan 430079, Peoples R China; [Jiang, Hu; Xu, Xueyong; Yan, Houxuan] North Informat Control Res Acad Grp Co Ltd, Nanjing 211153, Peoples R China; [Hernandez-Pajares, Manuel] Univ Politecn Catalunya UPC IonSAT, IonSAT, SSTRG IEEC, Barcelona 08034, Spain; [Xi, Hui] Shandong Normal Univ, Coll Geog &amp; Environm, Jinan 250358, Peoples R China; [Xi, Hui] Chinese Acad Sci, State Key Lab Geodesy &amp; Earths Dynam, Innovat Acad Precis Measurement Sci &amp; Technol, Wuhan 430077, Peoples R China</t>
  </si>
  <si>
    <t>Nanjing University of Information Science &amp; Technology; Wuhan University; Institut d'Estudis Espacials de Catalunya (IEEC); Shandong Normal University; Chinese Academy of Sciences; Innovation Academy for Precision Measurement Science &amp; Technology, CAS</t>
  </si>
  <si>
    <t>An, JC (corresponding author), Wuhan Univ, Chinese Antarct Ctr Surveying &amp; Mapping, Wuhan 430079, Peoples R China.</t>
  </si>
  <si>
    <t>jianghu@whu.edu.cn; sgjin@nuist.edu.cn; manuel.hernandez@upc.edu; xihui@asch.whigg.ac.cn; jcan@whu.edu.cn; zmwang@whu.edu.cn; xxyyeah@mail.ustc.edu.cn; yhx412@126.com</t>
  </si>
  <si>
    <t>Jin, Shuanggen/B-8094-2008; Hernandez-Pajares, Manuel/O-5338-2017</t>
  </si>
  <si>
    <t>Jin, Shuanggen/0000-0002-5108-4828; Xi, Hui/0000-0002-7466-0007; An, Jiachun/0000-0002-3106-0714; Hernandez-Pajares, Manuel/0000-0002-9687-5850</t>
  </si>
  <si>
    <t>National Natural Science Foundation of China [41776195, 41941010, 41531069]; State Key Laboratory of Geodesy and Earth's Dynamics, Innovation Academy for Precision Measurement Science and Technology, CAS [SKLGED2021-2-3]</t>
  </si>
  <si>
    <t>National Natural Science Foundation of China(National Natural Science Foundation of China (NSFC)); State Key Laboratory of Geodesy and Earth's Dynamics, Innovation Academy for Precision Measurement Science and Technology, CAS</t>
  </si>
  <si>
    <t>This research was funded by the National Natural Science Foundation of China, grant number 41776195, 41941010, 41531069; and the State Key Laboratory of Geodesy and Earth's Dynamics, Innovation Academy for Precision Measurement Science and Technology, CAS, grant number SKLGED2021-2-3.</t>
  </si>
  <si>
    <t>10.3390/rs13132458</t>
  </si>
  <si>
    <t>TG1GP</t>
  </si>
  <si>
    <t>WOS:000671160100001</t>
  </si>
  <si>
    <t>Fogt, RL; Connolly, CJ</t>
  </si>
  <si>
    <t>Fogt, Ryan L.; Connolly, Charlotte J.</t>
  </si>
  <si>
    <t>Extratropical Southern Hemisphere Synchronous Pressure Variability in the Early Twentieth Century</t>
  </si>
  <si>
    <t>Antarctica; Pressure; Climate variability; Surface pressure; Decadal variability; Trends</t>
  </si>
  <si>
    <t>SEA-LEVEL PRESSURE; ANNULAR MODE; CLIMATE SYSTEM; PART I; TRENDS; RECONSTRUCTIONS; CIRCULATION; OSCILLATION; ENSO; SAM</t>
  </si>
  <si>
    <t>Because continuous meteorological observations across Antarctica did not start until the middle of the twentieth century, little is known about the full spatial pattern of pressure variability across the extratropical Southern Hemisphere (SH) in the early twentieth century, defined here as the period from 1905 to 1956. To fill this gap, this study analyzes pressure observations across the SH in conjunction with seasonal pressure reconstructions across Antarctica, which are based on observed station-to-station statistical relationships between pressure over Antarctica and the southern midlatitudes. Using this newly generated dataset, it is found that the early twentieth century is characterized by synchronous but opposite-signed pressure relationships between Antarctica and the SH midlatitudes, especially in austral summer and autumn. The synchronous pressure relationships are consistent with the southern annular mode, extending its well-known influence on SH extratropical pressure since 1957 into the early twentieth century. Apart from connections with the southern annular mode, regional and shorter-duration pressure trends are found to be associated with influences from tropical variability and potentially the zonal wavenumber 3 pattern. Although the reduced network of SH observations and Antarctic reconstruction captures the southern annular mode in the early twentieth century, reanalysis products show varying skill in reproducing trends and variability, especially over the oceans and high southern latitudes prior to 1957, which stresses the importance of continual efforts of historical data rescue in data-sparse regions to improve their quality.</t>
  </si>
  <si>
    <t>[Fogt, Ryan L.; Connolly, Charlotte J.] Ohio Univ, Dept Geog, Athens, OH 45701 USA; [Fogt, Ryan L.; Connolly, Charlotte J.] Ohio Univ, Scalia Lab Atmospher Anal, Athens, OH 45701 USA</t>
  </si>
  <si>
    <t>University System of Ohio; Ohio University; University System of Ohio; Ohio University</t>
  </si>
  <si>
    <t>Fogt, RL (corresponding author), Ohio Univ, Dept Geog, Athens, OH 45701 USA.;Fogt, RL (corresponding author), Ohio Univ, Scalia Lab Atmospher Anal, Athens, OH 45701 USA.</t>
  </si>
  <si>
    <t>fogtr@ohio.edu</t>
  </si>
  <si>
    <t>Fogt, Ryan L/B-6989-2008</t>
  </si>
  <si>
    <t>Fogt, Ryan L/0000-0002-5398-3990</t>
  </si>
  <si>
    <t>National Science Foundation (NSF) [ANT-1744998]</t>
  </si>
  <si>
    <t>National Science Foundation (NSF)(National Science Foundation (NSF))</t>
  </si>
  <si>
    <t>This paper extends the research from the undergraduate honors thesis of author C. Connolly. Authors Fogt and Connolly acknowledge support from the National Science Foundation (NSF), ANT-1744998.</t>
  </si>
  <si>
    <t>10.1175/JCLI-D-20-0498.1</t>
  </si>
  <si>
    <t>TB8OS</t>
  </si>
  <si>
    <t>WOS:000668206100011</t>
  </si>
  <si>
    <t>Fraser, KM; Stuart-Smith, RD; Ling, SD; Edgar, GJ</t>
  </si>
  <si>
    <t>Fraser, Kate M.; Stuart-Smith, Rick D.; Ling, Scott D.; Edgar, Graham J.</t>
  </si>
  <si>
    <t>High biomass and productivity of epifaunal invertebrates living amongst dead coral</t>
  </si>
  <si>
    <t>GREAT-BARRIER-REEF; MOTILE CRYPTOFAUNA; SIZE-STRUCTURE; COMMUNITY STRUCTURE; BENTHIC CRUSTACEA; SPECIES RICHNESS; FISH PREDATION; BODY-SIZE; ASSEMBLAGES; HABITATS</t>
  </si>
  <si>
    <t>Climate change is transforming coral reef structures, with important yet largely unknown consequences for reef food webs. Crustaceans, molluscs, polychaetes, and other small motile invertebrates living as epifauna on coral habitats represent an essential trophic link between primary producers and a diverse and abundant invertivorous fish fauna. Here, we investigate variation in assemblages of motile epifaunal invertebrates on live coral and dead coral heavily overgrown by turf algae. Sampling was conducted 2-3 years following mass bleaching within the study region at four locations broadly spanning the distribution of corals on the eastern seaboard of Australia-along the northern and central Great Barrier Reef, and, adjacent to the central east coast, the Solitary Islands and offshore Elizabeth and Middleton Reefs (&gt; 2000 km total distance). Epifaunal assemblages differed significantly between live and dead 'turf-covered' coral habitats, with overall density, biomass, and productivity of epifauna more than an order of magnitude greater on dead than on live coral. The size structure and composition of assemblages also differed: turf-covered dead coral supported greater abundances of small animals than live coral, notably harpacticoid copepods, while live coral assemblages had proportionally greater abundances of larger decapods. A ten-fold increase in secondary productivity of motile invertebrates is predicted as live corals are replaced by turf-covered dead coral, however, this productivity will predominantly be available as small harpacticoid copepod prey (size range: 0.125-0.25 mm). Associated flow-on effects through reef food webs are likely, as changes to epifauna will directly affect invertivore communities, which in turn potentially influence larger carnivores and other functional groups.</t>
  </si>
  <si>
    <t>[Fraser, Kate M.; Stuart-Smith, Rick D.; Ling, Scott D.; Edgar, Graham J.] Univ Tasmania, Inst Marine &amp; Antarctic Studies, Taroona, Tas 7053, Australia</t>
  </si>
  <si>
    <t>Fraser, KM (corresponding author), Univ Tasmania, Inst Marine &amp; Antarctic Studies, Taroona, Tas 7053, Australia.</t>
  </si>
  <si>
    <t>kate.fraser@utas.edu.au</t>
  </si>
  <si>
    <t>Edgar, Graham/AAY-3797-2020; Stuart-Smith, Rick/I-5214-2019</t>
  </si>
  <si>
    <t>Edgar, Graham/0000-0003-0833-9001; Stuart-Smith, Rick/0000-0002-8874-0083; Fraser, Kate/0000-0002-3057-5257</t>
  </si>
  <si>
    <t>Australian Research Council; Australian Postgraduate Award; Parks Australia; Australian Museum's Lizard Island Research Station</t>
  </si>
  <si>
    <t>Australian Research Council(Australian Research Council); Australian Postgraduate Award(Australian Government); Parks Australia; Australian Museum's Lizard Island Research Station</t>
  </si>
  <si>
    <t>This study was supported by Australian Research Council grants to GJE and SDL, and an Australian Postgraduate Award to KMF. Fieldwork was additionally supported by Parks Australia and the Australian Museum's Lizard Island Research Station. Epifaunal invertebrates were collected under the following marine park-specific permits: the Great Barrier Reef Marine Park-permit G18/40857.1; the Elizabeth and Middleton Reefs Marine National Nature Reserve-permit CMR-18-000547; the Solitary Islands Marine Park-permits P17/0060-1.0 &amp; OUT17/38264.</t>
  </si>
  <si>
    <t>10.1007/s00227-021-03911-1</t>
  </si>
  <si>
    <t>SV0TF</t>
  </si>
  <si>
    <t>WOS:000663539200008</t>
  </si>
  <si>
    <t>Kokubun, N; Emmerson, L; McInnes, J; Wienecke, B; Southwell, C</t>
  </si>
  <si>
    <t>Kokubun, Nobuo; Emmerson, Louise; McInnes, Julie; Wienecke, Barbara; Southwell, Colin</t>
  </si>
  <si>
    <t>Sea-ice and density-dependent factors affecting foraging habitat and behaviour of Adelie penguins throughout the breeding season</t>
  </si>
  <si>
    <t>KRILL EUPHAUSIA-SUPERBA; PYGOSCELIS-ADELIAE; CLIMATE-CHANGE; CHINSTRAP PENGUINS; EAST ANTARCTICA; SOUTHERN-OCEAN; ROSS SEA; BECHERVAISE ISLAND; 1ST-PASSAGE TIME; AD,LIE PENGUINS</t>
  </si>
  <si>
    <t>Seabird foraging activities are constrained by the heterogeneous distribution of prey, intra-specific competition, and the varying energy requirements throughout their life history. Investigations of intra-seasonal variation in foraging habitat will, therefore, provide clues to understand how predators respond to changes in the marine environment. As an abundant, central-place foraging mesopredator, we selected to examine this with Adelie penguins (Pygoscelis adeliae) breeding in the Prydz Bay region where the sea-ice environment is heterogeneous and the largest populations in East Antarctica occur. In the summer of 2011/12, using GPS tracks, we calculated First Passage Time to extract Area Restricted Search (ARS) zones to indicate foraging intensity, and classified the ARS zones by K-means clustering. In total, 47, 64, 23 and 10 ARS zones were detected during early and late incubation, chick-guard and creche stages (n = 4, 11, 6 and 3 birds). Higher and more stable sea-ice concentration and increased distance from the nearest major colony had positive effects on foraging intensity. The ARS zones were classified into nearshore, offshore and open water habitats. Birds used offshore areas and avoided open water during early incubation and creche, when birds returned less frequently. During late incubation and chick-guard, when birds frequently returned, they used nearshore and open water areas as expected from the proportion of available habitats. Our results suggest that the pack ice and reduced intra-specific competition for prey were the preferred foraging condition for Adelie penguins, and highlight the importance of seasonal changes in sea-ice environment to their foraging habitat selectivity.</t>
  </si>
  <si>
    <t>[Kokubun, Nobuo; Emmerson, Louise; McInnes, Julie; Wienecke, Barbara; Southwell, Colin] Australian Antarctic Div, 203 Channel Highway, Kingston, Tas 7050, Australia; [Kokubun, Nobuo] Natl Inst Polar Res, 10-3 Midori Cho, Tokyo 1908518, Japan; [McInnes, Julie] Univ Tasmania, Inst Marine &amp; Antarctic Studies, Private Bag 129, Hobart, Tas 7001, Australia</t>
  </si>
  <si>
    <t>Australian Antarctic Division; Research Organization of Information &amp; Systems (ROIS); National Institute of Polar Research (NIPR) - Japan; University of Tasmania</t>
  </si>
  <si>
    <t>Kokubun, N (corresponding author), Australian Antarctic Div, 203 Channel Highway, Kingston, Tas 7050, Australia.;Kokubun, N (corresponding author), Natl Inst Polar Res, 10-3 Midori Cho, Tokyo 1908518, Japan.</t>
  </si>
  <si>
    <t>kokubun@nipr.ac.jp</t>
  </si>
  <si>
    <t>McInnes, Julie C/C-2865-2014</t>
  </si>
  <si>
    <t>Australian Antarctic Science projects [4087, 4088, 4518]; Japan Society for the Promotion of Science (JSPS)</t>
  </si>
  <si>
    <t>Australian Antarctic Science projects; Japan Society for the Promotion of Science (JSPS)(Ministry of Education, Culture, Sports, Science and Technology, Japan (MEXT)Japan Society for the Promotion of Science)</t>
  </si>
  <si>
    <t>This project was supported by Australian Antarctic Science projects #4087, #4088 and #4518 and the Japan Society for the Promotion of Science (JSPS) fellowship for research abroad to NK. The Australian Antarctic Division provided logistics support for fieldwork in Antarctica.</t>
  </si>
  <si>
    <t>10.1007/s00227-021-03899-8</t>
  </si>
  <si>
    <t>WOS:000663539200016</t>
  </si>
  <si>
    <t>Gonzalez, AR</t>
  </si>
  <si>
    <t>Gonzalez, Alejandro Roman</t>
  </si>
  <si>
    <t>Sclerochronology in the Southern Ocean</t>
  </si>
  <si>
    <t>Antarctic; Sclerochronology; Southern Ocean; Ontogeny; Geochemistry; Growth patterns</t>
  </si>
  <si>
    <t>BIVALVE LATERNULA-ELLIPTICA; LIFE-HISTORY TRAITS; TOOTHFISH DISSOSTICHUS-ELEGINOIDES; LIOTHYRELLA-UVA BRODERIP; LIMPET NACELLA-CONCINNA; COLD-WATER CORALS; DEEP-SEA CORALS; TERRA-NOVA BAY; ANTARCTIC TOOTHFISH; ADAMUSSIUM-COLBECKI</t>
  </si>
  <si>
    <t>This manuscript aims to provide a comprehensive review of the work done by Antarctic sclerochronology research across different taxa (arthropods, bivalves, brachiopods, bryozoans, cephalopods, hard and soft corals, gastropods, echinoderms and teleost fish), provide an analysis of current challenges in the discipline and start a discussion of what sclerochronology can offer for Antarctic research in future. The Southern Ocean ecosystem remains largely unstudied in part for its remoteness, extreme climate and strong seasonality. This lack of knowledge, some of it even on basic biological information, it is especially worrying due to ongoing climate-driven changes that the Southern Ocean ecosystem is experiencing. Lack of long-term in situ instrumental series has also being a detriment to understand long-term feedbacks between the physical environment and the ecosystem. Sclerochronology, the study of periodic accretional patterns in the hard body structures of living organisms, has contributed to a wide range of Antarctic research disciplines (e.g. paleoclimate reconstructions, population structure analysis, environmental proxies). This review highlights a disparity in research focus by taxa with some groups (e.g. bivalves, teleost fish) attracting most of the research attention, whereas other groups (e.g. gastropod) have attracted much little research attention or in some cases it is almost non-existent (e.g. echinoderms). Some of the long-lived species considered in this review have the potential to provide the much-needed high-resolution eco-environmental proxy data and play an important role in blue carbon storage in the Sothern Ocean. Another issue identified was the lack of cross-validation between analytical techniques. [GRAPHICS] .</t>
  </si>
  <si>
    <t>[Gonzalez, Alejandro Roman] Univ Exeter, Ctr Geog &amp; Environm Sci, Penryn Campus, Penryn TR10 9FE, Cornwall, England</t>
  </si>
  <si>
    <t>University of Exeter</t>
  </si>
  <si>
    <t>Gonzalez, AR (corresponding author), Univ Exeter, Ctr Geog &amp; Environm Sci, Penryn Campus, Penryn TR10 9FE, Cornwall, England.</t>
  </si>
  <si>
    <t>a.roman-gonzalez@exeter.ac.uk</t>
  </si>
  <si>
    <t>Roman Gonzalez, Alejandro/0000-0002-0801-3768</t>
  </si>
  <si>
    <t>UK-Chile (NERC-CONICYT) collaborative project: Impacts of deglaciation benthic marine ecosystem in Antarctica (ICEBERGS) [NE/P003087/1]; NERC [NE/P003087/1] Funding Source: UKRI</t>
  </si>
  <si>
    <t>UK-Chile (NERC-CONICYT) collaborative project: Impacts of deglaciation benthic marine ecosystem in Antarctica (ICEBERGS); NERC(UK Research &amp; Innovation (UKRI)Natural Environment Research Council (NERC))</t>
  </si>
  <si>
    <t>This manuscripts was possible thanks to the funding provided by the UK-Chile (NERC-CONICYT) collaborative project: Impacts of deglaciation benthic marine ecosystem in Antarctica (ICEBERGS; NE/P003087/1).</t>
  </si>
  <si>
    <t>10.1007/s00300-021-02899-0</t>
  </si>
  <si>
    <t>WOS:000668879000001</t>
  </si>
  <si>
    <t>Lee, H; Chung, H; Ahn, KH</t>
  </si>
  <si>
    <t>Lee, Handol; Chung, Hyeok; Ahn, Kang-Ho</t>
  </si>
  <si>
    <t>Application of an aerosol electrical mobility spectrum analyzer: Charged-particle polarity ratio measurement in the Antarctic and Arctic regions</t>
  </si>
  <si>
    <t>JOURNAL OF ENVIRONMENTAL SCIENCES</t>
  </si>
  <si>
    <t>Aerosol electrical mobility spectrum analyzer; Antarctic; Arctic; Charged-particle polarity ratio</t>
  </si>
  <si>
    <t>AIR; CIRCUIT; CLOUDS; STATE; ICE</t>
  </si>
  <si>
    <t>An aerosol electrical mobility spectrum analyzer (AEMSA), developed at Hanyang University, was employed to investigate the particle charge characteristics in the Antarctic and Arctic regions. The particle charge characteristics in these areas were compared with the charging state in Ansan, South Korea, located in the midlatitude, where artificial factors, such as human activity, urbanization, and traffic, might result in a higher total concentration. Furthermore, in Ansan, South Korea, the charged-particle polarity ratio was very stable and was close to 1. However, notably different particle charge characteristics were obtained in the Antarctic and Arctic regions. The imbalance between the numbers of positively and negatively charged particles was evident, resulting in more positive charges on the atmospheric particles. On average, the positively charged particle concentrations in the Antarctic and Arctic areas were 1.4 and 2.8 times higher, respectively, compared with the negatively charged particles. The developed AEMSA system and the findings of this study provide useful information on the characteristics of atmospheric aerosols in the Antarctic and Arctic regions and can be further utilized to study particle formation mechanisms. (C) 2021 The Research Center for Eco-Environmental Sciences, Chinese Academy of Sciences. Published by Elsevier B.V.</t>
  </si>
  <si>
    <t>[Lee, Handol] Inha Univ, Dept Environm Engn, 100 Inha Ro, Incheon 22212, South Korea; [Chung, Hyeok] Aerosol Res &amp; Technol Plus ART, 195-62 Daepyeong Ro, Icheon 17343, Gyunggi Do, South Korea; [Ahn, Kang-Ho] Hanyang Univ, Dept Mech Engn, ERICA, 55 Hanyangdaehak Ro, Ansan 15588, South Korea</t>
  </si>
  <si>
    <t>Inha University; Hanyang University</t>
  </si>
  <si>
    <t>Ahn, KH (corresponding author), Hanyang Univ, Dept Mech Engn, ERICA, 55 Hanyangdaehak Ro, Ansan 15588, South Korea.</t>
  </si>
  <si>
    <t>khahn@hanyang.ac.kr</t>
  </si>
  <si>
    <t>Hanyang University [HY-2019-P]</t>
  </si>
  <si>
    <t>Hanyang University</t>
  </si>
  <si>
    <t>This work was supported by the research fund of Hanyang University (HY-2019-P).</t>
  </si>
  <si>
    <t>1001-0742</t>
  </si>
  <si>
    <t>1878-7320</t>
  </si>
  <si>
    <t>J ENVIRON SCI</t>
  </si>
  <si>
    <t>J. Environ. Sci.</t>
  </si>
  <si>
    <t>10.1016/j.jes.2020.12.028</t>
  </si>
  <si>
    <t>ST1KZ</t>
  </si>
  <si>
    <t>WOS:000662210500009</t>
  </si>
  <si>
    <t>Zhai, CZ; Yao, YB; Kong, J</t>
  </si>
  <si>
    <t>Zhai, Changzhi; Yao, Yibin; Kong, Jian</t>
  </si>
  <si>
    <t>Three-dimensional reconstruction of seismo-traveling ionospheric disturbances after March 11, 2011, Japan Tohoku earthquake</t>
  </si>
  <si>
    <t>Earthquake; Seismic waves; GPS; 3DCIT; Ionosphere</t>
  </si>
  <si>
    <t>ELECTRON-CONTENT OBSERVATION; PACIFIC COAST; GRAVITY-WAVES; OKI TSUNAMI; PROPAGATION</t>
  </si>
  <si>
    <t>The electron density structures of the seismo-traveling ionospheric disturbances (STIDs) during the Tohoku earthquake are reconstructed by applying the three-dimensional computerized ionospheric tomography (3DCIT) technique with a 30-s time resolution for the first time. The vertical distribution of 3DCIT results is consistent with the constellation observing system for meteorology, ionosphere and climate (COSMIC) observations. The horizontal speeds of STIDs at different altitudes are estimated, and the three types of STIDs related to Rayleigh waves, acoustic waves and gravity waves are identified by their propagation characters. The magnitude of STIDs related to Rayleigh waves decreased with altitude, and there was no significant difference between the speeds (similar to 2500 m/s) at different altitudes. The STIDs caused by acoustic waves traveled faster at 300 km altitude (similar to 666-724 m/s) than at 150 km altitude (similar to 500-550 m/s). From 150 to 250 km altitudes, in the STIDs induced by gravity waves, the magnitude of positive and negative wave fronts showed the opposite trend. The speed at 300 km altitude (similar to 332 m/s) was slightly larger than at 150 km altitude (similar to 310 m/s). The Rayleigh waves related STIDs showed a conic-like geometry, whereas the acoustic waves and gravity waves induced STIDs showed inverted conic-like geometries. The possible propagation mechanisms of different types of STIDs are also discussed.</t>
  </si>
  <si>
    <t>[Zhai, Changzhi; Yao, Yibin] Wuhan Univ, Sch Geodesy &amp; Geomat, Wuhan 430079, Peoples R China; [Kong, Jian] Wuhan Univ, Chinese Antarctic Ctr Surveying &amp; Mapping, Wuhan 430079, Peoples R China</t>
  </si>
  <si>
    <t>Kong, J (corresponding author), Wuhan Univ, Chinese Antarctic Ctr Surveying &amp; Mapping, Wuhan 430079, Peoples R China.</t>
  </si>
  <si>
    <t>jkong@whu.edu.cn</t>
  </si>
  <si>
    <t>Zhai, Changzhi/JQW-2878-2023; Yao, Yibin/B-1395-2013</t>
  </si>
  <si>
    <t>10.1007/s00190-021-01533-5</t>
  </si>
  <si>
    <t>SX1YJ</t>
  </si>
  <si>
    <t>WOS:000665007400001</t>
  </si>
  <si>
    <t>Ely, JC; Clark, CD; Hindmarsh, RCA; Hughes, ALC; Greenwood, SL; Bradley, SL; Gasson, E; Gregoire, L; Gandy, N; Stokes, CR; Small, D</t>
  </si>
  <si>
    <t>Ely, Jeremy C.; Clark, Chris D.; Hindmarsh, Richard C. A.; Hughes, Anna L. C.; Greenwood, Sarah L.; Bradley, Sarah L.; Gasson, Edward; Gregoire, Lauren; Gandy, Niall; Stokes, Chris R.; Small, David</t>
  </si>
  <si>
    <t>Recent progress on combining geomorphological and geochronological data with ice sheet modelling, demonstrated using the last British-Irish Ice Sheet</t>
  </si>
  <si>
    <t>RELATIVE SEA-LEVEL; RADIOCARBON CONSTRAINTS; NUMERICAL SIMULATIONS; GLACIAL ISOSTASY; AGE CONSTRAINTS; WEST ANTARCTICA; PISM-PIK; DEGLACIATION; FLOW; RECONSTRUCTION</t>
  </si>
  <si>
    <t>Palaeo-ice sheets are important analogues for understanding contemporary ice sheets, offering a record of ice sheet behaviour that spans millennia. There are two main approaches to reconstructing palaeo-ice sheets. Empirical reconstructions use the available glacial geological and chronological evidence to estimate ice sheet extent and dynamics but lack direct consideration of ice physics. In contrast, numerically modelled simulations implement ice physics, but often lack direct quantitative comparison with empirical evidence. Despite being long identified as a fruitful scientific endeavour, few ice sheet reconstructions attempt to reconcile the empirical and model-based approaches. To achieve this goal, model-data comparison procedures are required. Here, we compare three numerically modelled simulations of the former British-Irish Ice Sheet with the following lines of evidence: (a) position and shape of former margin positions, recorded by moraines; (b) former ice-flow direction and flow-switching, recorded by flowsets of subglacial bedforms; and (c) the timing of ice-free conditions, recorded by geochronological data. These model-data comparisons provide a useful framework for quantifying the degree of fit between numerical model simulations and empirical constraints. Such tools are vital for reconciling numerical modelling and empirical evidence, the combination of which will lead to more robust palaeo-ice sheet reconstructions with greater explicative and ultimately predictive power.</t>
  </si>
  <si>
    <t>[Ely, Jeremy C.; Clark, Chris D.] Univ Sheffield, Dept Geog, Sheffield S10 2TN, S Yorkshire, England; [Hindmarsh, Richard C. A.] British Antarctic Survey, Madingley Rd, Cambridge CB3 0ET, England; [Hughes, Anna L. C.] Univ Bergen, Dept Earth Sci, Bergen, Norway; [Hughes, Anna L. C.] Univ Bergen, Bjerknes Ctr Climate Res, Bergen, Norway; [Greenwood, Sarah L.] Stockholm Univ, Dept Geol Sci, Stockholm, Sweden; [Bradley, Sarah L.] Delft Univ Technol, Dept Geosci &amp; Remote Sensing, Stevinweg 1, NL-2628 CN Delft, Netherlands; [Gasson, Edward] Univ Bristol, Sch Geog Sci, Univ Rd, Bristol BS8 1SS, Avon, England; [Gregoire, Lauren; Gandy, Niall] Univ Leeds, Sch Earth &amp; Environm, Woodhouse Lane, Leeds LS2 9JT, W Yorkshire, England; [Stokes, Chris R.; Small, David] Univ Durham, Dept Geog, South Rd, Durham DH1 3LE, England</t>
  </si>
  <si>
    <t>University of Sheffield; UK Research &amp; Innovation (UKRI); Natural Environment Research Council (NERC); NERC British Antarctic Survey; University of Bergen; University of Bergen; Bjerknes Centre for Climate Research; Stockholm University; Delft University of Technology; University of Bristol; University of Leeds; Durham University</t>
  </si>
  <si>
    <t>Ely, JC (corresponding author), Univ Sheffield, Dept Geog, Sheffield S10 2TN, S Yorkshire, England.</t>
  </si>
  <si>
    <t>Clark, Chris D/C-3830-2009; Hindmarsh, Richard C A/C-1405-2012; Hindmarsh, Richard/N-1195-2019; Stokes, Chris R/A-1957-2011; Hughes, Anna L. C./J-5628-2015</t>
  </si>
  <si>
    <t>Hindmarsh, Richard/0000-0003-1633-2416; Hughes, Anna L. C./0000-0001-8584-5202</t>
  </si>
  <si>
    <t>NERC [NE/R014574/1, NE/J008095/1] Funding Source: UKRI</t>
  </si>
  <si>
    <t>10.1002/jqs.3098</t>
  </si>
  <si>
    <t>SW5MD</t>
  </si>
  <si>
    <t>WOS:000664558400010</t>
  </si>
  <si>
    <t>Lee, HJ; Jin, EK</t>
  </si>
  <si>
    <t>Lee, Hyun-Ju; Jin, Emilia-Kyung</t>
  </si>
  <si>
    <t>Seasonality and Dynamics of Atmospheric Teleconnection from the Tropical Indian Ocean and the Western Pacific to West Antarctica</t>
  </si>
  <si>
    <t>tropical-Antarctic teleconnection; barotropic Rossby wave theory; Indian Ocean and Western Pacific forcing; climate of West Antarctica</t>
  </si>
  <si>
    <t>ROSSBY-WAVE PROPAGATION; SEA-ICE; SOUTHERN-OCEAN; CLIMATE; CIRCULATION; OSCILLATION; VARIABILITY; CONVECTION; EXPANSION; LATITUDE</t>
  </si>
  <si>
    <t>The global impact of the tropical Indian Ocean and the Western Pacific (IOWP) is expected to increase in the future because this area has been continuously warming due to global warming; however, the impact of the IOWP forcing on West Antarctica has not been clearly revealed. Recently, ice loss in West Antarctica has been accelerated due to the basal melting of ice shelves. This study examines the characteristics and formation mechanisms of the teleconnection between the IOWP and West Antarctica for each season using the Rossby wave theory. To explicitly understand the role of the background flow in the teleconnection process, we conduct linear baroclinic model (LBM) simulations in which the background flow is initialized differently depending on the season. During JJA/SON, the barotropic Rossby wave generated by the IOWP forcing propagates into the Southern Hemisphere through the climatological northerly wind and arrives in West Antarctica; meanwhile, during DJF/MAM, the wave can hardly penetrate the tropical region. This indicates that during the Austral winter and spring, the IOWP forcing and IOWP-region variabilities such as the Indian Ocean Dipole (IOD) and Indian Ocean Basin (IOB) modes should paid more attention to in order to investigate the ice change in West Antarctica.</t>
  </si>
  <si>
    <t>[Lee, Hyun-Ju; Jin, Emilia-Kyung] Korea Polar Res Inst, Div Glacial Environm Res, 26 Songdomirae Ro, Incheon 21900, South Korea</t>
  </si>
  <si>
    <t>Jin, EK (corresponding author), Korea Polar Res Inst, Div Glacial Environm Res, 26 Songdomirae Ro, Incheon 21900, South Korea.</t>
  </si>
  <si>
    <t>hjlee84@kopri.re.kr; jin@kopri.re.kr</t>
  </si>
  <si>
    <t>Jin, Emilia/0000-0002-5257-3340; Lee, Hyun-Ju/0000-0003-1667-8388</t>
  </si>
  <si>
    <t>Korean Ministry of Oceans and Fisheries [KIMST20190361, PM21020]</t>
  </si>
  <si>
    <t>Korean Ministry of Oceans and Fisheries</t>
  </si>
  <si>
    <t>This work was sponsored by a research grant from the Korean Ministry of Oceans and Fisheries (KIMST20190361; PM21020).</t>
  </si>
  <si>
    <t>10.3390/atmos12070849</t>
  </si>
  <si>
    <t>TN0RA</t>
  </si>
  <si>
    <t>WOS:000675950700001</t>
  </si>
  <si>
    <t>L'Ecuyer, TS; Drouin, BJ; Anheuser, J; Grames, M; Henderson, DS; Huang, XL; Kahn, BH; Kay, JE; Lim, BH; Mateling, M; Merrelli, A; Miller, NB; Padmanabhan, S; Peterson, C; Schlegel, NJ; White, ML; Xie, Y</t>
  </si>
  <si>
    <t>L'Ecuyer, Tristan S.; Drouin, Brian J.; Anheuser, James; Grames, Meredith; Henderson, David S.; Huang, Xianglei; Kahn, Brian H.; Kay, Jennifer E.; Lim, Boon H.; Mateling, Marian; Merrelli, Aronne; Miller, Nathaniel B.; Padmanabhan, Sharmila; Peterson, Colten; Schlegel, Nicole-Jeanne; White, Mary L.; Xie, Yan</t>
  </si>
  <si>
    <t>The Polar Radiant Energy in the Far Infrared Experiment: A New Perspective on Polar Longwave Energy Exchanges</t>
  </si>
  <si>
    <t>Antarctica; Arctic; Climate change; Energy budget; balance; Radiation budgets; Satellite observations</t>
  </si>
  <si>
    <t>STRATOSPHERIC WATER-VAPOR; CIRRUS CLOUDS; RADIATIVE PROPERTIES; INFORMATION-CONTENT; ANTARCTIC ICE; CLEAR-SKY; EMISSIVITY; CLIMATE; TEMPERATURE; FEEDBACK</t>
  </si>
  <si>
    <t>Earth's climate is strongly influenced by energy deficits at the poles that emit more thermal energy than they receive from the sun. Energy exchanges between the surface and atmosphere influence the local environment while heat transport from lower latitudes drives midlatitude atmospheric and oceanic circulations. In the Arctic, in particular, local energy imbalances induce strong seasonality in surface-atmosphere heat exchanges and an acute sensitivity to forced climate variations. Despite these important local and global influences, the largest contributions to the polar atmospheric and surface energy budgets have not been fully characterized. The spectral variation of far-infrared radiation that makes up 60% of polar thermal emission has never been systematically measured impeding progress toward consensus in predicted rates of Arctic warming, sea ice decline, and ice sheet melt. Enabled by recent advances in sensor miniaturization and CubeSat technology, the Polar Radiant Energy in the Far Infrared Experiment (PREFIRE) mission will document, for the first time, the spectral, spatial, and temporal variations of polar far-infrared emission. Selected under NASA's Earth Ventures Instrument (EVI) program, PREFIRE will utilize new lightweight, low-power, ambient temperature detectors capable of measuring at wavelengths up to 50 mu m to quantify Earth's far-infrared spectrum. Estimates of spectral surface emissivity, water vapor, cloud properties, and the atmospheric greenhouse effect derived from these measurements offer the potential to advance our understanding of the factors that modulate thermal fluxes in the cold, dry conditions characteristic of the polar regions.</t>
  </si>
  <si>
    <t>[L'Ecuyer, Tristan S.; Anheuser, James; Grames, Meredith; Mateling, Marian] Univ Wisconsin, Madison, WI 53706 USA; [L'Ecuyer, Tristan S.] Cooperat Inst Meteorol Satellite Studies, Madison, WI 53706 USA; [Drouin, Brian J.; Kahn, Brian H.; Lim, Boon H.; Padmanabhan, Sharmila; Schlegel, Nicole-Jeanne; White, Mary L.] CALTECH, Jet Prop Lab, Pasadena, CA USA; [Henderson, David S.; Merrelli, Aronne; Miller, Nathaniel B.] Space Sci &amp; Engn Ctr, Madison, WI USA; [Huang, Xianglei; Peterson, Colten; Xie, Yan] Univ Michigan, Ann Arbor, MI 48109 USA; [Kay, Jennifer E.] Univ Colorado, Boulder, CO 80309 USA</t>
  </si>
  <si>
    <t>University of Wisconsin System; University of Wisconsin Madison; California Institute of Technology; National Aeronautics &amp; Space Administration (NASA); NASA Jet Propulsion Laboratory (JPL); University of Michigan System; University of Michigan; University of Colorado System; University of Colorado Boulder</t>
  </si>
  <si>
    <t>L'Ecuyer, TS (corresponding author), Univ Wisconsin, Madison, WI 53706 USA.;L'Ecuyer, TS (corresponding author), Cooperat Inst Meteorol Satellite Studies, Madison, WI 53706 USA.</t>
  </si>
  <si>
    <t>tristan@aos.wisc.edu</t>
  </si>
  <si>
    <t>L'Ecuyer, Tristan S/E-5607-2012; Kay, Jennifer Elizabeth/C-6042-2012; Huang, Xianglei/E-6273-2018; Anheuser, James/AHB-9832-2022; Huang, Xianglei/G-6127-2011</t>
  </si>
  <si>
    <t>L'Ecuyer, Tristan S/0000-0002-7584-4836; Henderson, David/0000-0002-3062-2471; Xie, Yan/0000-0002-5475-3126; Schlegel, Nicole-Jeanne/0000-0001-8035-448X; Anheuser, James/0000-0002-9724-0259; Huang, Xianglei/0000-0002-7129-614X</t>
  </si>
  <si>
    <t>NASA under the Earth Ventures-Instrument (EV-I) program's Polar Radiant Energy in the Far-Infrared Experiment (PREFIRE) mission; NASA PREFIRE Grant [80NSSC18K1485]</t>
  </si>
  <si>
    <t>NASA under the Earth Ventures-Instrument (EV-I) program's Polar Radiant Energy in the Far-Infrared Experiment (PREFIRE) mission; NASA PREFIRE Grant</t>
  </si>
  <si>
    <t>This work was supported by NASA under the Earth Ventures-Instrument (EV-I) program's Polar Radiant Energy in the Far-Infrared Experiment (PREFIRE) mission. Components of the work performed at the University of Wisconsin-Madison, University of Colorado Boulder, and University of Michigan were supported under the associated NASA PREFIRE Grant 80NSSC18K1485. Part of this research was carried out at the Jet Propulsion Laboratory (JPL), California Institute of Technology, under a contract with the National Aeronautics and Space Administration. We thank Helen Brindley, Jonathan Murray, and the TAFTS team for providing airborne observations of FIR spectra over Greenland.</t>
  </si>
  <si>
    <t>E1431</t>
  </si>
  <si>
    <t>E1449</t>
  </si>
  <si>
    <t>10.1175/BAMS-D-20-0155.1</t>
  </si>
  <si>
    <t>TY6MR</t>
  </si>
  <si>
    <t>WOS:000683897000012</t>
  </si>
  <si>
    <t>Koppel, DJ; Bishop, J; Kopalova, K; Price, GAV; Brown, KE; Adams, MS; King, CK; Jolley, DF</t>
  </si>
  <si>
    <t>Koppel, Darren J.; Bishop, Jordan; Kopalova, Katerina; Price, Gwilym A. V.; Brown, Kathryn E.; Adams, Merrin S.; King, Catherine K.; Jolley, Dianne F.</t>
  </si>
  <si>
    <t>Metal lability and environmental risk in anthropogenically disturbed Antarctic melt streams</t>
  </si>
  <si>
    <t>ENVIRONMENTAL POLLUTION</t>
  </si>
  <si>
    <t>Pollution; Bioavailability; Copper; Zinc; Diatom; Freshwater</t>
  </si>
  <si>
    <t>PETROLEUM HYDROCARBON CONTAMINATION; BENTHIC DIATOM COMMUNITIES; KING-GEORGE-ISLAND; DIFFUSIVE GRADIENTS; THIN-FILMS; ORGANIC-MATTER; TRACE-METALS; FRESH-WATER; POTTER COVE; TOXICITY</t>
  </si>
  <si>
    <t>Antarctic melt streams are important ecosystems that increasingly face contaminant pressures from anthropogenic sources. Metal contaminants are often reported in the limno-terrestrial environment but their speciation is not well characterised, making environmental risk assessments difficult. This paper characterises labile metal concentrations in five melt streams and three shallow lakes around the Casey and Wilkes research stations in East Antarctica using chemical extracts and field deployments of diffusive gradients in thin-film (DGT) samplers. An acute toxicity test with field-collected Ceratadon purpeus and taxonomic identification of diatoms in melt streams were used to infer environmental risk. Copper and zinc were the most labile metals in the melt streams. DGT-labile copper concentrations were up to 3 mu g Cu L-1 in melt-stream waters but not labile below the sediment water interface. DGT-labile zinc concentrations were consistent above and below the sediment-water interface at concentrations up to 14 mu g Zn L-1 in four streams, but one stream showed evidence of zinc mineralisation in the sediment with a flux to overlying and pore waters attributed to the reductive dissolution of iron and manganese oxides. Other metals, such as chromium, nickel, and lead were acid-extractable from the sediments, but not labile in pore waters or overlying waters. All streams had unique compositions of freshwater diatoms, but one had particularly reduced diversity and richness, which correlated to metal contamination and sediment physicochemical properties such as a finer particle size. In laboratory bioassays with field-collected samples of the Antarctic moss C. purpeus, there was no change in photosynthetic efficiency following 28-d exposure to 700, 900, 1060, or 530 mu g L-1 of cadmium, copper, nickel, and zinc, respectively. This study shows that microorganisms such as diatoms may be at greater risk from contaminants than mosses, and highlights the importance of geochemical factors controlling metal lability.</t>
  </si>
  <si>
    <t>[Koppel, Darren J.; Price, Gwilym A. V.] Univ Technol Sydney, Fac Sci, Sydney, NSW, Australia; [Koppel, Darren J.] Curtin Univ, Fac Sci &amp; Engn, Perth, WA, Australia; [Koppel, Darren J.; Price, Gwilym A. V.; Adams, Merrin S.; Jolley, Dianne F.] CSIRO Land &amp; Water, Lucas Heights, NSW, Australia; [Bishop, Jordan; Kopalova, Katerina] Charles Univ Prague, Fac Sci, Dept Ecol, Prague, Czech Republic; [Brown, Kathryn E.; King, Catherine K.] Australian Antarct Div, Kingston, Tas, Australia</t>
  </si>
  <si>
    <t>University of Technology Sydney; Curtin University; Commonwealth Scientific &amp; Industrial Research Organisation (CSIRO); Charles University Prague; Australian Antarctic Division</t>
  </si>
  <si>
    <t>Koppel, DJ (corresponding author), Univ Technol Sydney, Fac Sci, Sydney, NSW, Australia.</t>
  </si>
  <si>
    <t>Brown, Kathryn/AAE-9933-2021; Koppel, Darren J/AAY-6884-2020; Adams, Merrin S/F-3513-2011; Kopalová, Kateřina/M-6207-2017; Bishop, Jordan/Q-3298-2017; Jolley, Dianne/D-1597-2009; King, Catherine/G-7059-2017</t>
  </si>
  <si>
    <t>Koppel, Darren J/0000-0001-7534-237X; Bishop, Jordan/0000-0003-2006-9462; Brown, Kathryn/0000-0002-9093-8742; Price, Gwilym/0000-0003-3261-1298; Jolley, Dianne/0000-0003-1028-1603; King, Catherine/0000-0003-3356-0381</t>
  </si>
  <si>
    <t>Australian Antarctic Science [AAS4326, AAS 4100]; Antarctic Science International Ltd.; Australian Government Postgraduate Research Training Award; Charles University Research Centre [204069]; Mobility fund; Charles University Student Grant (GAUK) Project [1460218]</t>
  </si>
  <si>
    <t>Australian Antarctic Science; Antarctic Science International Ltd.; Australian Government Postgraduate Research Training Award; Charles University Research Centre; Mobility fund; Charles University Student Grant (GAUK) Project</t>
  </si>
  <si>
    <t>We thank Prof Sharon Robinson, Dr Melinda Waterman, and Dr Diana King (University of Wollongong) for advice on conducting moss bioassays, loan of their Dive PAM, and information regarding the species composition of moss around Casey Station; Dr Aleicia Holland (La Trobe University) for analysis of dissolved organic carbon in the lake-water samples; and, Dr William Bennett (Griffith University) for assistance with the synthesis of DGT samplers. This project was funded by an Australian Antarctic Science grant (AAS4326, CI Jolley) , an Antarctic Science International Ltd. bursary awarded to DJK, and an Australian Government Postgraduate Research Training Award to DJK. KK was supported by the Charles University Research Centre [grant no. 204069] and Mobility fund. JB was supported by Charles University Student Grant (GAUK) Project 1460218 and also benefitted from the Charles University STARS program. Support was provided by the Australian Antarctic Science AAS 4100 program. The authors are indebted to the support of the Kingston and Casey Station Antarctic teams that enabled Antarctic fieldwork.</t>
  </si>
  <si>
    <t>0269-7491</t>
  </si>
  <si>
    <t>1873-6424</t>
  </si>
  <si>
    <t>ENVIRON POLLUT</t>
  </si>
  <si>
    <t>Environ. Pollut.</t>
  </si>
  <si>
    <t>10.1016/j.envpol.2021.117627</t>
  </si>
  <si>
    <t>UM6SN</t>
  </si>
  <si>
    <t>WOS:000693460500010</t>
  </si>
  <si>
    <t>Sonnewald, M; Lguensat, R; Jones, DC; Dueben, PD; Brajard, J; Balaji,</t>
  </si>
  <si>
    <t>Sonnewald, Maike; Lguensat, Redouane; Jones, Daniel C.; Dueben, Peter D.; Brajard, Julien; Balaji, V</t>
  </si>
  <si>
    <t>Bridging observations, theory and numerical simulation of the ocean using machine learning</t>
  </si>
  <si>
    <t>ocean science; physical oceanography; observations; theory; modelling; supervised machine learning; unsupervised machine learning</t>
  </si>
  <si>
    <t>ARTIFICIAL NEURAL-NETWORKS; SEASONAL FORECAST SKILL; DATA ASSIMILATION; GLOBAL OCEAN; CLIMATE-CHANGE; GENERAL-CIRCULATION; PREDICTION MODELS; ARGO TEMPERATURE; BLACK-BOX; WEATHER</t>
  </si>
  <si>
    <t>Progress within physical oceanography has been concurrent with the increasing sophistication of tools available for its study. The incorporation of machine learning (ML) techniques offers exciting possibilities for advancing the capacity and speed of established methods and for making substantial and serendipitous discoveries. Beyond vast amounts of complex data ubiquitous in many modern scientific fields, the study of the ocean poses a combination of unique challenges that ML can help address. The observational data available is largely spatially sparse, limited to the surface, and with few time series spanning more than a handful of decades. Important timescales span seconds to millennia, with strong scale interactions and numerical modelling efforts complicated by details such as coastlines. This review covers the current scientific insight offered by applying ML and points to where there is imminent potential. We cover the main three branches of the field: observations, theory, and numerical modelling. Highlighting both challenges and opportunities, we discuss both the historical context and salient ML tools. We focus on the use of ML in situ sampling and satellite observations, and the extent to which ML applications can advance theoretical oceanographic exploration, as well as aid numerical simulations. Applications that are also covered include model error and bias correction and current and potential use within data assimilation. While not without risk, there is great interest in the potential benefits of oceanographic ML applications; this review caters to this interest within the research community.</t>
  </si>
  <si>
    <t>[Sonnewald, Maike; Balaji, V] Princeton Univ, Program Atmospher &amp; Ocean Sci, 300 Forrestal Rd, Princeton, NJ 08540 USA; [Sonnewald, Maike; Balaji, V] NOAA, OAR Geophys Fluid Dynam Lab, Ocean &amp; Cryosphere Div, Princeton, NJ 08540 USA; [Sonnewald, Maike] Univ Washington, Sch Oceanog, Seattle, WA 98195 USA; [Lguensat, Redouane; Balaji, V] CEA Saclay, Lab Sci Climat &amp; EnvironM LSCE IPSL, Gif Sur Yvette, France; [Lguensat, Redouane; Brajard, Julien] Sorbonne Univ, LOCEAN IPSL, Paris, France; [Jones, Daniel C.] British Antarctic Survey, NERC, UKRI, Cambridge, England; [Dueben, Peter D.] European Ctr Medium Range Weather Forecasts, Reading, Berks, England; [Brajard, Julien] Nansen Ctr NERSC, Bergen, Norway</t>
  </si>
  <si>
    <t>Princeton University; National Oceanic Atmospheric Admin (NOAA) - USA; National Oceanic Atmospheric Admin (NOAA) - USA; University of Washington; University of Washington Seattle; Universite Paris Saclay; CEA; Centre National de la Recherche Scientifique (CNRS); Museum National d'Histoire Naturelle (MNHN); Sorbonne Universite; UK Research &amp; Innovation (UKRI); Natural Environment Research Council (NERC); NERC British Antarctic Survey; European Centre for Medium-Range Weather Forecasts (ECMWF); Nansen Environmental &amp; Remote Sensing Center (NERSC)</t>
  </si>
  <si>
    <t>Sonnewald, M (corresponding author), Princeton Univ, Program Atmospher &amp; Ocean Sci, 300 Forrestal Rd, Princeton, NJ 08540 USA.;Sonnewald, M (corresponding author), NOAA, OAR Geophys Fluid Dynam Lab, Ocean &amp; Cryosphere Div, Princeton, NJ 08540 USA.;Sonnewald, M (corresponding author), Univ Washington, Sch Oceanog, Seattle, WA 98195 USA.</t>
  </si>
  <si>
    <t>maikes@princeton.edu</t>
  </si>
  <si>
    <t>Lguensat, Redouane/HIU-0421-2022; Lguensat, Redouane/U-7374-2019; Brajard, Julien/ABB-7520-2020</t>
  </si>
  <si>
    <t>Lguensat, Redouane/0000-0003-0226-9057; Lguensat, Redouane/0000-0003-0226-9057; Brajard, Julien/0000-0003-0634-1482; Sonnewald, Maike/0000-0002-5136-9604; Dueben, Peter/0000-0002-4610-3326</t>
  </si>
  <si>
    <t>Cooperative Institute for Modeling the Earth System, Princeton University from the National Oceanic and Atmospheric Administration, U.S. Department of Commerce [NA18OAR4320123]; French Government's Make Our Planet Great Again program; Agence National de Recherche under the `Investissements d'avenir' Award [ANR-17-MPGA-0010]; UKRI Future Leaders Fellowship [MR/T020822/1]; Royal Society for his University Research Fellowship; ESiWACE; MAELSTROM; European High-Performance Computing Joint Undertaking (JU) [823988, 955513, 101016798, 955 513]; European Union's Horizon 2020 research and innovation programme and United Kingdom, Germany, Italy, Luxembourg, Switzerland, Norway; SFE of the Norwegian Research Council; Agence Nationale de la Recherche (ANR) [ANR-17-MPGA-0010] Funding Source: Agence Nationale de la Recherche (ANR); FLF [MR/T020822/1] Funding Source: UKRI</t>
  </si>
  <si>
    <t>Cooperative Institute for Modeling the Earth System, Princeton University from the National Oceanic and Atmospheric Administration, U.S. Department of Commerce; French Government's Make Our Planet Great Again program; Agence National de Recherche under the `Investissements d'avenir' Award(Agence Nationale de la Recherche (ANR)); UKRI Future Leaders Fellowship(UK Research &amp; Innovation (UKRI)); Royal Society for his University Research Fellowship; ESiWACE; MAELSTROM; European High-Performance Computing Joint Undertaking (JU); European Union's Horizon 2020 research and innovation programme and United Kingdom, Germany, Italy, Luxembourg, Switzerland, Norway; SFE of the Norwegian Research Council(Research Council of Norway); Agence Nationale de la Recherche (ANR)(Agence Nationale de la Recherche (ANR)); FLF</t>
  </si>
  <si>
    <t>M S and V B acknowledge funding from the Cooperative Institute for Modeling the Earth System, Princeton University, under Award NA18OAR4320123 from the National Oceanic and Atmospheric Administration, U.S. Department of Commerce. R L and V B acknowledge funding from the French Government's Make Our Planet Great Again program managed by the Agence National de Recherche under the `Investissements d'avenir' Award ANR-17-MPGA-0010. D J acknowledges funding from a UKRI Future Leaders Fellowship (Reference MR/T020822/1). P D gratefully acknowledges funding from the Royal Society for his University Research Fellowship as well as the ESiWACE, MAELSTROM and AI4Copernicus under Horizon 2020 and the European High-Performance Computing Joint Undertaking (JU; Grant Agreement Nos. 823988, 955513 and 101016798). The JU received funding from the European High-Performance Computing Joint Undertaking (JU) under Grant Agreement No. 955 513. The JU receives support from the European Union's Horizon 2020 research and innovation programme and United Kingdom, Germany, Italy, Luxembourg, Switzerland, Norway. J B acknowledges funding from the Project SFE (#2700733) of the Norwegian Research Council. Many thanks to Laurent Bertino (NERSC) for the insightful discussion about data assimilation. The authors also wish to thank Youngrak Cho for invaluable help with figures 1 and 3.</t>
  </si>
  <si>
    <t>10.1088/1748-9326/ac0eb0</t>
  </si>
  <si>
    <t>TM5SD</t>
  </si>
  <si>
    <t>Green Accepted, Green Published, Green Submitted, gold</t>
  </si>
  <si>
    <t>WOS:000675610600001</t>
  </si>
  <si>
    <t>Xiao, C; Li, F; Yan, JG; Gregoire, M; Hao, WF; Harada, Y; Ye, M; Barriot, JP</t>
  </si>
  <si>
    <t>Xiao, Chi; Li, Fei; Yan, Jianguo; Gregoire, Michel; Hao, Weifeng; Harada, Yuji; Ye, Mao; Barriot, Jean-Pierre</t>
  </si>
  <si>
    <t>Possible Deep Structure and Composition of Venus With Respect to the Current Knowledge From Geodetic Data</t>
  </si>
  <si>
    <t>Venus; interior structure; equation of state; tidal Lover number; tidal dissipation factor</t>
  </si>
  <si>
    <t>TEMPERATURE PROFILE; SATELLITE TRACKING; INTERNAL STRUCTURE; THERMAL EVOLUTION; EARTHS MANTLE; CORE SIZE; CONSTRAINTS; VISCOSITY; INTERIOR; LIQUID</t>
  </si>
  <si>
    <t>Almost no in situ seismic data are available for Venus; therefore, we can constrain the deep structure of this planet only from the geodetic data obtained by spacecraft. Of particular interest is Venus's core-mantle boundary, which holds clues about the origin and evolution of this celestial body. In this study, we build a series of different mantle/core models of Venus based on several mantle composition models and compare their associated Love numbers k(2) with the observed values. Due to the large uncertainty in the observed values of k(2), the state of Venus's core cannot be reliably constrained. However, the expected precision of k(2) obtained by the EnVision mission will sufficiently reduce the acceptable model space and contribute to estimating the mantle viscosity structure. Based on current geodetic data, we find that the bottom of Venus's mantle may not feature a phase transition from perovskite to post-perovskite if the FeO content of the mantle is less than 8.1 wt%; this region may be different from Earth's D layer. Furthermore, we find that the combination of observed k(2) and Q can be used to distinguish whether the lowermost part of Venus's mantle is a high-temperature basalt layer or a thin thermal boundary layer if observations of Q can be obtained.</t>
  </si>
  <si>
    <t>[Xiao, Chi; Li, Fei; Hao, Weifeng] Wuhan Univ, Chinese Antarctic Ctr Surveying &amp; Mapping, Wuhan, Peoples R China; [Xiao, Chi] China Earthquake Adm, Key Lab Earthquake Geodesy, Inst Seismol, Wuhan, Peoples R China; [Li, Fei; Yan, Jianguo; Ye, Mao; Barriot, Jean-Pierre] Wuhan Univ, State Key Lab Informat Engn Surveying Mapping &amp; R, Wuhan, Peoples R China; [Gregoire, Michel] Univ Paul Sabatier Toulouse III, CNRS, CNES IRD, Geosci Environm Toulouse,Observ Midi Pyrenees, Toulouse, France; [Harada, Yuji] Macau Univ Sci &amp; Technol, State Key Lab Lunar &amp; Planetary Sci, Macau, Peoples R China; [Harada, Yuji] CNSA Macau Ctr Space Explorat &amp; Sci, Macau, Peoples R China; [Barriot, Jean-Pierre] Univ French Polynesia, Geodesy Observ Tahiti, Tahiti, French Polynesi, France</t>
  </si>
  <si>
    <t>Wuhan University; China Earthquake Administration; Wuhan University; Universite de Toulouse; Universite Toulouse III - Paul Sabatier; Centre National de la Recherche Scientifique (CNRS); Macau University of Science &amp; Technology</t>
  </si>
  <si>
    <t>Li, F (corresponding author), Wuhan Univ, Chinese Antarctic Ctr Surveying &amp; Mapping, Wuhan, Peoples R China.;Li, F; Yan, JG (corresponding author), Wuhan Univ, State Key Lab Informat Engn Surveying Mapping &amp; R, Wuhan, Peoples R China.</t>
  </si>
  <si>
    <t>fli@whu.edu.cn; jgyan@whu.edu.cn</t>
  </si>
  <si>
    <t>Harada, Yuji/K-2647-2017; Gregoire, Michel/B-5738-2008; Xiao, Chi/AFD-1063-2022</t>
  </si>
  <si>
    <t>Harada, Yuji/0000-0001-5691-3851; Gregoire, Michel/0000-0001-9196-876X; Xiao, Chi/0000-0002-1589-0486; Yan, Jianguo/0000-0003-2612-4776; Ye, Mao/0000-0002-7273-5984; Barriot, Jean-Pierre/0000-0002-2112-9685</t>
  </si>
  <si>
    <t>National Scientific Foundation of China [41874010, U1831132, 41974096]; National Center of Scientific Research (CNRS); Macau Science and Technology Development Fund [007/2016/A1, 119/2017/A3, 187/2017/A3]; China National Space Administration [D020303]; DAR grant in planetology from the French Space Agency (CNES)</t>
  </si>
  <si>
    <t>National Scientific Foundation of China(National Natural Science Foundation of China (NSFC)); National Center of Scientific Research (CNRS)(Centre National de la Recherche Scientifique (CNRS)); Macau Science and Technology Development Fund; China National Space Administration; DAR grant in planetology from the French Space Agency (CNES)</t>
  </si>
  <si>
    <t>We sincerely appreciate the four reviewers (including Prof. William B. Moore) and the editor (Prof. Laurent G. J. Montesi) for their constructive comments, which greatly improved our submission manuscript. We also acknowledge Prof. Haijun Huang for his valuable discussion and suggestions. The Perple_X program for computing radial isentropic temperature, density, and seismic velocities is available at . This work is supported by the National Scientific Foundation of China (41874010, U1831132, and 41974096). M. Gregoire is supported by funding from the National Center of Scientific Research (CNRS); Y. Harada is supported by the Macau Science and Technology Development Fund (No. 007/2016/A1, No. 119/2017/A3, and No. 187/2017/A3) and the China National Space Administration (No. D020303); and J.P. Barriot is supported by a DAR grant in planetology from the French Space Agency (CNES).</t>
  </si>
  <si>
    <t>e2019JE006243</t>
  </si>
  <si>
    <t>10.1029/2019JE006243</t>
  </si>
  <si>
    <t>WOS:000679848100009</t>
  </si>
  <si>
    <t>Yao, ZH; Dunn, WR; Woodfield, EE; Clark, G; Mauk, BH; Ebert, RW; Grodent, D; Bonfond, B; Pan, DX; Rae, IJ; Ni, BB; Guo, RL; Branduardi-Raymont, G; Wibisono, AD; Rodriguez, P; Kotsiaros, S; Ness, JU; Allegrini, F; Kurth, WS; Gladstone, GR; Kraft, R; Sulaiman, AH; Manners, H; Desai, RT; Bolton, SJ</t>
  </si>
  <si>
    <t>Yao, Zhonghua; Dunn, William R.; Woodfield, Emma E.; Clark, George; Mauk, Barry H.; Ebert, Robert W.; Grodent, Denis; Bonfond, Bertrand; Pan, Dongxiao; Rae, I. Jonathan; Ni, Binbin; Guo, Ruilong; Branduardi-Raymont, Graziella; Wibisono, Affelia D.; Rodriguez, Pedro; Kotsiaros, Stavros; Ness, Jan-Uwe; Allegrini, Frederic; Kurth, William S.; Gladstone, G. Randall; Kraft, Ralph; Sulaiman, Ali H.; Manners, Harry; Desai, Ravindra T.; Bolton, Scott J.</t>
  </si>
  <si>
    <t>Revealing the source of Jupiter's x-ray auroral flares</t>
  </si>
  <si>
    <t>ION-CYCLOTRON WAVES; EMIC WAVES; PROTON AURORA; PRECIPITATION; MODULATION; PULSATIONS; SCATTERING; ELECTRONS; MODEL</t>
  </si>
  <si>
    <t>Jupiter's rapidly rotating, strong magnetic field provides a natural laboratory that is key to understanding the dynamics of high-energy plasmas. Spectacular auroral x-ray flares are diagnostic of the most energetic processes governing magnetospheres but seemingly unique to Jupiter. Since their discovery 40 years ago, the processes that produce Jupiter's x-ray flares have remained unknown. Here, we report simultaneous in situ satellite and space-based telescope observations that reveal the processes that produce Jupiter's x-ray flares, showing surprising similarities to terrestrial ion aurora. Planetary-scale electromagnetic waves are observed to modulate electromagnetic ion cyclotron waves, periodically causing heavy ions to precipitate and produce Jupiter's x-ray pulses. Our findings show that ion aurorae share common mechanisms across planetary systems, despite temporal, spatial, and energetic scales varying by orders of magnitude.</t>
  </si>
  <si>
    <t>[Yao, Zhonghua; Pan, Dongxiao] Chinese Acad Sci, Inst Geol &amp; Geophys, Key Lab Earth &amp; Planetary Phys, Beijing, Peoples R China; [Yao, Zhonghua] Univ Chinese Acad Sci, Coll Earth &amp; Planetary Sci, Beijing, Peoples R China; [Dunn, William R.; Branduardi-Raymont, Graziella; Wibisono, Affelia D.] Univ Coll London, Mullard Space Sci Lab, Dorking, Surrey, England; [Dunn, William R.; Kraft, Ralph] Harvard Smithsonian Ctr Astrophys, Smithsonian Astrophys Observ, 60 Garden St, Cambridge, MA 02138 USA; [Dunn, William R.; Wibisono, Affelia D.] UCL Birkbeck, Ctr Planetary Sci, Gower St, London WC1E 6BT, England; [Woodfield, Emma E.] British Antarctic Survey, Cambridge, England; [Clark, George; Mauk, Barry H.] Johns Hopkins Univ, Appl Phys Lab, Laurel, MD USA; [Ebert, Robert W.; Allegrini, Frederic; Gladstone, G. Randall; Bolton, Scott J.] Southwest Res Inst, Space Sci &amp; Engn Div, San Antonio, TX USA; [Ebert, Robert W.; Allegrini, Frederic; Gladstone, G. Randall] Univ Texas San Antonio, Dept Phys &amp; Astron, San Antonio, TX USA; [Grodent, Denis; Bonfond, Bertrand; Guo, Ruilong] Univ Liege, Star Inst, Lab Phys Atmospher &amp; Planetaire, Liege, Belgium; [Rae, I. Jonathan] Northumbria Univ, Newcastle Upon Tyne, Tyne &amp; Wear, England; [Ni, Binbin] Wuhan Univ, Sch Elect Informat, Dept Space Phys, Wuhan, Hubei, Peoples R China; [Ni, Binbin] CAS Ctr Excellence Comparat Planetol, Hefei, Anhui, Peoples R China; [Rodriguez, Pedro; Ness, Jan-Uwe] European Space Agcy ESA, European Space Astron Ctr ESAC, Camino Bajo Castillo S-N, Madrid 28692, Spain; [Kotsiaros, Stavros] NASA, Goddard Space Flight Ctr, Greenbelt, MD USA; [Kurth, William S.; Sulaiman, Ali H.] Univ Iowa, Dept Phys &amp; Astron, Iowa City, IA 52242 USA; [Manners, Harry; Desai, Ravindra T.] Imperial Coll London, Blackett Lab, London, England</t>
  </si>
  <si>
    <t>Chinese Academy of Sciences; Institute of Geology &amp; Geophysics, CAS; Chinese Academy of Sciences; University of Chinese Academy of Sciences, CAS; University of London; University College London; Harvard University; Smithsonian Institution; Smithsonian Astrophysical Observatory; University of London; Birkbeck University London; University College London; UK Research &amp; Innovation (UKRI); Natural Environment Research Council (NERC); NERC British Antarctic Survey; Johns Hopkins University; Johns Hopkins University Applied Physics Laboratory; Southwest Research Institute; University of Texas System; University of Texas at San Antonio (UTSA); University of Liege; Northumbria University; Wuhan University; European Space Agency; National Aeronautics &amp; Space Administration (NASA); NASA Goddard Space Flight Center; University of Iowa; Imperial College London</t>
  </si>
  <si>
    <t>Yao, ZH (corresponding author), Chinese Acad Sci, Inst Geol &amp; Geophys, Key Lab Earth &amp; Planetary Phys, Beijing, Peoples R China.;Yao, ZH (corresponding author), Univ Chinese Acad Sci, Coll Earth &amp; Planetary Sci, Beijing, Peoples R China.</t>
  </si>
  <si>
    <t>z.yao@ucl.ac.uk</t>
  </si>
  <si>
    <t>Rae, Jonathan/D-8132-2013; Yao, Zhonghua/C-3486-2009; Mauk, Barry H/E-8420-2017; Sulaiman, Ali/AAX-9024-2020; Ness, Jan-Uwe/ABF-8295-2021; Kurth, William/AAA-7334-2019; Bolton, Scott/M-4392-2019; Yao, Zhonghua/H-8537-2017; Woodfield, Emma/B-5313-2014</t>
  </si>
  <si>
    <t>Rae, Jonathan/0000-0002-2637-4786; Sulaiman, Ali/0000-0002-0971-5016; Kurth, William/0000-0002-5471-6202; Bonfond, Bertrand/0000-0002-2514-0187; Grodent, Denis/0000-0002-9938-4707; Yao, Zhonghua/0000-0001-6826-2486; Dunn, William/0000-0002-0383-6917; Branduardi-Raymont, Graziella/0000-0002-6620-6357; Woodfield, Emma/0000-0002-0531-8814; Wibisono, Affelia/0000-0002-2605-8046</t>
  </si>
  <si>
    <t>Strategic Priority Research Program of Chinese Academy of Sciences [XDA17010201]; National Natural Science Foundation of China [42074211, 41621004, 42025404]; Science and Technology Facilities Council (STFC) [ST/S000240/1, ST/S50578X/1 2062546]; European Space Agency (ESA) [4000120752/17/NL/MH]; Royal Society [NAF/R1/191047]; Natural Environment Research Council [NE/P017150/1, NE/P017185/1, NE/V002554/1, NE/V002724/1]; NASA [699041X, NNM06AA75C]; Southwest Research Institute, San Antonio, TX, USA; NASA New Frontiers Program for Juno; B-type Strategic Priority Program of the Chinese Academy of Sciences [XDB41000000]; pre-research projects on Civil Aerospace Technologies [D020308, D020104, D020303]; Key Research Program of the Institute of Geology and Geophysics, CAS [IGGCAS-201904]; Incoming Post-Docs in Sciences, Technology, Engineering, Materials and Agrobiotechnology (IPD-STEMA) project from Universite de Liege; STFC [ST/V006320/1]; SAO fellowship; NERC [NE/P017185/1, 2062546] Funding Source: UKRI; SPF [NE/V002724/1, NE/V002554/1] Funding Source: UKRI; STFC [ST/S000240/1, ST/V006320/1, ST/S000496/1] Funding Source: UKRI</t>
  </si>
  <si>
    <t>Strategic Priority Research Program of Chinese Academy of Sciences(Chinese Academy of Sciences); National Natural Science Foundation of China(National Natural Science Foundation of China (NSFC)); Science and Technology Facilities Council (STFC)(UK Research &amp; Innovation (UKRI)Science &amp; Technology Facilities Council (STFC)Science and Technology Development Fund (STDF)); European Space Agency (ESA)(European Space Agency); Royal Society(Royal Society); Natural Environment Research Council(UK Research &amp; Innovation (UKRI)Natural Environment Research Council (NERC)); NASA(National Aeronautics &amp; Space Administration (NASA)); Southwest Research Institute, San Antonio, TX, USA; NASA New Frontiers Program for Juno; B-type Strategic Priority Program of the Chinese Academy of Sciences; pre-research projects on Civil Aerospace Technologies; Key Research Program of the Institute of Geology and Geophysics, CAS; Incoming Post-Docs in Sciences, Technology, Engineering, Materials and Agrobiotechnology (IPD-STEMA) project from Universite de Liege; STFC(UK Research &amp; Innovation (UKRI)Science &amp; Technology Facilities Council (STFC)); SAO fellowship; NERC(UK Research &amp; Innovation (UKRI)Natural Environment Research Council (NERC)); SPF; STFC(UK Research &amp; Innovation (UKRI)Science &amp; Technology Facilities Council (STFC))</t>
  </si>
  <si>
    <t>This work was supported by Strategic Priority Research Program of Chinese Academy of Sciences grant XDA17010201 (Z. Y. and D.P.); National Natural Science Foundation of China grants 42074211 and 41621004 (Z. Y.); Science and Technology Facilities Council (STFC) research grant ST/S000240/1 to University College London (W.R.D., I.J.R., and G.B.-R.); SAO fellowship to Harvard-Smithsonian Centre for Astrophysics and by European Space Agency (ESA) contract no. 4000120752/17/NL/MH (W.R.D.); STFC research grant ST/S000496/1 to the British Antarctic Survey (E.E.W.); Royal Society NAF/R1/191047 (I.J.R.); Natural Environment Research Council grants NE/P017150/1, NE/P017185/1, NE/V002554/1, and NE/V002724/1 (I.J.R.); Science and Technology Facilities Council (STFC) ST/S50578X/1 2062546 (A.D.W.); NASA funding through subcontract 699041X with Southwest Research Institute, San Antonio, TX, USA (W.S.K.); NASA funding through contract NNM06AA75C with Southwest Research Institute, San Antonio, TX, USA (R.W.E., F.A., G.R.G., and S.J.B.); NASA New Frontiers Program for Juno (F.A.); B-type Strategic Priority Program of the Chinese Academy of Sciences grant XDB41000000 (B.N.); National Natural Science Foundation of China grant 42025404 (B.N.); pre-research projects on Civil Aerospace Technologies nos. D020308, D020104, and D020303 (B.N.); Key Research Program of the Institute of Geology and Geophysics, CAS, grant no. IGGCAS-201904 (Z.Y. and D.P.); Incoming Post-Docs in Sciences, Technology, Engineering, Materials and Agrobiotechnology (IPD-STEMA) project from Universite de Liege (R.G.); and STFC research grant ST/V006320/1 to Northumbria University (I.J.R.).</t>
  </si>
  <si>
    <t>eabf0851</t>
  </si>
  <si>
    <t>10.1126/sciadv.abf0851</t>
  </si>
  <si>
    <t>TI5BX</t>
  </si>
  <si>
    <t>WOS:000672817500004</t>
  </si>
  <si>
    <t>Soens, B; van Ginneken, M; Chernonozhkin, S; Slotte, N; Debaille, V; Vanhaecke, F; Terryn, H; Claeys, P; Goderis, S</t>
  </si>
  <si>
    <t>Soens, Bastien; van Ginneken, Matthias; Chernonozhkin, Stepan; Slotte, Nicolas; Debaille, Vinciane; Vanhaecke, Frank; Terryn, Herman; Claeys, Philippe; Goderis, Steven</t>
  </si>
  <si>
    <t>Australasian microtektites across the Antarctic continent: Evidence from the Sor Rondane Mountain range (East Antarctica)</t>
  </si>
  <si>
    <t>GEOSCIENCE FRONTIERS</t>
  </si>
  <si>
    <t>Impact cratering; Impact ejecta; Target stratigraphy; Volatilization; Antarctica; Microtektites</t>
  </si>
  <si>
    <t>TRANSANTARCTIC MOUNTAINS; FRONTIER MOUNTAIN; COSMIC SPHERULES; SHOCKED QUARTZ; TEKTITES SIZE; VICTORIA LAND; ND; BE-10; ABUNDANCES; AMERICAN</t>
  </si>
  <si>
    <t>The similar to 790 ka Australasian (micro)tektite strewn field is one of the most recent and best-known examples of impact ejecta emplacement as the result of a large-scale cratering event across a considerable part of Earth's surface (&gt;10% in area). The Australasian strewn field is characterized by a tri-lobe pattern consisting of a large central distribution lobe, and two smaller side lobes extending to the west and east. Here, we report on the discovery of microtektite-like particles in sedimentary traps, containing abundant micrometeorite material, in the Sor Rondane Mountain (SRM) range of East Antarctica. The thirty-three glassy particles display a characteristic pale yellow color and are predominantly spherical in shape, except for a single dumbbell-shaped particle. The vitreous spherules range in size from 220 to 570 mu m, with an average diameter of similar to 370 mu m. This compares relatively well with the size distribution (75-778 mu m) of Australasian microtektites previously recovered from the Transantarctic Mountains (TAM) and located ca. 2500-3000 km from the SRM. In addition, the chemical composition of the SRM particles exhibits limited variation and is nearly identical to the 'normal-type' (i.e., &lt;6% MgO) TAM microtektites. The Sr and Nd isotope systematics for a single batch of SRM particles (n=26) strongly support their affiliation with TAM microtektites and the Australasian tektite strewn field in general. Furthermore, Sr isotope ratios and Nd model ages suggest that the target material of the SRM particles was composed of a plagioclase- or carbonate-rich lithology derived from a Paleo- or Mesoproterozoic crustal unit. The affiliation to the Australasian strewn field requires long-range transportation, with estimated great circle distances of ca. 11,600 km from the hypothetical source crater, provided transportation occurred along the central distribution lobe. This is in agreement with the observations made for the Australasian microtektites recovered from Victoria Land (ca. 11,000 km) and Larkman Nunatak (ca. 12,000 km), which, on average, decrease in size and alkali concentrations (e.g., Na and K) as their distance from the source crater increases. The values for the SRM particles are intermediate to those of the Victoria Land and Larkman Nunatak microtektites for both parameters, thus supporting this observation. We therefore interpret the SRM particles as 'normal-type' Australasian microtektites, which significantly extend the central distribution lobe of the Australasian strewn field westward. Australasian microtektite distribution thus occurred on a continent-wide scale across Antarctica and allows for the identification of new, potential recovery sites on the Antarctic continent as well as the southeastern part of the Indian Ocean. Similar to volcanic ash layers, the similar to 790 ka distal Australasian impact ejecta are thus a record of an instantaneous event that can be used for time-stratigraphic correlation across Antarctica. (c) 2021 China University of Geosciences (Beijing) and Peking University. Production and hosting by Elsevier B.V.</t>
  </si>
  <si>
    <t>[Soens, Bastien; Claeys, Philippe; Goderis, Steven] Vrije Univ Brussel, Analyt Environm &amp; Geochem, Pl Laan 2, BE-1050 Brussels, Belgium; [Soens, Bastien; Slotte, Nicolas; Debaille, Vinciane] Univ Libre Bruxelles, Lab G Time, 50 Av FD Roosevelt CP 160-02, BE-1050 Brussels, Belgium; [van Ginneken, Matthias] Univ Kent, Ctr Astrophys &amp; Planetary Sci, Canterbury CT2 7NZ, Kent, England; [Chernonozhkin, Stepan; Vanhaecke, Frank] Univ Ghent, Atom &amp; Mass Spectrometry A&amp;MS Res Unit, Dept Chem, Campus Sterre,Krijgslaan 281-S12, BE-9000 Ghent, Belgium; [Terryn, Herman] Vrije Univ Brussel, Electrochem &amp; Surface Engn, Pl Laan 2, B-1050 Brussels, Belgium</t>
  </si>
  <si>
    <t>Vrije Universiteit Brussel; Universite Libre de Bruxelles; University of Kent; Ghent University; Vrije Universiteit Brussel</t>
  </si>
  <si>
    <t>Soens, B (corresponding author), Vrije Univ Brussel, Analyt Environm &amp; Geochem, Pl Laan 2, BE-1050 Brussels, Belgium.</t>
  </si>
  <si>
    <t>Bastien.Soens@vub.be</t>
  </si>
  <si>
    <t>(VUB), VRIJE UNIVERSITEIT BRUSSEL/B-4895-2008; Vanhaecke, Frank/AAO-4582-2020; Goderis, Steven/F-9908-2011; Herman, Terryn/A-2255-2013; Van Ginneken, Matthias/AFQ-5594-2022</t>
  </si>
  <si>
    <t>(VUB), VRIJE UNIVERSITEIT BRUSSEL/0000-0002-4585-7687; Vanhaecke, Frank/0000-0002-1884-3853; Goderis, Steven/0000-0002-6666-7153; Van Ginneken, Matthias/0000-0002-2508-7021; Soens, Bastien/0000-0002-7695-6629</t>
  </si>
  <si>
    <t>Research Foundation Flanders (FWO); Belgian Science Policy (BELSPO); FWO-FNRS Excellence of Science (EoS) project ET-HoME [30442502]; FRS-FNRS</t>
  </si>
  <si>
    <t>Research Foundation Flanders (FWO)(FWO); Belgian Science Policy (BELSPO)(Belgian Federal Science Policy Office); FWO-FNRS Excellence of Science (EoS) project ET-HoME; FRS-FNRS(Fonds de la Recherche Scientifique - FNRS)</t>
  </si>
  <si>
    <t>We would like to thank the Research Foundation Flanders (FWO) for funding this PhD research to BS. SG, VD, MvG, and PC acknowledge the support by the Belgian Science Policy (BELSPO) through BELAM, Amundsen and BAMMprojects. SG and PC also thank the Research Foundation -Flanders (FWO -Vlaanderen), and the VUB strategic research. SG, SC, PC, VD and FV acknowledge the support from the FWO-FNRS Excellence of Science (EoS) project ET-HoME (ID 30442502). NS and VD thank the FRS-FNRS for support, Wendy Debouge, Sabrina Cauchies and Jeroen de Jong are warmly thanked for their help and support with the clean lab and MC-ICP-MS at Laboratoire G-Time. We thank Christian Koeberl and an anonymous reviewer for their insightful comments. We also acknowledge the Associate Editor R.M. Palin for editorial handling.</t>
  </si>
  <si>
    <t>CHINA UNIV GEOSCIENCES, BEIJING</t>
  </si>
  <si>
    <t>HAIDIAN DISTRICT</t>
  </si>
  <si>
    <t>29 XUEYUAN RD, HAIDIAN DISTRICT, 100083, PEOPLES R CHINA</t>
  </si>
  <si>
    <t>1674-9871</t>
  </si>
  <si>
    <t>GEOSCI FRONT</t>
  </si>
  <si>
    <t>Geosci. Front.</t>
  </si>
  <si>
    <t>10.1016/j.gsf.2021.101153</t>
  </si>
  <si>
    <t>SH8BH</t>
  </si>
  <si>
    <t>Green Accepted, gold, Green Published</t>
  </si>
  <si>
    <t>WOS:000654356800018</t>
  </si>
  <si>
    <t>Pastorino, G</t>
  </si>
  <si>
    <t>Pastorino, Guido</t>
  </si>
  <si>
    <t>No longer monotypic: new species of the buccinoidean genera Germonea and Drepanodontus in the southwestern Atlantic (Gastropoda: Buccinidae)</t>
  </si>
  <si>
    <t>PROCEEDINGS OF THE BIOLOGICAL SOCIETY OF WASHINGTON</t>
  </si>
  <si>
    <t>Mollusca; Buccinulidae; southwestern Atlantic; Germonea; Drepanodontus; Buccinoidea; Neogastropoda; Namuncura/Burdwood bank</t>
  </si>
  <si>
    <t>BUCCINULIDAE; NEOGASTROPODA</t>
  </si>
  <si>
    <t>New species of the until now monotypic buccinoidean genera Germonea and Drepanodontus are described from the southwestern Atlantic waters. These genera are only otherwise known from lower bathyal and abyssal depths of Scotia Sea. Germonea costulosa n. sp. collected near Namuncura ' /Burdwood Bank in 681 to 785 m depth is the second known species of the genus characterized by distinctive regular ribs. In addition, Drepanodontus peonza n. sp., collected from the same area, is similar to the type species of this genus with two distinctive spiral cords along all whorls. The bathymetry of both new species is shallower than that of the already described species, at upper slope depths. Geographically the new species put both genera on both sides of the Antarctic convergence. Previous reports include D. tatyanae sharing this distribution rising some questions about the effectiveness of the Drake passage as a barrier.</t>
  </si>
  <si>
    <t>[Pastorino, Guido] Museo Argentino Ciencias Nat Bernardino Rivadavia, Av Angel Gallardo 470 3 Piso Lab 80,C1405DJR, Buenos Aires, DF, Argentina</t>
  </si>
  <si>
    <t>Museo Argentino de Ciencias Naturales Bernardino Rivadavia (MACN)</t>
  </si>
  <si>
    <t>Pastorino, G (corresponding author), Museo Argentino Ciencias Nat Bernardino Rivadavia, Av Angel Gallardo 470 3 Piso Lab 80,C1405DJR, Buenos Aires, DF, Argentina.</t>
  </si>
  <si>
    <t>gpastorino@macn.gov.ar</t>
  </si>
  <si>
    <t>Pastorino, Guido/0000-0003-3341-777X</t>
  </si>
  <si>
    <t>ALLEN PRESS INC</t>
  </si>
  <si>
    <t>LAWRENCE</t>
  </si>
  <si>
    <t>810 E 10TH ST, LAWRENCE, KS 66044 USA</t>
  </si>
  <si>
    <t>0006-324X</t>
  </si>
  <si>
    <t>1943-6327</t>
  </si>
  <si>
    <t>P BIOL SOC WASH</t>
  </si>
  <si>
    <t>Proc. Biol. Soc. Wash.</t>
  </si>
  <si>
    <t>JUN 30</t>
  </si>
  <si>
    <t>10.2988/21-00003</t>
  </si>
  <si>
    <t>XT8OT</t>
  </si>
  <si>
    <t>WOS:000733841100001</t>
  </si>
  <si>
    <t>Bultelle, F; Boutet, I; Devin, S; Caza, F; St-Pierre, Y; Péden, R; Brousseau, P; Chan, P; Vaudry, D; Le Foll, F; Fournier, M; Auffret, M; Rocher, B</t>
  </si>
  <si>
    <t>Bultelle, F.; Boutet, I; Devin, S.; Caza, F.; St-Pierre, Y.; Peden, R.; Brousseau, P.; Chan, P.; Vaudry, D.; Le Foll, F.; Fournier, M.; Auffret, M.; Rocher, B.</t>
  </si>
  <si>
    <t>Molecular response of a sub-antarctic population of the blue mussel (Mytilus edulis platensis) to a moderate thermal stress</t>
  </si>
  <si>
    <t>Kerguelen island; Mytilus sp; Indicator species; Gills; Abiotic stress; Temperature; qRT-PCR; 2DE; Biomonitoring</t>
  </si>
  <si>
    <t>OYSTER CRASSOSTREA-GIGAS; ACUTE HEAT-STRESS; GENE-EXPRESSION; PROTEOMIC RESPONSE; TRANSCRIPTOMIC RESPONSES; DIFFERENTIAL EXPRESSION; KERGUELEN ISLANDS; GALLOPROVINCIALIS; TOLERANCE; ACCLIMATION</t>
  </si>
  <si>
    <t>The Kerguelen Islands (49 degrees 26 ' S, 69 degrees 50 ' E) represent a unique environment due to their geographical isolation, which protects them from anthropogenic pollution. The ability of the endemic mussel, part of the Mytilus complex, to cope with moderate heat stress was explored using omic tools. Transcripts involved in six major metabolic functions were selected and the qRT-PCR data indicated mainly changes in aerobic and anaerobic energy metabolism and stress response. Proteomic comparisons revealed a typical stress response pattern with cytoskeleton modifications and elements suggesting increased energy metabolism. Results also suggest conservation of protein homeostasis by the long-lasting presence of HSP while a general decrease in transcription is observed. The overall findings are consistent with an adaptive response to moderate stresses in mussels in good physiological condition, i.e. living in a low-impact site, and with the literature concerning this model species. Therefore, local blue mussels could be advantageously integrated into biomonitoring strategies, especially in the context of Global Change.</t>
  </si>
  <si>
    <t>[Bultelle, F.; Peden, R.; Le Foll, F.; Rocher, B.] Univ Le Havre Normandie, UMR I INERIS URCA ULH SEBIO 02, Environm Stresses &amp; Biomonitoring Aquat Ecosyst, FR CNRS Scale 3730, F-76063 Le Havre, France; [Boutet, I] Sorbonne Univ, Stn Biol Roscoff CNRS, Lab Adaptat &amp; Divers Marine Environm UMR7144 CNRS, Roscoff, France; [Devin, S.] Univ Metz Lorraine, UMR LIEC 7360, Metz, France; [Caza, F.; St-Pierre, Y.] INRS Inst Armand Frappier, 531 Boul Prairies, Laval, PQ H7V 1B7, Canada; [Brousseau, P.; Fournier, M.] Inst Sci Mer, Parc Riviere Mitis, St Flavie, PQ G0J 2L0, Canada; [Chan, P.; Vaudry, D.] Normandie Univ, UNIROUEN, Plateforme PISSARO, IRIB, F-76821 Mont St Aignan, France; [Vaudry, D.] Normandie Univ, UNIROUEN, INSERM U1239 DC2N, F-76821 Mont St Aignan, France; [Peden, R.] Univ Reims, UMR I 02 INERIS URCA ULH SEBIO, Environm Stresses &amp; Biomonitoring Aquat Ecosyst, Campus Moulin Housse, F-51687 Reims, France; [Auffret, M.] UMR CNRS 6539 LEMAR Lab Sci Environm Marin, Technopole Brest Iroise, F-29280 Plouzane, France</t>
  </si>
  <si>
    <t>Universite Le Havre Normandie; Universite de Reims Champagne-Ardenne; Sorbonne Universite; University of Quebec; Institut national de la recherche scientifique (INRS); Universite de Rouen Normandie; Universite de Rouen Normandie; Institut National de l'Environnement Industriel et des Risques (INERIS); Universite de Reims Champagne-Ardenne; Ifremer</t>
  </si>
  <si>
    <t>Bultelle, F (corresponding author), Univ Le Havre Normandie, UMR I INERIS URCA ULH SEBIO 02, Environm Stresses &amp; Biomonitoring Aquat Ecosyst, FR CNRS Scale 3730, F-76063 Le Havre, France.</t>
  </si>
  <si>
    <t>florence.buktelle@univ-lehavre.fr; isabelle.boulet@sb-roscoff.fr; simon.devin@univ-lorraine.fr; france.caza@iaf.inrs.ca; yves.st-pierre@iaf.inrs.ca; romain.peden@univ-reims.fr; Pauline_Brousseau@uqar.ca; philippe.chan@univ-rouen.fr; david.vaudry@univ-rouen.fr; frank.le-foll@univ.lehavre.fr; Michel_Fournier@uqar.ca; Michel.Auffret@univ-brest.fr; beatrice.rocher@univ-lehavre.fr</t>
  </si>
  <si>
    <t>PEDEN, Romain/0000-0001-8763-2024; Boutet, Isabelle/0000-0003-0619-9316</t>
  </si>
  <si>
    <t>ANR, research program IPOC (Interactions between POllution and Climate changes: Development of improved monitoring strategy) [ANR-12-ISV7-0004-01, CRSNG-STPGP-430539-2012]; NSERC, research program IPOC (Interactions between POllution and Climate changes: Development of improved monitoring strategy) [ANR-12-ISV7-0004-01, CRSNG-STPGP-430539-2012]; French Polar Institute (IPEV) [409 IMMUNOTOXKER]</t>
  </si>
  <si>
    <t>ANR, research program IPOC (Interactions between POllution and Climate changes: Development of improved monitoring strategy)(Agence Nationale de la Recherche (ANR)); NSERC, research program IPOC (Interactions between POllution and Climate changes: Development of improved monitoring strategy); French Polar Institute (IPEV)</t>
  </si>
  <si>
    <t>This work was supported by a grant from both ANR and NSERC Agencies (joined France-Canada project) as a part of the research program IPOC (Interactions between POllution and Climate changes: Development of improved monitoring strategy, ANR-12-ISV7-0004-01, CRSNG-STPGP-430539-2012, 2013-2016, https://www-iuem.un iv-brest.fr/ipoc/fr).; Mussel exposures were performed at Port-aux-Francais Station (Kerguelen Islands, Southern and Antarctic French Territory) and were funded and logistically supported by the French Polar Institute (IPEV) (program N.409 IMMUNOTOXKER). The authors would like to thank all the personnel from the IPEV and the Terres Australes et Antarctiques Francaises (TAAF) for their help and hospitality during the research mission in the Kerguelen archipelago.</t>
  </si>
  <si>
    <t>10.1016/j.marenvres.2021.105393</t>
  </si>
  <si>
    <t>JUN 2021</t>
  </si>
  <si>
    <t>TM8YY</t>
  </si>
  <si>
    <t>WOS:000675833900007</t>
  </si>
  <si>
    <t>Rogers, AD; Baco, A; Escobar-Briones, E; Currie, D; Gjerde, K; Gobin, J; Jaspars, M; Levin, L; Linse, K; Rabone, M; Ramirez-Llodra, E; Sellanes, J; Shank, TM; Sink, K; Snelgrove, PVR; Taylor, ML; Wagner, D; Harden-Davies, H</t>
  </si>
  <si>
    <t>Rogers, Alex D.; Baco, Amy; Escobar-Briones, Elva; Currie, Duncan; Gjerde, Kristina; Gobin, Judith; Jaspars, Marcel; Levin, Lisa; Linse, Katrin; Rabone, Muriel; Ramirez-Llodra, Eva; Sellanes, Javier; Shank, Timothy M.; Sink, Kerry; Snelgrove, Paul V. R.; Taylor, Michelle L.; Wagner, Daniel; Harden-Davies, Harriet</t>
  </si>
  <si>
    <t>Marine Genetic Resources in Areas Beyond National Jurisdiction: Promoting Marine Scientific Research and Enabling Equitable Benefit Sharing (vol 8, 667274, 2021)</t>
  </si>
  <si>
    <t>high seas; marine genetic resources; access and benefit sharing; UNCLOS; developing states</t>
  </si>
  <si>
    <t>[Rogers, Alex D.; Ramirez-Llodra, Eva] REV Ocean, Lysaker, Norway; [Baco, Amy] Florida State Univ, Dept Earth Ocean &amp; Atmospher Sci, Tallahassee, FL 32306 USA; Univ Nacl Autonoma Mexico, Inst Ciencias Mar &amp; Limnol, Mexico City, DF, Mexico; [Currie, Duncan] Globe Law, Christchurch, New Zealand; [Gjerde, Kristina] Int Union Conservat Nat Global Marine &amp; Polar Pro, Cambridge, MA USA; [Gjerde, Kristina] World Commiss Protected Areas, Cambridge, MA USA; [Gobin, Judith] Univ West Indies, Dept Life Sci, St Augustine, Trinidad Tobago; [Jaspars, Marcel] Univ Aberdeen, Dept Chem, Marine Biodiscovery Ctr, Old Aberdeen, Scotland; [Levin, Lisa] Univ Calif San Diego, Scripps Inst Oceanog, Integrat Oceanog Div, La Jolla, CA 92093 USA; [Linse, Katrin] British Antarctic Survey, Biodivers Evolut &amp; Adaptat Team, Cambridge, England; [Rabone, Muriel] Nat Hist Museum, Dept Life Sci, London, England; [Sellanes, Javier] Univ Catolica Norte, Fac Ciencias Mar, Dept Biol Marina, Coquimbo, Chile; [Sellanes, Javier] Univ Catolica Norte, Nucleo Milenio Ecol &amp; Manejo Sustentable Islas &amp;, Coquimbo, Chile; [Shank, Timothy M.] Woods Hole Oceanog Inst, Dept Biol, Woods Hole, MA 02543 USA; [Sink, Kerry] Nelson Mandela Univ, Inst Coastal &amp; Marine Res, Port Elizabeth, South Africa; [Sink, Kerry] South African Natl Biodivers Inst, Cape Town, South Africa; [Snelgrove, Paul V. R.] Mem Univ Newfoundland, Dept Ocean Sci, St John, NF, Canada; [Snelgrove, Paul V. R.] Mem Univ Newfoundland, Dept Biol, St John, NF, Canada; [Taylor, Michelle L.] Univ Essex, Sch Life Sci, Colchester, Essex, England; [Wagner, Daniel] Conservat Int, Ctr Oceans, Arlington, VA USA; [Harden-Davies, Harriet] Univ Wollongong, Australian Natl Ctr Ocean Resources &amp; Secur, Wollongong, NSW, Australia</t>
  </si>
  <si>
    <t>State University System of Florida; Florida State University; Universidad Nacional Autonoma de Mexico; University West Indies Mona Jamaica; University West Indies Saint Augustine; University of Aberdeen; University of California System; University of California San Diego; Scripps Institution of Oceanography; UK Research &amp; Innovation (UKRI); Natural Environment Research Council (NERC); NERC British Antarctic Survey; Natural History Museum London; Universidad Catolica del Norte; Universidad Catolica del Norte; Woods Hole Oceanographic Institution; Nelson Mandela University; South African National Biodiversity Institute; Memorial University Newfoundland; Memorial University Newfoundland; University of Essex; Conservation International; University of Wollongong</t>
  </si>
  <si>
    <t>Rogers, AD (corresponding author), REV Ocean, Lysaker, Norway.</t>
  </si>
  <si>
    <t>alex.rogers@revocean.org</t>
  </si>
  <si>
    <t>Wagner, Daniel/IZE-2807-2023; Sellanes, Javier/I-5722-2012; Taylor, Michelle/C-3918-2015</t>
  </si>
  <si>
    <t>Wagner, Daniel/0000-0002-0456-4343; Rogers, Alex David/0000-0002-4864-2980; Sellanes, Javier/0000-0002-6942-0762; Sink, Kerry/0000-0001-5051-573X; Taylor, Michelle/0000-0001-7271-4385</t>
  </si>
  <si>
    <t>10.3389/fmars.2021.719006</t>
  </si>
  <si>
    <t>TL1PO</t>
  </si>
  <si>
    <t>WOS:000674627300001</t>
  </si>
  <si>
    <t>Haunost, M; Riebesell, U; D'Amore, F; Kelting, O; Bach, LT</t>
  </si>
  <si>
    <t>Haunost, Mathias; Riebesell, Ulf; D'Amore, Francesco; Kelting, Ole; Bach, Lennart T.</t>
  </si>
  <si>
    <t>Influence of the Calcium Carbonate Shell of Coccolithophores on Ingestion and Growth of a Dinoflagellate Predator</t>
  </si>
  <si>
    <t>calcification; phytoplankton; microzooplankton; grazing; Oxyrrhis marina</t>
  </si>
  <si>
    <t>OXYRRHIS-MARINA; PHYTOPLANKTON GROWTH; COMMUNITY STRUCTURE; CALCIFICATION; ACIDIFICATION; SELECTIVITY; PREFERENCE; BEHAVIOR; RATES</t>
  </si>
  <si>
    <t>Coccolithophores are an important group of similar to 200 marine phytoplankton species which cover themselves with a calcium carbonate shell called coccosphere. Coccolithophores are ecologically and biogeochemically important but the reason why they calcify remains elusive. One key function may be that the coccosphere offers protection against microzooplankton predation, which is one of the main causes of phytoplankton death in the ocean. Here, we investigated the effect of the coccosphere on ingestion and growth of the heterotrophic dinoflagellate Oxyrrhis marina. Calcified and decalcified cells of the coccolithophore species Emiliania huxleyi, Pleurochrysis carterae, and Gephyrocapsa oceanica were offered separately to the predator as well as in an initial similar to 1:1 mixture. The decrease of the prey concentrations and predator abundances were monitored over a period of 48-72 h. We found that O. marina did not actively select against calcified cells, but rather showed a size selective feeding behavior. Thus, the coccosphere does not provide a direct protection against grazing by O. marina. However, O. marina showed slower growth when calcified coccolithophores were fed. This could be due to reduced digestion rates of calcified cells and/or increased swimming efforts when ballasted with heavy calcium carbonate. Furthermore, we show that the coccosphere reduces the ingestion capacity simply by occupying much of the intracellular space of the predator. We speculate that the slower growth of the grazer when feeding on calcified cells is of limited benefit to the coccolithophore population because other co-occurring phytoplankton species within the community that do not invest energy in the formation of a calcite shell could also benefit from the reduced growth of the predators. Altogether, these new insights constitute a step forward in our understanding of the ecological relevance of calcification in coccolithophores.</t>
  </si>
  <si>
    <t>[Haunost, Mathias; Riebesell, Ulf; D'Amore, Francesco; Kelting, Ole] GEOMAR Helmholtz Ctr Ocean Res Kiel, Kiel, Germany; [Bach, Lennart T.] Univ Tasmania, Inst Marine &amp; Antarctic Studies, Ecol &amp; Biodivers, Hobart, Tas, Australia</t>
  </si>
  <si>
    <t>Helmholtz Association; GEOMAR Helmholtz Center for Ocean Research Kiel; University of Tasmania</t>
  </si>
  <si>
    <t>Haunost, M (corresponding author), GEOMAR Helmholtz Ctr Ocean Res Kiel, Kiel, Germany.</t>
  </si>
  <si>
    <t>mhaunost@geomar.de</t>
  </si>
  <si>
    <t>Bach, Lennart/0000-0003-0202-3671</t>
  </si>
  <si>
    <t>German Science Foundation (DFG) [BA5188/1-1]</t>
  </si>
  <si>
    <t>German Science Foundation (DFG)(German Research Foundation (DFG))</t>
  </si>
  <si>
    <t>This research was funded by the German Science Foundation (DFG) (BA5188/1-1).</t>
  </si>
  <si>
    <t>10.3389/fmars.2021.664269</t>
  </si>
  <si>
    <t>TL1VL</t>
  </si>
  <si>
    <t>WOS:000674642900001</t>
  </si>
  <si>
    <t>Yang, MX; Smyth, TJ; Kitidis, V; Brown, IJ; Wohl, C; Yelland, MJ; Bell, TG</t>
  </si>
  <si>
    <t>Yang, Mingxi; Smyth, Timothy J.; Kitidis, Vassilis; Brown, Ian J.; Wohl, Charel; Yelland, Margaret J.; Bell, Thomas G.</t>
  </si>
  <si>
    <t>Natural variability in air-sea gas transfer efficiency of CO2</t>
  </si>
  <si>
    <t>FLUX MEASUREMENTS; SURFACE MICROLAYER; TRANSFER VELOCITY; EDDY COVARIANCE; SOUTHERN-OCEAN; WIND-SPEED; EXCHANGE; CARBON</t>
  </si>
  <si>
    <t>The flux of CO2 between the atmosphere and the ocean is often estimated as the air-sea gas concentration difference multiplied by the gas transfer velocity (K-660). The first order driver for K-660 over the ocean is wind through its influence on near surface hydrodynamics. However, field observations have shown substantial variability in the wind speed dependencies of K-660. In this study we measured K-660 with the eddy covariance technique during a similar to 11,000 km long Southern Ocean transect. In parallel, we made a novel measurement of the gas transfer efficiency (GTE) based on partial equilibration of CO2 using a Segmented Flow Coil Equilibrator system. GTE varied by 20% during the transect, was distinct in different water masses, and related to K-660. At a moderate wind speed of 7 m s(-1), K-660 associated with high GTE exceeded K-660 with low GTE by 30% in the mean. The sensitivity of K-660 towards GTE was stronger at lower wind speeds and weaker at higher wind speeds. Naturally-occurring organics in seawater, some of which are surface active, may be the cause of the variability in GTE and in K-660. Neglecting these variations could result in biases in the computed air-sea CO2 fluxes.</t>
  </si>
  <si>
    <t>[Yang, Mingxi; Smyth, Timothy J.; Kitidis, Vassilis; Brown, Ian J.; Wohl, Charel; Bell, Thomas G.] Plymouth Marine Lab, Prospect Pl, Plymouth, Devon, England; [Yelland, Margaret J.] Natl Oceanog Ctr, Southampton, Hants, England</t>
  </si>
  <si>
    <t>Plymouth Marine Laboratory; NERC National Oceanography Centre</t>
  </si>
  <si>
    <t>Yang, MX (corresponding author), Plymouth Marine Lab, Prospect Pl, Plymouth, Devon, England.</t>
  </si>
  <si>
    <t>miya@pml.ac.uk</t>
  </si>
  <si>
    <t>yelland, m j/E-6343-2011; Smyth, Tim/D-2008-2012; Yang, Mingxi/ABC-7118-2020; Yelland, Margaret j/P-1476-2019; Bell, Tom/E-8488-2011</t>
  </si>
  <si>
    <t>Smyth, Tim/0000-0003-0659-1422; Yang, Mingxi/0000-0002-8321-5984; Yelland, Margaret j/0000-0002-0936-4957; Bell, Tom/0000-0002-4108-7048; Wohl, Charel/0000-0002-6592-6037</t>
  </si>
  <si>
    <t>UK Natural Environment Research Council's ORCHESTRA project [NE/N018095/1]; European Space Agency funding (ESA AMT4OceanSatFlux project) [4000125730/18/NL/FF/gp]; Natural Environment Research Council [NE/R015953/1] Funding Source: researchfish</t>
  </si>
  <si>
    <t>UK Natural Environment Research Council's ORCHESTRA project; European Space Agency funding (ESA AMT4OceanSatFlux project); Natural Environment Research Council(UK Research &amp; Innovation (UKRI)Natural Environment Research Council (NERC))</t>
  </si>
  <si>
    <t>These measurements were made on the ANDREXII cruise on board of the Royal Research Ship James Clark Ross (JCR), which was funded by the UK Natural Environment Research Council's ORCHESTRA project (Grant No. NE/N018095/1). The eddy covariance CO2 flux observations were made possible through a combination of ORCHESTRA and European Space Agency funding (ESA AMT4OceanSatFlux project, Grant No. 4000125730/18/NL/FF/gp). We thank Andrew Meijers (British Antarctic Survey), the chief scientist of the ANDREXII cruise, as well as all the technical, computing, and engineering support on the JCR for accommodating and supporting our air-sea flux measurements. We further thank Philip Nightingale (PML) for insightful discussions about the role of surfactants on gas transfer, Daniel Phillips (PML) for assistance in laboratory characterization of the SFCEs, and John Prytherch (Stockholm University), Robin Pascal (National Oceanography Centre), and Ian Brooks (University of Leeds) for recommendations concerning the flux system installation on the JCR.</t>
  </si>
  <si>
    <t>10.1038/s41598-021-92947-w</t>
  </si>
  <si>
    <t>TH0NI</t>
  </si>
  <si>
    <t>WOS:000671791200013</t>
  </si>
  <si>
    <t>Zhang, LN; Solomon, S; Stone, KA; Shanklin, JD; Eveson, JD; Colwell, S; Burrows, JP; Weber, M; Levelt, PF; Kramarova, NA; Haffner, DP</t>
  </si>
  <si>
    <t>Zhang, Lily N.; Solomon, Susan; Stone, Kane A.; Shanklin, Jonathan D.; Eveson, Joshua D.; Colwell, Steve; Burrows, John P.; Weber, Mark; Levelt, Pieternel F.; Kramarova, Natalya A.; Haffner, David P.</t>
  </si>
  <si>
    <t>On the use of satellite observations to fill gaps in the Halley station total ozone record</t>
  </si>
  <si>
    <t>ABSORPTION CROSS-SECTIONS; COLUMN OZONE; GOME; SPECTROMETER; PERFORMANCE; CALIBRATION; ANTARCTICA; EVOLUTION</t>
  </si>
  <si>
    <t>Measurements by the Dobson ozone spectrophotometer at the British Antarctic Survey's (BAS) Halley research station form a record of Antarctic total column ozone that dates back to 1956. Due to its location, length, and completeness, the record has been, and continues to be, uniquely important for studies of long-term changes in Antarctic ozone. However, a crack in the ice shelf on which it resides forced the station to abruptly close in February of 2017, leading to a gap of two ozone hole seasons in its historic record. We develop and test a method for filling in the record of Halley total ozone by combining and adjusting overpass data from a range of different satellite instruments. Comparisons to the Dobson suggest that our method reproduces monthly ground-based total ozone values with an average difference of 1.1 +/- 6.2DU for the satellites used to fill in the 2017-2018 gap. We show that our approach more closely reproduces the Dobson measurements than simply using the raw satellite average or data from a single satellite instrument. The method also provides a check on the consistency of the provisional data from the automated Dobson used at Halley after 2018 with earlier manual Dobson data and suggests that there were likely inconsistencies between the two. The filled Halley dataset provides further support that the Antarctic ozone hole is healing, not only during September but also in January.</t>
  </si>
  <si>
    <t>[Zhang, Lily N.; Solomon, Susan; Stone, Kane A.] MIT, Earth Atmospher &amp; Planetary Sci, 77 Massachusetts Ave, Cambridge, MA 02139 USA; [Shanklin, Jonathan D.; Eveson, Joshua D.; Colwell, Steve] British Antarctic Survey, Cambridge CB3 0ET, England; [Burrows, John P.; Weber, Mark] Univ Bremen, Inst Environm Phys, D-28334 Bremen, Germany; [Levelt, Pieternel F.] KNMI, NL-3731 De Bilt, Netherlands; [Levelt, Pieternel F.] Univ Technol Delft, NL-2628 Delft, Netherlands; [Kramarova, Natalya A.; Haffner, David P.] NASA, Goddard Space Flight Ctr, Code 916, Greenbelt, MD 20771 USA; [Haffner, David P.] Sci Syst &amp; Applicat Inc, Lanham, MD 20706 USA</t>
  </si>
  <si>
    <t>Massachusetts Institute of Technology (MIT); UK Research &amp; Innovation (UKRI); Natural Environment Research Council (NERC); NERC British Antarctic Survey; University of Bremen; Royal Netherlands Meteorological Institute; National Aeronautics &amp; Space Administration (NASA); NASA Goddard Space Flight Center; Science Systems and Applications Inc</t>
  </si>
  <si>
    <t>Zhang, LN (corresponding author), MIT, Earth Atmospher &amp; Planetary Sci, 77 Massachusetts Ave, Cambridge, MA 02139 USA.</t>
  </si>
  <si>
    <t>lnz0018@gmail.com</t>
  </si>
  <si>
    <t>Zhang, Lily/JXG-6889-2024; Burrows, John Philip/AAF-8468-2019; Levelt, Pieternel/AAE-3835-2022; Kramarova, Natalya/D-2270-2014; Weber, Mark/F-1409-2011; Haffner, David Patrick/O-2929-2013</t>
  </si>
  <si>
    <t>Burrows, John Philip/0000-0002-6821-5580; Kramarova, Natalya/0000-0002-6083-8548; Weber, Mark/0000-0001-8217-5450; Haffner, David Patrick/0000-0003-1747-634X; Zhang, Lily/0000-0003-4614-2074</t>
  </si>
  <si>
    <t>David P. Bacon Fund for undergraduate research; Lee and Geraldine Martin Chair in Environmental Studies at MIT; DFG (German Research foundation); DLR (German Aerospace); BMBF (SynopSys); State of Bremen, Germany; NERC [bas0100032] Funding Source: UKRI</t>
  </si>
  <si>
    <t>David P. Bacon Fund for undergraduate research; Lee and Geraldine Martin Chair in Environmental Studies at MIT; DFG (German Research foundation)(German Research Foundation (DFG)); DLR (German Aerospace)(Helmholtz AssociationGerman Aerospace Centre (DLR)); BMBF (SynopSys)(Federal Ministry of Education &amp; Research (BMBF)); State of Bremen, Germany; NERC(UK Research &amp; Innovation (UKRI)Natural Environment Research Council (NERC))</t>
  </si>
  <si>
    <t>Lily N. Zhang acknowledges support by the David P. Bacon Fund for undergraduate research. Susan Solomon acknowledges support by the Lee and Geraldine Martin Chair in Environmental Studies at MIT. The research of John P. Burrows and Mark Weber is in part supported by the University and the State of Bremen, Germany, DFG (German Research foundation), DLR (German Aerospace), and BMBF (SynopSys). We thank EUMETSAT for providing level-1 data from GOME-2A and GOME2B. Helpful discussions with Paul Newman are gratefully acknowledged.</t>
  </si>
  <si>
    <t>10.5194/acp-21-9829-2021</t>
  </si>
  <si>
    <t>TE1AB</t>
  </si>
  <si>
    <t>Green Submitted, gold, Green Published, Green Accepted</t>
  </si>
  <si>
    <t>WOS:000669748200002</t>
  </si>
  <si>
    <t>Tanhua, T; Lauvset, SK; Lange, N; Olsen, A; Alvarez, M; Diggs, S; Bittig, HC; Brown, PJ; Carter, BR; da Cunha, LC; Feely, RA; Hoppema, M; Ishii, M; Jeansson, E; Kozyr, A; Murata, A; Pérez, FF; Pfeil, B; Schirnick, C; Steinfeldt, R; Telszewski, M; Tilbrook, B; Velo, A; Wanninkhof, R; Burger, E; O'Brien, K; Key, RM</t>
  </si>
  <si>
    <t>Tanhua, Toste; Lauvset, Siv K.; Lange, Nico; Olsen, Are; Alvarez, Marta; Diggs, Stephen; Bittig, Henry C.; Brown, Peter J.; Carter, Brendan R.; da Cunha, Leticia Cotrim; Feely, Richard A.; Hoppema, Mario; Ishii, Masao; Jeansson, Emil; Kozyr, Alex; Murata, Akihiko; Perez, Fiz F.; Pfeil, Benjamin; Schirnick, Carsten; Steinfeldt, Reiner; Telszewski, Maciej; Tilbrook, Bronte; Velo, Anton; Wanninkhof, Rik; Burger, Eugene; O'Brien, Kevin; Key, Robert M.</t>
  </si>
  <si>
    <t>A vision for FAIR ocean data products</t>
  </si>
  <si>
    <t>COMMUNICATIONS EARTH &amp; ENVIRONMENT</t>
  </si>
  <si>
    <t>ANTHROPOGENIC CO2; GLOBAL OCEAN; VERSION; CLIMATOLOGY; CARBON; SINK</t>
  </si>
  <si>
    <t>The ocean is mitigating global warming by absorbing large amounts of excess carbon dioxide from human activities. To quantify and monitor the ocean carbon sink, we need a state-of-the-art data resource that makes data submission and retrieval machine-compatible and efficient.</t>
  </si>
  <si>
    <t>[Tanhua, Toste; Lange, Nico; Schirnick, Carsten] GEOMAR Helmholtz Ctr Ocean Res Kiel, Kiel, Germany; [Lauvset, Siv K.; Jeansson, Emil] Bjerknes Ctr Climate Res, NORCE Norwegian Res Ctr, Bergen, Norway; [Olsen, Are; Pfeil, Benjamin] Univ Bergen, Geophys Inst, Bergen, Norway; [Olsen, Are; Pfeil, Benjamin] Bjerknes Ctr Climate Res, Bergen, Norway; [Alvarez, Marta] Inst Espanol Oceanog, La Coruna, Spain; [Diggs, Stephen] Univ Calif San Diego, Scripps Inst Oceanog, San Diego, CA USA; [Bittig, Henry C.] Leibniz Inst Baltic Sea Res Warnemunde, Rostock, Germany; [Brown, Peter J.] Natl Oceanog Ctr, Southampton, Hants, England; [Carter, Brendan R.; O'Brien, Kevin] Univ Washington, Cooperat Inst Climate Ocean &amp; Ecosyst Studies, Seattle, WA 98195 USA; [Carter, Brendan R.; Feely, Richard A.; Burger, Eugene; O'Brien, Kevin] NOAA, Pacific Marine Environm Lab, 7600 Sand Point Way Ne, Seattle, WA 98115 USA; [da Cunha, Leticia Cotrim] Univ Estado Rio de Janeiro, Fac Oceanog PPG Oceanog, Rio De Janeiro, RJ, Brazil; [Hoppema, Mario] Alfred Wegener Inst Helmholtz, Ctr Polar &amp; Marine Res, Bremerhaven, Germany; [Ishii, Masao] Japan Meteorol Agcy, Meteorol Res Inst, Tsukuba, Ibaraki, Japan; [Kozyr, Alex] NOAA, Natl Ctr Environm Informat, Silver Spring, MD USA; [Murata, Akihiko] Japan Agcy Marine Earth Sci &amp; Technol, Res Inst Global Change, Yokosuka, Kanagawa, Japan; [Perez, Fiz F.; Velo, Anton] IIM CSIC, Inst Invest Marinas, Vigo, Spain; [Steinfeldt, Reiner] Univ Bremen, Inst Environm Phys, Bremen, Germany; [Telszewski, Maciej] Polish Acad Sci, Inst Oceanol, Int Ocean Carbon Coordinat Project, Sopot, Poland; [Tilbrook, Bronte] CSIRO Oceans &amp; Atmosphere, Hobart, Tas, Australia; [Tilbrook, Bronte] Australian Antarctic Program Partnership, Hobart, Tas, Australia; [Wanninkhof, Rik] NOAA, Atlantic Oceanog &amp; Meteorol Lab, Miami, FL 33149 USA; [Key, Robert M.] Princeton Univ, Atmospher &amp; Ocean Sci, Princeton, NJ 08544 USA</t>
  </si>
  <si>
    <t>Helmholtz Association; GEOMAR Helmholtz Center for Ocean Research Kiel; Bjerknes Centre for Climate Research; Norwegian Research Centre (NORCE); University of Bergen; Bjerknes Centre for Climate Research; Spanish Institute of Oceanography; University of California System; University of California San Diego; Scripps Institution of Oceanography; Leibniz Institut fur Ostseeforschung Warnemunde; NERC National Oceanography Centre; University of Washington; University of Washington Seattle; National Oceanic Atmospheric Admin (NOAA) - USA; Universidade do Estado do Rio de Janeiro; Helmholtz Association; Alfred Wegener Institute, Helmholtz Centre for Polar &amp; Marine Research; Meteorological Research Institute - Japan; Japan Meteorological Agency; National Oceanic Atmospheric Admin (NOAA) - USA; Japan Agency for Marine-Earth Science &amp; Technology (JAMSTEC); Consejo Superior de Investigaciones Cientificas (CSIC); CSIC - Instituto de Investigaciones Marinas (IIM); University of Bremen; Polish Academy of Sciences; Institute of Oceanology of the Polish Academy of Sciences; Commonwealth Scientific &amp; Industrial Research Organisation (CSIRO); National Oceanic Atmospheric Admin (NOAA) - USA; Atlantic Oceanographic &amp; Meteorological Laboratory (AOML); Princeton University</t>
  </si>
  <si>
    <t>Tanhua, T (corresponding author), GEOMAR Helmholtz Ctr Ocean Res Kiel, Kiel, Germany.</t>
  </si>
  <si>
    <t>ttanhua@geomar.de</t>
  </si>
  <si>
    <t>Olsen, Are/A-1511-2011; Velo, Anton/B-4172-2019; Álvarez, Marta/D-4367-2009; Tanhua, Toste/HLX-5402-2023; Lauvset, Siv K/H-7948-2016; Cotrim da Cunha, Leticia/F-5732-2010; Carter, Brendan/ABG-9706-2021; Fernandez Perez, Fiz/B-9001-2011; Tilbrook, Bronte/A-1522-2012; Brown, Peter/AAN-4372-2020</t>
  </si>
  <si>
    <t>Velo, Anton/0000-0002-7598-5700; Álvarez, Marta/0000-0002-5075-9344; Cotrim da Cunha, Leticia/0000-0001-8035-1430; Fernandez Perez, Fiz/0000-0003-4836-8974; Brown, Peter/0000-0002-1152-1114; Bittig, Henry/0000-0002-8621-3095; Telszewski, Maciej/0000-0002-9139-226X; Diggs, Stephen/0000-0003-3814-6104; Tanhua, Toste/0000-0002-0313-2557; O'Brien, Kevin/0000-0003-4167-3028</t>
  </si>
  <si>
    <t>EU Horizon 2020 through the EuroSea [862626]; Helmholtz Association through Digital Earth [ZT-0025]; UERJ/Prociencia grant (2018-2021); EU Horizon 2020 action SO-CHIC [821001]; NOAA/OAR; NOAA/GOMO [100007298]; Australia's Integrated Marine Observing System (IMOS); NORCE Climate; US NSF [OCE-1840868]</t>
  </si>
  <si>
    <t>EU Horizon 2020 through the EuroSea; Helmholtz Association through Digital Earth(Helmholtz Association); UERJ/Prociencia grant (2018-2021); EU Horizon 2020 action SO-CHIC; NOAA/OAR(National Oceanic Atmospheric Admin (NOAA) - USA); NOAA/GOMO; Australia's Integrated Marine Observing System (IMOS); NORCE Climate; US NSF(National Science Foundation (NSF))</t>
  </si>
  <si>
    <t>We acknowledge the efforts of scientists that secured funding, dedicated time to collect and share the data. This effort has been supported by EU Horizon 2020 through the EuroSea action (grant no. 862626), the Helmholtz Association through Digital Earth (grant no. ZT-0025), L.C.C. acknowledges the UERJ/Prociencia grant (2018-2021), M.H. acknowledge EU Horizon 2020 action SO-CHIC (grant N degrees 821001). B.C., R.A.F., E.B., K.O'.B., and R.W. were supported by NOAA/OAR and NOAA/GOMO (fund ref. 100007298), B.T. was partly supported by Australia's Integrated Marine Observing System (IMOS), S.K.L. acknowledges internal strategic funding from NORCE Climate, M.T. acknowledges support from the US NSF grant OCE-1840868 to SCOR. The PMEL and CICOES contributions are 5253 and 2020-1141, respectively.</t>
  </si>
  <si>
    <t>2662-4435</t>
  </si>
  <si>
    <t>COMMUN EARTH ENVIRON</t>
  </si>
  <si>
    <t>Commun. Earth Environ.</t>
  </si>
  <si>
    <t>10.1038/s43247-021-00209-4</t>
  </si>
  <si>
    <t>TF3ID</t>
  </si>
  <si>
    <t>WOS:000670607500001</t>
  </si>
  <si>
    <t>Riginella, E; Pineda-Metz, SEA; Gerdes, D; Koschnick, N; Böhmer, A; Biebow, H; Papetti, C; Mazzoldi, C; La Mesa, M</t>
  </si>
  <si>
    <t>Riginella, Emilio; Pineda-Metz, Santiago E. A.; Gerdes, Dieter; Koschnick, Nils; Bohmer, Astrid; Biebow, Harald; Papetti, Chiara; Mazzoldi, Carlotta; La Mesa, Mario</t>
  </si>
  <si>
    <t>Parental care and demography of a spawning population of the channichthyid Neopagetopsis ionah, Nybelin 1947 from the Weddell Sea</t>
  </si>
  <si>
    <t>Notothenioids; Nesting behaviour; Reproductive effort; Natural mortality; Filchner Trough</t>
  </si>
  <si>
    <t>CHAENOCEPHALUS-ACERATUS; MACKEREL ICEFISH; BEHAVIOR; PERSPECTIVES; SELECTION; EVOLUTION; FISHES</t>
  </si>
  <si>
    <t>Parental care is a rather common reproductive strategy in fishes, particularly in species with low fecundity and large eggs as the Antarctic icefish (Channichthyidae). The infrequent use of underwater devices to record fish behaviour and the logistic limitations of operating in the Antarctic marine environment have prevented, so far, the collection of data about rare species. Integrating results from benthic trawling and underwater photographic images, we provide the first demographic and reproductive behavioural data for the channichthyid Neopagetopsis ionah, describing the nesting and parental care behaviour of a spawning population in the south-eastern Weddell Sea. The population sampled by the Agassiz trawl was dominated by females, and consisted of several post-spawning as well as a few mature females spread over a narrow size range. Based on otolith reading, the population included two cohorts estimated as four- and five-year-old fish. Following common trade-off between fecundity and egg size, females of N. ionah spawned few large eggs (733-1810 eggs/female, 4.9-6.5 mm in diameter). The nesting site was characterized by fine sediments with sparse gravel and the accompanying benthic invertebrate community showed low densities and was relatively poor. A total of 93 nests were counted along the video transect, most of them with a single guarding male or left unattended. Fish remains or whole dead specimens were frequently observed in the proximity of the nest. This observation represents the first record of post-spawning mortality associated with parental care which has never been documented before in Antarctic fishes.</t>
  </si>
  <si>
    <t>[Riginella, Emilio] Dipartimento Ecol Marina Integrata, Staz Zool Anton Dohrn, I-80121 Naples, Italy; [Pineda-Metz, Santiago E. A.; Gerdes, Dieter; Koschnick, Nils] Helmholtz Zentrum Polar &amp; Meeresforsch, Alfred Wegener Inst, Handelshafen 12, D-27570 Bremerhaven, Germany; [Bohmer, Astrid] Univ Bath, Dept Architecture &amp; Civil Engn, Bath BA2 7AY, Avon, England; [Biebow, Harald] ISITEC GmbH, Bussestr 27, D-27570 Bremerhaven, Germany; [Papetti, Chiara; Mazzoldi, Carlotta] Univ Padua, Dipartimento Biol, Via U Bassi 58-B, I-35121 Padua, Italy; [Papetti, Chiara] Consorzio Nazl Interuniv Sci Mare CoNISMa, I-00196 Rome, Italy; [La Mesa, Mario] CNR, Ist Sci Polari, Area Ric Bologna, Via P Gobetti 101, I-40129 Bologna, Italy</t>
  </si>
  <si>
    <t>Stazione Zoologica Anton Dohrn di Napoli; Helmholtz Association; Alfred Wegener Institute, Helmholtz Centre for Polar &amp; Marine Research; University of Bath; University of Padua; CoNISMa; Consiglio Nazionale delle Ricerche (CNR); Istituto di Scienze Polari (ISP-CNR)</t>
  </si>
  <si>
    <t>La Mesa, M (corresponding author), CNR, Ist Sci Polari, Area Ric Bologna, Via P Gobetti 101, I-40129 Bologna, Italy.</t>
  </si>
  <si>
    <t>mario.lamesa@cnr.it</t>
  </si>
  <si>
    <t>Riginella, Emilio/Q-2987-2019; Pineda Metz, Santiago Esteban Agustin/AAB-4814-2022</t>
  </si>
  <si>
    <t>Riginella, Emilio/0000-0002-1442-8310; Pineda Metz, Santiago Esteban Agustin/0000-0001-7780-6449; MAZZOLDI, CARLOTTA/0000-0002-2798-3030; Papetti, Chiara/0000-0002-4567-459X</t>
  </si>
  <si>
    <t>10.1007/s00300-021-02913-5</t>
  </si>
  <si>
    <t>WOS:000668431500002</t>
  </si>
  <si>
    <t>Lattuca, B; Cayla, G; Silvain, J; Cuisset, T; Leclercq, F; Manzo-Silberman, S; Saint-Etienne, C; Delarche, N; El Mahmoud, R; Carrié, D; Souteyrand, G; Kerneis, M; Hauguel-Moreau, M; Zeitouni, M; Guedeney, P; Diallo, A; Collet, JP; Vicaut, E; Montalescot, G</t>
  </si>
  <si>
    <t>Lattuca, Benoit; Cayla, Guillaume; Silvain, Johanne; Cuisset, Thomas; Leclercq, Florence; Manzo-Silberman, Stephane; Saint-Etienne, Christophe; Delarche, Nicolas; El Mahmoud, Rami; Carrie, Didier; Souteyrand, Geraud; Kerneis, Mathieu; Hauguel-Moreau, Marie; Zeitouni, Michel; Guedeney, Paul; Diallo, Abdourahmane; Collet, Jean-Philippe; Vicaut, Eric; Montalescot, Gilles</t>
  </si>
  <si>
    <t>ACTION Study Grp</t>
  </si>
  <si>
    <t>Bleeding in the Elderly: Risk Factors and Impact on Clinical Outcomes After an Acute Coronary Syndrome, a Sub-study of the Randomized ANTARCTIC Trial</t>
  </si>
  <si>
    <t>AMERICAN JOURNAL OF CARDIOVASCULAR DRUGS</t>
  </si>
  <si>
    <t>ST-SEGMENT-ELEVATION; HEART-ASSOCIATION COUNCIL; HEALTH-CARE PROFESSIONALS; DRUG-ELUTING STENTS; MYOCARDIAL-INFARCTION; ANTIPLATELET THERAPY; SCIENTIFIC STATEMENT; EUROPEAN-SOCIETY; OPEN-LABEL; PREDICTORS</t>
  </si>
  <si>
    <t>Background Elderly patients are at high-risk of bleeding, but are under-represented in clinical trials. Objectives The aims were to determine the incidence and the predictive factors of bleeding and to assess the impact of bleeding on further ischemic outcomes in elderly patients after acute coronary syndrome (ACS) treated with percutaneous coronary intervention. Methods From the 877 patients aged &gt;= 75 years included in the ANTARCTIC randomized trial, data on Bleeding Academic Research Consortium (BARC) bleeding complications and major adverse cardiovascular events (MACE), defined as the composite of cardiovascular death, myocardial infarction, and stroke, were collected over 1 year. Results Clinically relevant bleeding events (BARC types 2, 3, or 5) were observed in 20.6% of patients (n = 181) at 1 year, of which, one third occurred in the first month. Anemia (adjusted hazard ratio [adj.HR] 3.98, 95% confidence interval [CI] 1.41-11.22; p = 0.009), severe chronic renal failure (adj.HR 1.83, 95% CI 1.12-2.98; p = 0.015), and femoral access (adj.HR 2.54, 95% CI 1.71-3.77; p &lt; 0.001) were independently associated with clinically relevant bleeding events, while age &gt; 85 years (adj.HR 2.22, 95% CI 1.14-4.30; p = 0.018) was independently associated with major bleeding events (BARC types 3 or 5). Patients with a clinically relevant bleeding event had a higher rate of MACE at 1 year (adj.HR 2.04, 95% CI 1.24-3.38; p = 0.005), with a particularly strong effect on stroke (adj.HR 5.55, 95% CI 2.04-15.06; p &lt; 0.001). Conclusions Clinically relevant bleeding events were observed in one out of five elderly patients undergoing stenting for an ACS and were strongly associated with further stroke occurrence. Rather than the antiplatelet therapy, comorbidities and an age &gt; 85 years predicted bleeding outcomes in this elderly population.</t>
  </si>
  <si>
    <t>[Lattuca, Benoit; Silvain, Johanne; Kerneis, Mathieu; Hauguel-Moreau, Marie; Zeitouni, Michel; Guedeney, Paul; Collet, Jean-Philippe; Montalescot, Gilles] Sorbonne Univ, Univ Hosp, Pitie Salpetriere,AP HP, INSERM,UMRS 1166,Cardiol Inst,ACTION Study Grp, 47-83 Bld Hop, F-75013 Paris, France; [Lattuca, Benoit; Cayla, Guillaume] Montpellier Univ, Nimes Univ Hosp, Cardiol Dept, ACTION Study Grp, Nimes, France; [Cuisset, Thomas] Aix Marseille Univ, CHU La Timone, ACTION Study Grp, Cardiol Dept,INSERM,UMR1062,INRA,UMR1260, Marseille, France; [Leclercq, Florence] Montpellier Univ, CHU Montpellier, Cardiol Dept, Montpellier, France; [Manzo-Silberman, Stephane] CHU Lariboisiere, AP HP, INSERM, Cardiol Dept,UMRS 942, Paris, France; [Saint-Etienne, Christophe] CHU Tours, Cardiol Dept, Tours, France; [Delarche, Nicolas] Hop Francois Mitterrand, Cardiol Dept, Pau, France; [El Mahmoud, Rami] Hop Ambroise Pare, Cardiol Dept, Boulogne, France; [Carrie, Didier] Univ Paul Sabatier Toulouse 3, CHU Rangueil, Cardiol Dept, Toulouse, France; [Souteyrand, Geraud] CHU Gabriel Montpied, Cardiol Dept, Clermont Ferrand, France; [Diallo, Abdourahmane; Vicaut, Eric] Lariboisiere Univ Hosp, Epidemiol &amp; Clin Res Unit, ACTION Study Grp, Paris, France</t>
  </si>
  <si>
    <t>Institut National de la Sante et de la Recherche Medicale (Inserm); Sorbonne Universite; Assistance Publique Hopitaux Paris (APHP); Hopital Universitaire Pitie-Salpetriere - APHP; Universite de Montpellier; CHU de Nimes; INRAE; Institut National de la Sante et de la Recherche Medicale (Inserm); Aix-Marseille Universite; Assistance Publique-Hopitaux de Marseille; Universite de Montpellier; CHU de Montpellier; Assistance Publique Hopitaux Paris (APHP); Universite Paris Cite; Hopital Universitaire Lariboisiere-Fernand-Widal - APHP; Institut National de la Sante et de la Recherche Medicale (Inserm); CHU Tours; Assistance Publique Hopitaux Paris (APHP); Hopital Universitaire Ambroise-Pare - APHP; CHU de Toulouse; Universite de Toulouse; Universite Toulouse III - Paul Sabatier; CHU Clermont Ferrand; Assistance Publique Hopitaux Paris (APHP); Universite Paris Cite; Hopital Universitaire Lariboisiere-Fernand-Widal - APHP</t>
  </si>
  <si>
    <t>Montalescot, G (corresponding author), Sorbonne Univ, Univ Hosp, Pitie Salpetriere,AP HP, INSERM,UMRS 1166,Cardiol Inst,ACTION Study Grp, 47-83 Bld Hop, F-75013 Paris, France.</t>
  </si>
  <si>
    <t>gilles.montalescot@aphp.fr</t>
  </si>
  <si>
    <t>guedeney, paul/HLX-5541-2023; Hauguel-Moreau, Marie/KGK-6189-2024; Manzo-Silberman, Stéphane/ABB-9864-2021</t>
  </si>
  <si>
    <t>Eli Lilly and Company; Daiichi Sankyo; Stentys; Accriva Diagnostics; Medtronic; Fondation Coeur et Recherche</t>
  </si>
  <si>
    <t>Eli Lilly and Company(Eli Lilly); Daiichi Sankyo(Daiichi Sankyo Company Limited); Stentys; Accriva Diagnostics; Medtronic(Medtronic); Fondation Coeur et Recherche</t>
  </si>
  <si>
    <t>The ANTARCTIC trial was conducted by the non-profit academic research organization Allies in Cardiovascular Trials, Initiatives, and Organized Networks (ACTION, https://www.action-groupe.org).There was no specific funding for this sub-study, but the ANTARCTIC trial was supported by Eli Lilly and Company, Daiichi Sankyo, Stentys, Accriva Diagnostics, Medtronic, and Fondation Coeur et Recherche.</t>
  </si>
  <si>
    <t>ADIS INT LTD</t>
  </si>
  <si>
    <t>NORTHCOTE</t>
  </si>
  <si>
    <t>5 THE WAREHOUSE WAY, NORTHCOTE 0627, AUCKLAND, NEW ZEALAND</t>
  </si>
  <si>
    <t>1175-3277</t>
  </si>
  <si>
    <t>1179-187X</t>
  </si>
  <si>
    <t>AM J CARDIOVASC DRUG</t>
  </si>
  <si>
    <t>Am. J. Cardiovasc. Drugs</t>
  </si>
  <si>
    <t>10.1007/s40256-021-00468-8</t>
  </si>
  <si>
    <t>Cardiac &amp; Cardiovascular Systems; Pharmacology &amp; Pharmacy</t>
  </si>
  <si>
    <t>Cardiovascular System &amp; Cardiology; Pharmacology &amp; Pharmacy</t>
  </si>
  <si>
    <t>WS5DG</t>
  </si>
  <si>
    <t>WOS:000668429000001</t>
  </si>
  <si>
    <t>Park, S; Thiebot, JB; Kim, JH; Kim, KW; Chung, H; Lee, WY</t>
  </si>
  <si>
    <t>Park, Seongseop; Thiebot, Jean-Baptiste; Kim, Jeong-Hoon; Kim, Kil Won; Chung, Hosung; Lee, Won Young</t>
  </si>
  <si>
    <t>Mare incognita: Adelie penguins foraging in newly exposed habitat after calving of the Nansen Ice Shelf</t>
  </si>
  <si>
    <t>Foraging area; GPS; Time-depth recorder; Nansen ice shelf; Antarctic specially protected area</t>
  </si>
  <si>
    <t>MARINE PREDATOR POPULATIONS; CLIMATE-CHANGE; ATTACHMENT; ICEBERGS; SEA</t>
  </si>
  <si>
    <t>Rapid environmental changes can dramatically and durably affect the animal's foraging behavior. In the Ross Sea (Antarctica), calving of the Nansen Ice Shelf in 2016 opened a newly accessible marine area of 214 km2. In this study, we examined the foraging behavior of Ade ' lie penguins from the nearby Inexpressible Island in December 2018, by tracking 27 penguins during their at-sea trips using GPS, depth and video loggers. The penguins mainly foraged within 88.2 +/- 42.9 km of their colony, for 23.4 +/- 6.8 h. Five penguins headed south to the newly exposed habitat along the Nansen Ice Shelf, whereas 22 penguins exploited previously available foraging areas. There was no significant difference in any of the foraging trip or diving parameters between the two penguin groups; however, in the calved region the penguins were diving into shallow areas more often than did the other penguins. These results show that Ade ' lie penguins on Inexpressible Island had explored the newly exposed area after calving. We conclude that the penguins respond to newly available habitat following stochastic environmental events, either through information sharing at the colony, and/or by balancing prey availability per capita across the foraging sites. Considering that this penguin breeding area is under investigation for the establishment of an Antarctic Specially Protected Area (ASPA), the results of this study may provide insights for evaluating the ecological importance of this area and formulating an ASPA management plan for conservation.</t>
  </si>
  <si>
    <t>[Park, Seongseop; Kim, Jeong-Hoon; Chung, Hosung; Lee, Won Young] Korea Polar Res Inst, Div Life Sci, Incheon, South Korea; [Park, Seongseop; Kim, Kil Won] Incheon Natl Univ, Div Life Sci, Incheon, South Korea; [Thiebot, Jean-Baptiste] Natl Inst Polar Res, Tokyo, Japan</t>
  </si>
  <si>
    <t>Korea Polar Research Institute (KOPRI); Incheon National University; Research Organization of Information &amp; Systems (ROIS); National Institute of Polar Research (NIPR) - Japan</t>
  </si>
  <si>
    <t>Lee, WY (corresponding author), Korea Polar Res Inst, Div Life Sci, Incheon, South Korea.</t>
  </si>
  <si>
    <t>wonyounglee@kopri.re.kr</t>
  </si>
  <si>
    <t>Thiebot, Jean-Baptiste/0000-0002-4028-1228; Lee, Won Young/0000-0002-5658-6341; Park, Seongseop/0000-0001-5109-0841</t>
  </si>
  <si>
    <t>Korea Polar Research Institute [PG18040, 19040, 20040]; 'Ecosystem Structure and Function of Marine Protected Area (MPA) in Antarctica' project [PM20060]; Ministry of Oceans and Fisheries, Korea [20170336]; National Geographic Society [WW-242R-17]</t>
  </si>
  <si>
    <t>Korea Polar Research Institute(Korea Polar Research Institute of Marine Research Placement (KOPRI)); 'Ecosystem Structure and Function of Marine Protected Area (MPA) in Antarctica' project; Ministry of Oceans and Fisheries, Korea; National Geographic Society(National Geographic Society)</t>
  </si>
  <si>
    <t>Funding for this study was provided by Korea Polar Research Institute (PG18040, 19040, 20040), the 'Ecosystem Structure and Function of Marine Protected Area (MPA) in Antarctica' project (PM20060), funded by the Ministry of Oceans and Fisheries (20170336), Korea, and National Geographic Society (grant reference: WW-242R-17, to JB Thiebot).</t>
  </si>
  <si>
    <t>10.1016/j.envres.2021.111561</t>
  </si>
  <si>
    <t>WB4VZ</t>
  </si>
  <si>
    <t>WOS:000703572500003</t>
  </si>
  <si>
    <t>Xu, GJ; Chen, LQ; Xu, TY; He, SC; Gao, Y</t>
  </si>
  <si>
    <t>Xu, Guojie; Chen, Liqi; Xu, Tianyi; He, Shichang; Gao, Yuan</t>
  </si>
  <si>
    <t>Distributions of water-soluble ions in size-aggregated aerosols over the Southern Ocean and coastal Antarctica</t>
  </si>
  <si>
    <t>SEA-SPRAY AEROSOL; CLOUD CONDENSATION NUCLEI; BOUNDARY-LAYER AEROSOL; PRIMARY MARINE AEROSOL; ATMOSPHERIC AEROSOLS; CHEMICAL-COMPOSITION; BIOLOGICAL-ACTIVITY; DICARBOXYLIC-ACIDS; ENRICHMENT; CHEMISTRY</t>
  </si>
  <si>
    <t>To investigate mass size distributions of water-soluble ions in aerosols in the marine boundary layer (MBL) over the Southern Ocean, size-segregated (0.056-18 mu m in aerodynamic diameter) aerosols were collected on the 28(th) Chinese National Antarctic Research Expedition (CHINARE) cruise from November 2011 to March 2012. Major water-soluble inorganic and organic species in aerosols were analyzed by ion chromatography (IC). Results showed that high loadings of aerosol mass were observed over the western sector of the Southern Ocean, attributed to the high mass loadings of Na+ and Cl- in the particles &gt;1.0 mu m in diameter and high mass loadings of non-sea-salt (nss) SO42- and methanesulfonate (MSA) in the particles &lt;1.0 mu m in diameter. Nss-SO42- and MSA accounted for similar to 40% of the total mass in aerosols with particle size &lt;0.56 mu m over the eastern sector of the Southern Ocean, while it was elevated to more than 60% over the western sector of the Southern Ocean that could be linked with high marine productivity reflected by high chlorophyll-a occurrence in surface waters in that region. MSA/nss-SO42- ratios showed an increasing trend as latitude increased in the southern hemisphere with a dramatic increase south of 60 degrees S and the variation of MSA may shape the spatial distribution of the ratios. High MSA concentration and MSA/nss-SO42- ratios were observed in west Antarctica, especially in the supermicron particles. A bimodal mass size distribution of total Ca2+ with a small peak in the 0.18-0.32 mu m size range was observed, suggesting different sea spray aerosol (SSA) production mechanisms. Nss-SO42-, MSA was mainly enriched in the particle size range of 0.18 mu m to 0.56 mu m. The concentrations of formate and oxalate were low and detected only in certain size particles, mainly in the range &lt;0.56-1.8 mu m. Further studies should be conducted over the remote Southern Ocean to reveal marine ecosystem-aerosol-climate interactions.</t>
  </si>
  <si>
    <t>[Xu, Guojie] Nanjing Univ Informat Sci &amp; Technol, China Meteorol Adm, Key Lab Aerosol Cloud Precipitat, 219 Ningliu Rd, Nanjing 210044, Jiangsu, Peoples R China; [Xu, Guojie; Xu, Tianyi; Gao, Yuan] Rutgers State Univ, Dept Earth &amp; Environm Sci, Newark, NJ 07102 USA; [Chen, Liqi] Minist Nat Resources MNR, Inst Oceanog TIO 3, Key Lab Global Change &amp; Marine Atmospher Chem GCM, Xiamen 361005, Peoples R China; [He, Shichang] State Ocean Adm, Sansha Marine Envimnmental Monitoring Ctr, Haikou 570311, Hainan, Peoples R China</t>
  </si>
  <si>
    <t>China Meteorological Administration; Nanjing University of Information Science &amp; Technology; Rutgers University System; Rutgers University New Brunswick; Rutgers University Newark; Ministry of Natural Resources of the People's Republic of China</t>
  </si>
  <si>
    <t>Xu, GJ (corresponding author), Nanjing Univ Informat Sci &amp; Technol, China Meteorol Adm, Key Lab Aerosol Cloud Precipitat, 219 Ningliu Rd, Nanjing 210044, Jiangsu, Peoples R China.;Xu, GJ (corresponding author), Rutgers State Univ, Dept Earth &amp; Environm Sci, Newark, NJ 07102 USA.</t>
  </si>
  <si>
    <t>hyssxuguojie@163.com</t>
  </si>
  <si>
    <t>Xu, Guojie/E-8772-2012</t>
  </si>
  <si>
    <t>Gao, Yuan/0000-0002-1781-8971; Xu, Guojie/0000-0003-1809-5522</t>
  </si>
  <si>
    <t>National Natural Science Foundation of China [42006190]; Key Laboratory of Global Change and Marine-Atmospheric Chemistry, the Ministry of Natural Resources (MNR) [GCMAC1811]; Natural Science Foundation of the Jiangsu Higher Education Institutions of China [19KJB170020]; Chinese Projects for Investigations and Assessments of the Arctic and Antarctic (CHINARE2010-2020); Ministry of Science and Technology (MOST) [2009DFA22920]; US National Science Foundation [0944589, 1341494]; Chinese Arctic and Antarctic Administration (CAA); Third Institute of Oceanography (TIO) of MNR</t>
  </si>
  <si>
    <t>National Natural Science Foundation of China(National Natural Science Foundation of China (NSFC)); Key Laboratory of Global Change and Marine-Atmospheric Chemistry, the Ministry of Natural Resources (MNR); Natural Science Foundation of the Jiangsu Higher Education Institutions of China(National Natural Science Foundation of China (NSFC)); Chinese Projects for Investigations and Assessments of the Arctic and Antarctic (CHINARE2010-2020); Ministry of Science and Technology (MOST)(Ministry of Science and Technology, China); US National Science Foundation(National Science Foundation (NSF)); Chinese Arctic and Antarctic Administration (CAA); Third Institute of Oceanography (TIO) of MNR</t>
  </si>
  <si>
    <t>This work was funded by the National Natural Science Foundation of China (42006190), the open fund by the Key Laboratory of Global Change and Marine-Atmospheric Chemistry, the Ministry of Natural Resources (MNR) (GCMAC1811), and the Natural Science Foundation of the Jiangsu Higher Education Institutions of China (19KJB170020). Antarctic cruise shipboard aerosol sampling and laboratory sample analysis were jointly sponsored by Chinese Projects for Investigations and Assessments of the Arctic and Antarctic (CHINARE2010-2020) and Chinese International Cooperation Projects (2009DFA22920) from the Ministry of Science and Technology (MOST) to L. C. and by the US National Science Foundation Awards 0944589 and 1341494 to Y. G. The authors thank Jianqiong Zhan for assistance with IC lab analysis and Songyun Fan for data quality checking. The authors also thank the Chinese Arctic and Antarctic Administration (CAA) and the Third Institute of Oceanography (TIO) of MNR for their support. This work would not have been possible without the dedication of the crew of R/V Xue Long at sea.</t>
  </si>
  <si>
    <t>10.1039/d1em00089f</t>
  </si>
  <si>
    <t>WOS:000678160600001</t>
  </si>
  <si>
    <t>Wang, YT; Ding, MH; Reijmer, CH; Smeets, PCJP; Hou, SG; Xiao, CD</t>
  </si>
  <si>
    <t>Wang, Yetang; Ding, Minghu; Reijmer, Carleen H.; Smeets, Paul C. J. P.; Hou, Shugui; Xiao, Cunde</t>
  </si>
  <si>
    <t>The AntSMB dataset: a comprehensive compilation of surface mass balance field observations over the Antarctic Ice Sheet</t>
  </si>
  <si>
    <t>DRONNING MAUD LAND; SNOW ACCUMULATION; EAST ANTARCTICA; SPATIAL VARIABILITY; WEST ANTARCTICA; ATMOSPHERIC REANALYSES; CLIMATE VARIABILITY; FIRN-CORE; RADAR; STATION</t>
  </si>
  <si>
    <t>A comprehensive compilation of observed records is needed for accurate quantification of surface mass balance (SMB) over Antarctica, which is a key challenge for calculation of Antarctic contribution to global sea level change. Here, we present the AntSMB dataset: a new quality-controlled dataset of a variety of published field measurements of the Antarctic Ice Sheet SMB by means of stakes, snow pits, ice cores, ultrasonic sounders, and ground-penetrating radar (GPR). The dataset collects 3579 individual multi-year-averaged observations, 687 annually resolved time series from 675 sites extending back over the past 1000 years, and daily resolved records covering 245 years from 32 sites across the whole ice sheet. These records are derived from ice cores, snow pits, stakes/stake farms, and ultrasonic sounders. Furthermore, GPR multi-year-averaged measurements are included in the dataset, covering an area of 22 025 km(2). This is the first ice-sheet-scale compilation of SMB records at different temporal (daily, annual, and multi-year) resolutions from multiple types of measurement and is available at https://doi.org/10.11888/Glacio.tpdc.271148 (Wang et al., 2021). The database has potentially wide applications such as the investigation of temporal and spatial variability in SMB, model validation, assessment of remote sensing retrievals, and data assimilation As a case of model estimation, records of the AntSMB dataset are used to assess the performance of ERAS for temporal and spatial variability in SMB over Antarctica.</t>
  </si>
  <si>
    <t>[Wang, Yetang] Shandong Normal Univ, Sch Geog &amp; Environm, Jinan 250014, Peoples R China; [Ding, Minghu] Chinese Acad Meteorol Sci, Tibetan Plateau &amp; Polar Meteorol Inst, Beijing 100081, Peoples R China; [Reijmer, Carleen H.; Smeets, Paul C. J. P.] Univ Utrecht, Inst Marine &amp; Atmospher Res Utrecht, Utrecht, Netherlands; [Hou, Shugui] Shanghai Jiao Tong Univ, Sch Oceanog, Shanghai 200240, Peoples R China; [Xiao, Cunde] Beijing Normal Univ, State Key Lab Earth Surface Proc &amp; Resource Ecol, Beijing 100875, Peoples R China</t>
  </si>
  <si>
    <t>Shandong Normal University; China Meteorological Administration; Chinese Academy of Meteorological Sciences (CAMS); Utrecht University; Shanghai Jiao Tong University; Beijing Normal University</t>
  </si>
  <si>
    <t>Wang, YT (corresponding author), Shandong Normal Univ, Sch Geog &amp; Environm, Jinan 250014, Peoples R China.;Xiao, CD (corresponding author), Beijing Normal Univ, State Key Lab Earth Surface Proc &amp; Resource Ecol, Beijing 100875, Peoples R China.</t>
  </si>
  <si>
    <t>yetangwang@sdnu.edu.cn; cdxiao@bnu.edu.cn</t>
  </si>
  <si>
    <t>Ding, Minghu/AFU-3600-2022; Reijmer, Carleen H/G-8736-2011</t>
  </si>
  <si>
    <t>Ding, Minghu/0000-0002-1142-6598; Reijmer, Carleen H/0000-0001-8299-3883; Hou, Shugui/0000-0002-0905-3542</t>
  </si>
  <si>
    <t>Strategic Priority Research Program of the Chinese Academy of Sciences [XDA19070103]; National Natural Science Foundation of China [41971081]; Project for Outstanding Youth Innovation Team in the Universities of Shandong Province [2019KJH011]; Outstanding Youth Fund of Shandong Provincial Universities [ZR2016JL030]</t>
  </si>
  <si>
    <t>Strategic Priority Research Program of the Chinese Academy of Sciences(Chinese Academy of Sciences); National Natural Science Foundation of China(National Natural Science Foundation of China (NSFC)); Project for Outstanding Youth Innovation Team in the Universities of Shandong Province; Outstanding Youth Fund of Shandong Provincial Universities</t>
  </si>
  <si>
    <t>Funding for this work was provided by the Strategic Priority Research Program of the Chinese Academy of Sciences (grant no. XDA19070103), the National Natural Science Foundation of China (grant no. 41971081), the Project for Outstanding Youth Innovation Team in the Universities of Shandong Province (grant no. 2019KJH011), and the Outstanding Youth Fund of Shandong Provincial Universities (grant no. ZR2016JL030).</t>
  </si>
  <si>
    <t>JUN 29</t>
  </si>
  <si>
    <t>10.5194/essd-13-3057-2021</t>
  </si>
  <si>
    <t>TD7OC</t>
  </si>
  <si>
    <t>WOS:000669510400002</t>
  </si>
  <si>
    <t>Gill-Olivas, B; Telling, J; Tranter, M; Skidmore, M; Christner, B; O'Doherty, S; Priscu, J</t>
  </si>
  <si>
    <t>Gill-Olivas, Beatriz; Telling, Jon; Tranter, Martyn; Skidmore, Mark; Christner, Brent; O'Doherty, Simon; Priscu, John</t>
  </si>
  <si>
    <t>Subglacial erosion has the potential to sustain microbial processes in Subglacial Lake Whillans, Antarctica</t>
  </si>
  <si>
    <t>ACTIVE RESERVOIR BENEATH; HAUT-GLACIER-DAROLLA; ICE STREAM-B; HYDROGEN-PEROXIDE; WEST ANTARCTICA; FLUID INCLUSIONS; H-2 GENERATION; OXIDATION; METHANE; PYRITE</t>
  </si>
  <si>
    <t>Subglacial Lake Whillans lies below around 800m of Antarctic ice and is isolated from fresh sources of photosynthetic organic matter to sustain life. The diverse microbial ecosystems within the lake and underlying sediments are therefore dependent on a combination of relict, overridden, marine-derived organic matter and mineral-derived energy. Here, we conduct experiments to replicate subglacial erosion involving both gentle and high-energy crushing of Subglacial Lake Whillans sediments and the subsequent addition of anoxic water. We find that substantial quantities of reduced species, including hydrogen, methane, acetate and ammonium and oxidised species such as hydrogen peroxide, sulfate and carbon dioxide are released. We propose that the concomitant presence of both hydrogen and hydrogen peroxide, alongside high concentrations of mineral surface radicals, suggests that the splitting of water on freshly abraded mineral surfaces increases the concentrations of redox pairs from rock-water reactions and could provide a mechanism to augment the energy available to microbial ecosystems. The crushing and wetting of rocks by erosion under glaciers produces chemical compounds that could fuel microbial activity, as demonstrated by experiments on material collected from Subglacial Lake Whillans in Antarctica</t>
  </si>
  <si>
    <t>[Gill-Olivas, Beatriz] Univ Bristol, Bristol Glaciol Ctr, Bristol, Avon, England; [Telling, Jon] Newcastle Univ, Sch Nat &amp; Environm Sci, Newcastle Upon Tyne, Tyne &amp; Wear, England; [Tranter, Martyn] Aarhus Univ, Dept Environm Sci, Roskilde, Denmark; [Skidmore, Mark] Montana State Univ, Dept Earth Sci, Bozeman, MT 59717 USA; [Christner, Brent] Univ Florida, Dept Microbiol &amp; Cell Sci, Gainesville, FL 32611 USA; [O'Doherty, Simon] Univ Bristol, Atmospher Chem Res Grp, Bristol, Avon, England; [Priscu, John] Montana State Univ, Dept Land Resources &amp; Environm Sci, Bozeman, MT 59717 USA</t>
  </si>
  <si>
    <t>University of Bristol; Newcastle University - UK; Aarhus University; Montana State University System; Montana State University Bozeman; State University System of Florida; University of Florida; University of Bristol; Montana State University System; Montana State University Bozeman</t>
  </si>
  <si>
    <t>Gill-Olivas, B (corresponding author), Univ Bristol, Bristol Glaciol Ctr, Bristol, Avon, England.</t>
  </si>
  <si>
    <t>b.gillolivas@bristol.ac.uk</t>
  </si>
  <si>
    <t>Telling, Jon/HZJ-3880-2023; Tranter, Martyn/E-3722-2010</t>
  </si>
  <si>
    <t>Christner, Brent/0000-0002-9894-7360; Gill-Olivas, Beatriz/0000-0001-9093-3776; Tranter, Martyn/0000-0003-2071-3094</t>
  </si>
  <si>
    <t>EPSRC; NERC [NE/S001670/1, CRUSH2LIFE]; Whillans Ice Stream Subglacial Access Research Drilling (WISSARD) project (NSF) [OPP- 0838933, 1346250, 1439774]; Directorate For Geosciences; Division Of Polar Programs [1346250] Funding Source: National Science Foundation; NERC [NE/S001670/1] Funding Source: UKRI</t>
  </si>
  <si>
    <t>EPSRC(UK Research &amp; Innovation (UKRI)Engineering &amp; Physical Sciences Research Council (EPSRC)); NERC(UK Research &amp; Innovation (UKRI)Natural Environment Research Council (NERC)); Whillans Ice Stream Subglacial Access Research Drilling (WISSARD) project (NSF); Directorate For Geosciences; Division Of Polar Programs(National Science Foundation (NSF)NSF - Directorate for Geosciences (GEO)); NERC(UK Research &amp; Innovation (UKRI)Natural Environment Research Council (NERC))</t>
  </si>
  <si>
    <t>The research was supported by an EPSRC studentship to Beatriz Gill Olivas and NERC grant NE/S001670/1, CRUSH2LIFE. The Whillans Ice Stream Subglacial Access Research Drilling (WISSARD) project (NSF, grants OPP- 0838933, 1346250 and 1439774) kindly provided the subglacial lake sediment samples used in this work.</t>
  </si>
  <si>
    <t>10.1038/s43247-021-00202-x</t>
  </si>
  <si>
    <t>TE4OZ</t>
  </si>
  <si>
    <t>WOS:000669992000001</t>
  </si>
  <si>
    <t>Liu, XJ; Peng, HY; Xie, JX; Hu, YY; Liu, FL; Wang, XY; Yang, ST; Liu, ZL; Zhu, QB; Tan, SW</t>
  </si>
  <si>
    <t>Liu, Xiangjian; Peng, Haiyan; Xie, Jingxian; Hu, Yuying; Liu, Fenglin; Wang, Xueying; Yang, Shuting; Liu, Zhaolin; Zhu, Qubo; Tan, Songwen</t>
  </si>
  <si>
    <t>Methods in Biosynthesis and Characterization of the Antifreeze Protein (AFP) for Potential Blood Cryopreservation</t>
  </si>
  <si>
    <t>JOURNAL OF NANOMATERIALS</t>
  </si>
  <si>
    <t>CELLS; TRANSFUSION; POLYMER; INHIBITION; TREHALOSE; APOPTOSIS; STEP</t>
  </si>
  <si>
    <t>The cryopreservation of red blood cells (RBCs) is very important to modern medicine. Cryoprotectants (CPAs) such as dimethyl sulfoxide (DMSO), proline, trehalose, and polyvinyl alcohol (PVA) have been used in the cryopreservation of RBCs, but the results are not satisfactory. Marinomonas primoryensis antifreeze protein (MpAFP) is a Ca2+-dependent AFP derived from Antarctic bacteria, which can prevent bacteria from freezing under extremely cold conditions and may be suitable for cryopreservation of RBCs. The active region of MpAFP is located in region IV and is called MPAFP_RIV. In this paper, the gene of region IV of MpAFP is introduced into BL21 (DE3) competent cells, and MpAFP_RIV is obtained after culture, separation, and purification. The improved splat assay is proposed, and this method first proves that MpAFP_RIV has strong ice recrystallization inhibition (IRI) activity without Ca2+. The improved splat assay is easier to operate and lower the cost compared to the traditional one, and the results are consistent with the classic sucrose sandwich assay, proving that this method can accurately detect IRI activity. The feasibility of MPAFP_RIV combined with classical CPA for cryopreservation of RBCs and the methods to increase the yield of MPAFP_RIV are proposed.</t>
  </si>
  <si>
    <t>[Liu, Xiangjian; Xie, Jingxian; Hu, Yuying; Liu, Fenglin; Wang, Xueying; Yang, Shuting; Zhu, Qubo; Tan, Songwen] Cent South Univ, Xiangya Sch Pharmaceut Sci, Changsha 410013, Peoples R China; [Peng, Haiyan] First Peoples Hosp Chenzhou, Dept Stomatol, Chenzhou 423000, Peoples R China; [Liu, Zhaolin] Xinhua Peoples Hosp, Dept Dermatol, Loudi 417600, Peoples R China</t>
  </si>
  <si>
    <t>Central South University</t>
  </si>
  <si>
    <t>Zhu, QB; Tan, SW (corresponding author), Cent South Univ, Xiangya Sch Pharmaceut Sci, Changsha 410013, Peoples R China.</t>
  </si>
  <si>
    <t>biqbz@hotmail.com; songwen.tan@csu.edu.cn</t>
  </si>
  <si>
    <t>liu, zhao/GXV-6141-2022; TAN, SONGWEN/C-7216-2019; Zhu, Qubo/ACT-7180-2022; wang, xueying/HTM-5140-2023; tan, songwen/H-5570-2017</t>
  </si>
  <si>
    <t>wang, xueying/0000-0002-0306-1218; Liu, Fenglin/0000-0002-2891-9743; tan, songwen/0000-0003-0698-4410; Tan, Songwen/0000-0002-8443-6842; Liu, Fenglin/0000-0003-3940-892X</t>
  </si>
  <si>
    <t>HINDAWI LTD</t>
  </si>
  <si>
    <t>ADAM HOUSE, 3RD FLR, 1 FITZROY SQ, LONDON, W1T 5HF, ENGLAND</t>
  </si>
  <si>
    <t>1687-4110</t>
  </si>
  <si>
    <t>1687-4129</t>
  </si>
  <si>
    <t>J NANOMATER</t>
  </si>
  <si>
    <t>J. Nanomater.</t>
  </si>
  <si>
    <t>JUN 28</t>
  </si>
  <si>
    <t>10.1155/2021/9932538</t>
  </si>
  <si>
    <t>Nanoscience &amp; Nanotechnology; Materials Science, Multidisciplinary</t>
  </si>
  <si>
    <t>Science &amp; Technology - Other Topics; Materials Science</t>
  </si>
  <si>
    <t>TL0XM</t>
  </si>
  <si>
    <t>WOS:000674578100001</t>
  </si>
  <si>
    <t>Kang, B; Pecl, GT; Lin, LS; Sun, P; Zhang, PD; Li, Y; Zhao, LL; Peng, X; Yan, YR; Shen, CY; Niu, WT</t>
  </si>
  <si>
    <t>Kang, Bin; Pecl, Gretta T.; Lin, Longshan; Sun, Peng; Zhang, Peidong; Li, Yuan; Zhao, Linlin; Peng, Xin; Yan, Yunrong; Shen, Chunyan; Niu, Wentao</t>
  </si>
  <si>
    <t>Climate change impacts on China's marine ecosystems</t>
  </si>
  <si>
    <t>China seas; Climate change; Environmental change; Fisheries; Habitat; Threatened species</t>
  </si>
  <si>
    <t>CROAKER LARIMICHTHYS-POLYACTIS; HARMFUL ALGAL BLOOMS; SOUTHERN YELLOW SEA; CORAL-REEFS; BOHAI SEA; OCEAN ACIDIFICATION; COASTAL WETLANDS; TAIWAN STRAIT; POPULATION-STRUCTURE; INVASIVE LIONFISH</t>
  </si>
  <si>
    <t>Globally, climate change impacts on marine ecosystems are evident in physical, chemical, and biological processes, and are generally more extensive in faster warming regions. China makes the largest contribution of any country to global fisheries production and has experienced severe declines in marine health and biodiversity, and so the current and potential impacts of marine climate change are a large concern for both fisheries and biodiversity. China also has marine regions warming in the top 10% globally, necessitating a thorough understanding of how marine systems are changing so that appropriate corresponding countermeasures can be identified and prioritized. Here, we review and collate what is currently understood about documented and projected responses of marine systems to climate change in Chinese coasts and oceans, from physical, biological, and ecological perspectives, through to impacts on key ecosystems. Our results show extensive change attributed to climate change throughout Chinese marine systems, including red tide bloom events that have been recorded an order of magnitude more frequently in recent decades. Ocean acidification has led to the increased mortality of marine calcifying organisms through effects on the biomineralization process and physiological functions. Moreover, many species have been documented undergoing extensive changes in geographic distribution, with potential implications for species interactions and trophic food webs, as well as important habitats like coral reefs, seagrass, and mangroves. Some constructive laws and actions have been introduced in response to these climate-driven changes, such as actions to reduce pollution and increase artificial propagation and replanting of habitat species, however, addressing the impacts of marine climate change remains a considerable and escalating challenge.</t>
  </si>
  <si>
    <t>[Kang, Bin; Sun, Peng; Zhang, Peidong] Ocean Univ China, Minist Educ, Key Lab Mariculture, Qingdao, Peoples R China; [Pecl, Gretta T.] Univ Tasmania, Inst Marine &amp; Antarctic Studies, Hobart, Tas, Australia; [Pecl, Gretta T.] Univ Tasmania, Ctr Marine Socioecol, Hobart, Tas, Australia; [Lin, Longshan; Li, Yuan; Niu, Wentao] Minist Nat Resources, Inst Oceanog 3, Xiamen, Peoples R China; [Zhao, Linlin] Minist Nat Resources, Inst Oceanog 1, Qingdao, Peoples R China; [Peng, Xin] Zhejiang Mariculture Res Inst, Wenzhou, Peoples R China; [Yan, Yunrong; Shen, Chunyan] Guangdong Ocean Univ, Coll Fisheries, Zhanjiang, Peoples R China</t>
  </si>
  <si>
    <t>Ocean University of China; University of Tasmania; University of Tasmania; Ministry of Natural Resources of the People's Republic of China; Third Institute of Oceanography, Ministry of Natural Resources; Ministry of Natural Resources of the People's Republic of China; First Institute of Oceanography, Ministry of Natural Resources; Guangdong Ocean University</t>
  </si>
  <si>
    <t>Kang, B (corresponding author), Ocean Univ China, Minist Educ, Key Lab Mariculture, Qingdao, Peoples R China.;Pecl, GT (corresponding author), Univ Tasmania, Inst Marine &amp; Antarctic Studies, Hobart, Tas, Australia.</t>
  </si>
  <si>
    <t>binkang@163.com; Gretta.Pecl@utas.edu.au</t>
  </si>
  <si>
    <t>Pecl, Gretta/D-7267-2011; liu, sha/JXL-6600-2024; Zhang, Peidong/AAA-7564-2022</t>
  </si>
  <si>
    <t>Pecl, Gretta/0000-0003-0192-4339; Zhang, Peidong/0000-0003-3243-691X</t>
  </si>
  <si>
    <t>National Natural Science Foundation of China [U20A2087, 41976091]; Fundamental Research Funds for the Central Universities [202012023]</t>
  </si>
  <si>
    <t>National Natural Science Foundation of China(National Natural Science Foundation of China (NSFC)); Fundamental Research Funds for the Central Universities(Fundamental Research Funds for the Central Universities)</t>
  </si>
  <si>
    <t>We thank William Cheung for contributing to the workshop outlining this paper. We thank Cecilia Villanueva (IMAS UTAS) and Blake Spady for reviewing an earlier draft. This work was funded by National Natural Science Foundation of China (U20A2087, 41976091). We also give thanks for support from the Fundamental Research Funds for the Central Universities (202012023).</t>
  </si>
  <si>
    <t>10.1007/s11160-021-09668-6</t>
  </si>
  <si>
    <t>TQ6RX</t>
  </si>
  <si>
    <t>WOS:000667622000001</t>
  </si>
  <si>
    <t>Green, DB; Bestley, S; Corney, SP; Trebilco, R; Lehodey, P; Hindell, MA</t>
  </si>
  <si>
    <t>Green, David B.; Bestley, Sophie; Corney, Stuart P.; Trebilco, Rowan; Lehodey, Patrick; Hindell, Mark A.</t>
  </si>
  <si>
    <t>Modeling Antarctic Krill Circumpolar Spawning Habitat Quality to Identify Regions With Potential to Support High Larval Production</t>
  </si>
  <si>
    <t>Breeding habitat; connectivity; ecosystem modeling; Euphausia superba; management; Southern Ocean</t>
  </si>
  <si>
    <t>EUPHAUSIA-SUPERBA; SCOTIA SEA; LIFE-HISTORY; RECRUITMENT; GROWTH; TEMPERATURE; PENINSULA; ECOSYSTEM; FISHERY; OCEAN</t>
  </si>
  <si>
    <t>Antarctic krill (krill) are important within Southern Ocean ecosystems and support an expanding fishery. Toward understanding krill's response to environmental change, it is necessary to identify regions that support high krill larval production (spawning habitat). We develop a mechanistic model combining thermal and food requirements for krill egg production, with predation pressure post-spawning, to predict regions of high-quality spawning habitat. We optimize our model regionally and generate circumpolar predictions of spawning habitat quality. Our results indicate the southwest Atlantic accounts for almost half of all predicted high-quality spawning habitat. Small-scale management units (SSMUs) around the Antarctic Peninsula had high coverage of high-quality spawning habitat. In contrast, the remaining SSMUs (except around South Georgia) were poorly covered, suggestive of population sinks reliant on input from external sources upstream. This implies strong potential for downstream impacts of fishing in key spawning areas, with implications for management of SSMUs and the krill fishery.</t>
  </si>
  <si>
    <t>[Green, David B.; Bestley, Sophie; Corney, Stuart P.; Hindell, Mark A.] Univ Tasmania, Inst Marine &amp; Antarct Studies, Hobart, Tas, Australia; [Bestley, Sophie; Trebilco, Rowan] CSIRO Oceans &amp; Atmosphere, Hobart, Tas, Australia; [Trebilco, Rowan] Univ Tasmania, Ctr Marine Socioecol, Hobart, Tas, Australia; [Lehodey, Patrick] Collecte Localisat Satellites, Ramonville St Agne, France; [Lehodey, Patrick] Pacific Community, Ocean Fisheries Programme, Noumea, New Caledonia</t>
  </si>
  <si>
    <t>University of Tasmania; Commonwealth Scientific &amp; Industrial Research Organisation (CSIRO); University of Tasmania</t>
  </si>
  <si>
    <t>Green, DB (corresponding author), Univ Tasmania, Inst Marine &amp; Antarct Studies, Hobart, Tas, Australia.</t>
  </si>
  <si>
    <t>david.green@utas.edu.au</t>
  </si>
  <si>
    <t>Trebilco, Rowan/I-5311-2012; Hindell, Mark A/K-1131-2013; Bestley, Sophie/E-9521-2013; Green, David/E-8985-2019</t>
  </si>
  <si>
    <t>Trebilco, Rowan/0000-0001-9712-8016; Lehodey, Patrick/0000-0002-2753-4796; Bestley, Sophie/0000-0001-9342-669X; Green, David/0000-0002-0346-3129; Hindell, Mark/0000-0002-7823-7185; Corney, Stuart/0000-0002-8293-0863</t>
  </si>
  <si>
    <t>European H2020 International Cooperation project MESOPP [692173]; Tasmania Graduate Research Scholarship; Australian Research Council under DECRA [DE180100828]; Australian Research Council [DE180100828] Funding Source: Australian Research Council; H2020 Societal Challenges Programme [692173] Funding Source: H2020 Societal Challenges Programme</t>
  </si>
  <si>
    <t>European H2020 International Cooperation project MESOPP; Tasmania Graduate Research Scholarship; Australian Research Council under DECRA(Australian Research Council); Australian Research Council(Australian Research Council); H2020 Societal Challenges Programme(Horizon 2020European Union (EU)H2020 Societal Challenges Programme)</t>
  </si>
  <si>
    <t>This study received support from the European H2020 International Cooperation project MESOPP No 692173 (Mesopelagic Southern Ocean Prey and Predators, www.mesopp.eu/).D.B.Green was funded through a Tasmania Graduate Research Scholarship. S. Bestley was supported by the Australian Research Council under DECRA award DE180100828. The authors thank Inna Senina and Olivier Titaud for providing initial scripts and technical assistance. Andrew Constable and So Kawaguchi provided helpful discussions during conceptualization. The authors also thank two anonymous reviewers who provided useful comments that improved our manuscript.</t>
  </si>
  <si>
    <t>e2020GL091206</t>
  </si>
  <si>
    <t>10.1029/2020GL091206</t>
  </si>
  <si>
    <t>TC4PQ</t>
  </si>
  <si>
    <t>WOS:000668622800027</t>
  </si>
  <si>
    <t>Alp, B</t>
  </si>
  <si>
    <t>Alp, Bill</t>
  </si>
  <si>
    <t>Captain Scott changed his mind: The dogs shall not go to the South Pole</t>
  </si>
  <si>
    <t>POLAR RECORD</t>
  </si>
  <si>
    <t>Dogs to the South Pole; Scott's transport strategy; Antarctic sledge dogs; Scott; Captain Scott's plans</t>
  </si>
  <si>
    <t>In September 1909 Captain Scott announced his intention to utilise dog transport in his dash for the Pole - this being his intention until as late as February 1911. In May 1911, Scott lectured expedition members about a new plan for their Southern Journey. His lecture notes include detailed calculations, based solely on ponies and men hauling the sledges - dogs and motor sledges were now surplus to requirements. In less than three months, Scott had supplanted his published scheme of advance. This article investigates evidence relating to Scott's change of mind. A substantial amount of research has been undertaken and a credible explanation emerges. The First Depot Journey, with its loss of ponies, inadequate animal nutrition (both dogs and ponies) and crevasse incident wrecked Scott's original scheme of advance. When he commenced detailed planning in April 1911, it became apparent his dogs could not reach the Pole. Scott's leadership technique for getting his men to understand and support the new transport plan is examined and its influence on current perceptions of the expedition and its men is investigated.</t>
  </si>
  <si>
    <t>bill.alp@xtra.co.nz</t>
  </si>
  <si>
    <t>Alp, William James/0000-0003-4851-1232</t>
  </si>
  <si>
    <t>0032-2474</t>
  </si>
  <si>
    <t>1475-3057</t>
  </si>
  <si>
    <t>POLAR REC</t>
  </si>
  <si>
    <t>POLAR REC.</t>
  </si>
  <si>
    <t>e26</t>
  </si>
  <si>
    <t>10.1017/S0032247421000164</t>
  </si>
  <si>
    <t>Ecology; Environmental Sciences</t>
  </si>
  <si>
    <t>TA4PC</t>
  </si>
  <si>
    <t>WOS:000667230200001</t>
  </si>
  <si>
    <t>Swart, KA; Oleynik, S; Martínez-García, A; Haug, GH; Sigman, DM</t>
  </si>
  <si>
    <t>Swart, Keiran A.; Oleynik, Sergey; Martinez-Garcia, Alfredo; Haug, Gerald H.; Sigman, Daniel M.</t>
  </si>
  <si>
    <t>Correlation between the carbon isotopic composition of planktonic foraminifera-bound organic matter and surface water pCO2 across the equatorial Pacific</t>
  </si>
  <si>
    <t>Foraminifera; Isotopes; Carbon fixation; CO2</t>
  </si>
  <si>
    <t>STABLE-ISOTOPES; GROWTH-RATE; PHYTOPLANKTON GROWTH; MARINE-PHYTOPLANKTON; NITROGEN-FIXATION; CO2 CONCENTRATION; INORGANIC CARBON; DISSOLVED CO2; CELL-SIZE; FRACTIONATION</t>
  </si>
  <si>
    <t>For times prior to those represented by the air trapped in Antarctic ice core records, the concentration of CO2 in the atmosphere must be reconstructed using geochemical proxies. The delta C-13 of particulate organic carbon (POC) produced in ocean surface waters has previously been observed to covary with the concentration of CO2 in the water. Relative to bulk sedimentary organic carbon, the minute quantity of organic matter trapped within the shell walls of planktonic foraminifera, foraminifera-bound organic matter (FBOM), has the potential advantage of being protected from diagenetic alteration and contamination by allochthonous organic matter. Here, with new protocols and instrumentation, FBOM-delta C-13 is investigated as a potential proxy for the aqueous CO2 concentration ([CO2(aq)]) and thus the partial pressure of CO2 (pCO(2)) in past surface waters. We achieve a full method precision for FBOM-delta C-13 of 0.4 parts per thousand (1SD) on sample sizes of 20 nanomole C by adding a cryofocus step, a helium sheath flow to the oxidation and reduction reactors, and other modifications to an elemental analyzer and by introducing new approaches to reduce contamination during sample preparation. FBOM-delta C-13 was analyzed in core-top sediments from the eastern tropical Pacific that span the equatorial maximum in surface water [CO2(aq)]. FBOM-delta C-13 is lower than predicted for marine phytoplankton, consistent with a substantial lipid component in FBOM. Anticorrelation is observed between FBOM-delta C-13 and climatological [CO2(aq)]; the relationship is statistically significant (P &lt; 0.05) in mixed-species samples and in 4 out of 5 picked species. The slope of the FBOM-delta C-13:[CO2(aq)] anticorrelation is equivalent to or greater than has been measured for the delta C-13 of suspended POC in the surface ocean. Based on the few species analyzed in this study, endosymbiont-bearing and -barren species do not clearly differ from each other either in terms of their average value of FBOM-delta C-13 or the strength of the FBOM-delta C-13:[CO2(aq)] anticorrelation, despite the recognized importance of the photosynthetic endosymbionts as a source of organic carbon for the symbiotic species. Correcting for variations in the delta C-13 of CO2(aq) and phytoplankton growth rate did not improve the significance of the FBOM-delta C-13:[CO2(aq)] anticorrelation. The findings support the possibility that FBOM-delta C-13 can be used as a paleoceanographic proxy for surface water [CO2(aq)] and thus atmospheric pCO(2). (C) 2021 Elsevier Ltd. All rights reserved.</t>
  </si>
  <si>
    <t>[Swart, Keiran A.; Oleynik, Sergey; Sigman, Daniel M.] Princeton Univ, Dept Geosci, Princeton, NJ 08540 USA; [Swart, Keiran A.; Martinez-Garcia, Alfredo; Haug, Gerald H.] Max Planck Inst Chem, Dept Climate Geochem, D-55128 Mainz, Germany; [Haug, Gerald H.] Swiss Fed Inst Technol, Dept Earth Sci, CH-8092 Zurich, Switzerland</t>
  </si>
  <si>
    <t>Princeton University; Max Planck Society; Swiss Federal Institutes of Technology Domain; ETH Zurich</t>
  </si>
  <si>
    <t>Swart, KA (corresponding author), Princeton Univ, Dept Geosci, Princeton, NJ 08540 USA.</t>
  </si>
  <si>
    <t>keiran@alumni.princeton.edu</t>
  </si>
  <si>
    <t>Sigman, Daniel M./IYJ-2613-2023; Sigman, Daniel M./A-2649-2008; Martinez-Garcia, Alfredo/A-6244-2010</t>
  </si>
  <si>
    <t>Sigman, Daniel M./0000-0002-7923-1973; Martinez-Garcia, Alfredo/0000-0002-7206-5079</t>
  </si>
  <si>
    <t>Princeton University; US NSF [OCE-1060947]; Max Planck Society</t>
  </si>
  <si>
    <t>Princeton University(Princeton University); US NSF(National Science Foundation (NSF)); Max Planck Society(Max Planck Society)</t>
  </si>
  <si>
    <t>This research used samples provided by the RSMAS core repository (with special thanks to Dr. Larry C. Peterson) . The World Climate Research Program's Working Group on Coupled Modeling, which is responsible for CMIP, is acknowledged for their publicly available model output. Funding: This work was supported by the Dean for Research Innovation Fund of Princeton University and US NSF grant OCE-1060947 (D.M.S) , and by the Max Planck Society (G.H.H.) . Author Contributions: D.M.S. conceptualized the study, in consultation with A.M.G and G.H.H.; S.O., K.A.S., and D.M.S. designed and built instrumentation, with input from A.M.G.; K.A.S. developed methodology; K.A.S carried out the carbon and oxygen isotopic measurements; K.A.S. and D.M.S. performed data analysis. K.A.S. and D. M.S prepared the first draft of the manuscript. All authors contributed to the preparation of the final manuscript. Competing interests: The authors have no competing interests to declare.</t>
  </si>
  <si>
    <t>10.1016/j.gca.2021.03.007</t>
  </si>
  <si>
    <t>TB2JW</t>
  </si>
  <si>
    <t>WOS:000667773900004</t>
  </si>
  <si>
    <t>Eayrs, C; Li, XC; Raphael, MN; Holland, DM</t>
  </si>
  <si>
    <t>Eayrs, Clare; Li, Xichen; Raphael, Marilyn N.; Holland, David M.</t>
  </si>
  <si>
    <t>Rapid decline in Antarctic sea ice in recent years hints at future change</t>
  </si>
  <si>
    <t>VARIABILITY; CLIMATE; TRENDS; OCEAN; CIRCULATION; DRIVERS; IMPACTS; SCIENCE; WINDS; LAND</t>
  </si>
  <si>
    <t>Following years of record highs, an unexpected and precipitous reduction in Antarctic sea-ice extent started in 2016. This decline, lasting three years, was the most pronounced of the satellite era, equivalent to 30 years of sea-ice loss in the Arctic. Here, we synthesize recent work showing this sea-ice reduction probably resulted from the interaction of a decades-long ocean warming trend and an early spring southward advection of atmospheric heat, with an exceptional weakening of the Southern Hemisphere mid-latitude westerlies in late spring. We discuss what this event reveals about the underlying atmospheric and oceanic dynamical processes that control sea ice in the region and the ways in which shifting climate variability and remote forcings, especially from the tropics, influence these processes. Knowledge gaps show that further work is needed to improve future projections of changes in one of the largest seasonal phenomena on the planet. The combined effects of decades-long warming and particularly vigorous injections of atmospheric heat from lower latitudes were the likely culprits for sharp declines in sea-ice extent around Antarctica starting in 2016.</t>
  </si>
  <si>
    <t>[Eayrs, Clare; Holland, David M.] New York Univ Abu Dhabi, Ctr Global Sea Level Change, Abu Dhabi, U Arab Emirates; [Li, Xichen] Chinese Acad Sci, Inst Atmospher Phys, Beijing, Peoples R China; [Li, Xichen] Second Inst Oceanog, State Key Lab Satellite Ocean Environm Dynam, Hangzhou, Peoples R China; [Raphael, Marilyn N.] Univ Calif Los Angeles, Dept Geog, Los Angeles, CA 90024 USA; [Holland, David M.] NYU, Courant Inst Math Sci, New York, NY USA</t>
  </si>
  <si>
    <t>New York University Abu Dhabi; Chinese Academy of Sciences; Institute of Atmospheric Physics, CAS; Ministry of Natural Resources of the People's Republic of China; Second Institute of Oceanography, Ministry of Natural Resources; University of California System; University of California Los Angeles; New York University</t>
  </si>
  <si>
    <t>Eayrs, C (corresponding author), New York Univ Abu Dhabi, Ctr Global Sea Level Change, Abu Dhabi, U Arab Emirates.</t>
  </si>
  <si>
    <t>clare.eayrs@nyu.edu</t>
  </si>
  <si>
    <t>Li, Xichen/ISB-4663-2023; Eayrs, Clare/T-7969-2019</t>
  </si>
  <si>
    <t>Eayrs, Clare/0000-0003-3129-7604; Li, Xichen/0000-0001-6325-6626</t>
  </si>
  <si>
    <t>Center for Global Sea Level Change of NYU Abu Dhabi Research Institute in the UAE [G1204]; NSF [PLR-1739003]; National Science Foundation, Office of Polar Programs [NSF-OPP-1745089]; National Key RAMP;D Program for Developing Basic Sciences [2018YFA0605703]; National Natural Science Foundation of China [41676190]; Strategic Priority Research Program of the Chinese Academy of Sciences [XDA19070202]</t>
  </si>
  <si>
    <t>Center for Global Sea Level Change of NYU Abu Dhabi Research Institute in the UAE; NSF(National Science Foundation (NSF)); National Science Foundation, Office of Polar Programs(National Science Foundation (NSF)NSF - Directorate for Geosciences (GEO)); National Key RAMP;D Program for Developing Basic Sciences; National Natural Science Foundation of China(National Natural Science Foundation of China (NSFC)); Strategic Priority Research Program of the Chinese Academy of Sciences(Chinese Academy of Sciences)</t>
  </si>
  <si>
    <t>C.E. and D.M.H. were supported by the Center for Global Sea Level Change of NYU Abu Dhabi Research Institute (G1204) in the UAE and NSF PLR-1739003. This is ITGC contribution no. 0040. M.N.R. was supported by the National Science Foundation, Office of Polar Programs (grant no. NSF-OPP-1745089). X.L. was supported by the National Key R&amp;D Program for Developing Basic Sciences (2018YFA0605703), the National Natural Science Foundation of China (grant 41676190) and the Strategic Priority Research Program of the Chinese Academy of Sciences (grant no. XDA19070202).</t>
  </si>
  <si>
    <t>10.1038/s41561-021-00768-3</t>
  </si>
  <si>
    <t>TG4ML</t>
  </si>
  <si>
    <t>WOS:000667595100004</t>
  </si>
  <si>
    <t>Yu, ZC; Joos, F; Bauska, TK; Stocker, BD; Fischer, H; Loisel, J; Brovkin, V; Hugelius, G; Nehrbass-Ahles, C; Kleinen, T; Schmitt, J</t>
  </si>
  <si>
    <t>Yu, Zicheng; Joos, Fortunat; Bauska, Thomas K.; Stocker, Benjamin D.; Fischer, Hubertus; Loisel, Julie; Brovkin, Victor; Hugelius, Gustaf; Nehrbass-Ahles, Christoph; Kleinen, Thomas; Schmitt, Jochen</t>
  </si>
  <si>
    <t>No support for carbon storage of &gt;1,000 GtC in northern peatlands</t>
  </si>
  <si>
    <t>ISOTOPE CONSTRAINTS; ACCUMULATION RATE; HOLOCENE CARBON; CO2; CYCLE; RESPONSES; NITROGEN; DIOXIDE</t>
  </si>
  <si>
    <t>[Yu, Zicheng] Northeast Normal Univ, Sch Geog Sci, Key Lab Geog Proc &amp; Ecol Secur Changbai Mt, Changchun, Peoples R China; [Yu, Zicheng] Lehigh Univ, Dept Earth &amp; Environm Sci, Bethlehem, PA 18015 USA; [Joos, Fortunat; Fischer, Hubertus; Schmitt, Jochen] Univ Bern, Phys Inst, Climate &amp; Environm Phys, Bern, Switzerland; [Joos, Fortunat; Fischer, Hubertus; Schmitt, Jochen] Univ Bern, Oeschger Ctr Climate Change Res, Bern, Switzerland; [Bauska, Thomas K.] British Antarctic Survey, Cambridge, England; [Stocker, Benjamin D.] Swiss Fed Inst Technol, Dept Environm Syst Sci, Zurich, Switzerland; [Stocker, Benjamin D.] Swiss Fed Inst Forest Snow &amp; Landscape Res WSL, Birmensdorf, Switzerland; [Loisel, Julie] Texas A&amp;M Univ, Dept Geog, College Stn, TX USA; [Brovkin, Victor; Kleinen, Thomas] Max Planck Inst Meteorol, Hamburg, Germany; [Hugelius, Gustaf] Stockholm Univ, Dept Phys Geog, Stockholm, Sweden; [Nehrbass-Ahles, Christoph] Univ Cambridge, Dept Earth Sci, Cambridge, England</t>
  </si>
  <si>
    <t>Northeast Normal University - China; Lehigh University; University of Bern; University of Bern; UK Research &amp; Innovation (UKRI); Natural Environment Research Council (NERC); NERC British Antarctic Survey; Swiss Federal Institutes of Technology Domain; ETH Zurich; Swiss Federal Institutes of Technology Domain; Swiss Federal Institute for Forest, Snow &amp; Landscape Research; Texas A&amp;M University System; Texas A&amp;M University College Station; Max Planck Society; Stockholm University; University of Cambridge</t>
  </si>
  <si>
    <t>Yu, ZC (corresponding author), Northeast Normal Univ, Sch Geog Sci, Key Lab Geog Proc &amp; Ecol Secur Changbai Mt, Changchun, Peoples R China.;Yu, ZC (corresponding author), Lehigh Univ, Dept Earth &amp; Environm Sci, Bethlehem, PA 18015 USA.</t>
  </si>
  <si>
    <t>PeatHunter@gmail.com</t>
  </si>
  <si>
    <t>Schmitt, Jochen/B-7893-2009; Hugelius, Gustaf/C-9759-2011; Stocker, Benjamin David/K-3194-2015; Joos, Fortunat/B-4118-2018; Brovkin, Victor/C-2803-2016; Kleinen, Thomas/G-5666-2018; Fischer, Hubertus/A-1211-2014</t>
  </si>
  <si>
    <t>Schmitt, Jochen/0000-0003-4695-3029; Hugelius, Gustaf/0000-0002-8096-1594; Stocker, Benjamin David/0000-0003-2697-9096; Joos, Fortunat/0000-0002-9483-6030; Brovkin, Victor/0000-0001-6420-3198; Kleinen, Thomas/0000-0001-9550-5164; Yu, Zicheng/0000-0003-2358-2712; Fischer, Hubertus/0000-0002-2787-4221</t>
  </si>
  <si>
    <t>10.1038/s41561-021-00769-2</t>
  </si>
  <si>
    <t>WOS:000667595100001</t>
  </si>
  <si>
    <t>Liu, A; Pirozzi, I; Codabaccus, BM; Stephens, F; Francis, DS; Sammut, J; Booth, MA</t>
  </si>
  <si>
    <t>Liu, Angela; Pirozzi, Igor; Codabaccus, Basseer M.; Stephens, Frances; Francis, David S.; Sammut, Jesmond; Booth, Mark A.</t>
  </si>
  <si>
    <t>Effects of dietary choline on liver lipid composition, liver histology and plasma biochemistry of juvenile yellowtail kingfish (Seriola lalandi)</t>
  </si>
  <si>
    <t>BRITISH JOURNAL OF NUTRITION</t>
  </si>
  <si>
    <t>Lipid classes; Fatty acids; Plasma lipids; Hepatic lesion; 2-Amino-2-methyl-1-propanol</t>
  </si>
  <si>
    <t>FATTY-ACID-COMPOSITION; SPARUS-AURATA L.; SALMO-SALAR L.; GROWTH-PERFORMANCE; VEGETABLE-OILS; FISH-OIL; MELANOMACROPHAGE CENTERS; DISEASE RESISTANCE; HEPATIC STEATOSIS; SEA BREAM</t>
  </si>
  <si>
    <t>Choline plays a crucial role in lipid metabolism for fish, and its deficiency in aquafeed has been linked to compromised health and growth performance. A 56-d experiment was conducted to examine the effects of dietary choline on lipid composition, histology and plasma biochemistry of yellowtail kingfish (Seriola lalandi; YTK; 156 g initial body weight). The dietary choline content ranged from 0 center dot 59 to 6 center dot 22 g/kg diet. 2-Amino-2-methyl-1-propanol (AMP) (3 g/kg) was added to diets, except for a control diet, to limit de novo choline synthesis. The results showed that the liver lipid content of YTK was similar among diets containing AMP and dominated by NEFA. In contrast, fish fed the control diet had significantly elevated liver TAG. Generally, the SFA, MUFA and PUFA content of liver lipid in fish fed diets containing AMP was not influenced by choline content. The SFA and MUFA content of liver lipid in fish fed the control diet was similar to other diets except for a decrease in PUFA. The linear relationship between lipid digestibility and plasma cholesterol was significant, otherwise most parameters were unaffected. When AMP is present, higher dietary choline reduced the severity of some hepatic lesions. The present study demonstrated that choline deficiency affects some plasma and liver histology parameters in juvenile YTK which might be useful fish health indicators. Importantly, the present study elucidated potential reasons for lower growth in choline-deficient YTK and increased the knowledge on choline metabolism in the fish.</t>
  </si>
  <si>
    <t>[Liu, Angela; Sammut, Jesmond] Univ New South Wales, Fac Sci, Sch Biol Earth &amp; Environm Sci, Sydney, NSW 2052, Australia; [Pirozzi, Igor; Booth, Mark A.] Port Stephens Fisheries Inst, NSW Dept Primary Ind, Taylors Beach, NSW 2316, Australia; [Pirozzi, Igor] James Cook Univ, Coll Sci &amp; Engn, Ctr Sustainable Trop Fisheries &amp; Aquaculture, Townsville, Qld 4811, Australia; [Codabaccus, Basseer M.] Univ Tasmania, Coll Sci &amp; Engn, Inst Marine &amp; Antarctic Studies, Hobart, Tas 7001, Australia; [Stephens, Frances] Aquatilia Healthcare, Middle Swan, WA 6056, Australia; [Francis, David S.] Deakin Univ, Fac Sci Engn &amp; Built Environm, Sch Life &amp; Environm Sci, Geelong, Vic 3220, Australia</t>
  </si>
  <si>
    <t>University of New South Wales Sydney; NSW Department of Primary Industries; James Cook University; University of Tasmania; Deakin University</t>
  </si>
  <si>
    <t>Sammut, J (corresponding author), Univ New South Wales, Fac Sci, Sch Biol Earth &amp; Environm Sci, Sydney, NSW 2052, Australia.</t>
  </si>
  <si>
    <t>j.sammut@unsw.edu.au</t>
  </si>
  <si>
    <t>Booth, Mark A/I-8206-2012</t>
  </si>
  <si>
    <t>Booth, Mark A/0000-0003-3584-8012; Francis, David/0000-0002-4829-6926; codabaccus, mohamed/0000-0001-5108-373X</t>
  </si>
  <si>
    <t>Australian Government Department of Agriculture and Water Resources, Rural R&amp;D for Profit program; Fisheries Research and Development Corporation (FRDC) [2016-200.30]; South Australian Research and Development Institute, Clean Seas Seafood, Department of Primary Industries New South Wales (DPI NSW) [2016-200.20]; Huon Aquaculture; Australian Government Research Training Program; UNSW University Postgraduate Award</t>
  </si>
  <si>
    <t>Australian Government Department of Agriculture and Water Resources, Rural R&amp;D for Profit program; Fisheries Research and Development Corporation (FRDC)(Fisheries R&amp;D Corp); South Australian Research and Development Institute, Clean Seas Seafood, Department of Primary Industries New South Wales (DPI NSW); Huon Aquaculture; Australian Government Research Training Program(Australian Government); UNSW University Postgraduate Award</t>
  </si>
  <si>
    <t>The present study was funded by the Australian Government Department of Agriculture and Water Resources as part of its Rural R&amp;D for Profit program and the Fisheries Research and Development Corporation (FRDC; project no. 2016-200.30), South Australian Research and Development Institute, Clean Seas Seafood, Department of Primary Industries New South Wales (DPI NSW; project no. 2016-200.20) and Huon Aquaculture. This research was also supported by an Australian Government Research Training Program and a UNSW University Postgraduate Award.</t>
  </si>
  <si>
    <t>0007-1145</t>
  </si>
  <si>
    <t>1475-2662</t>
  </si>
  <si>
    <t>BRIT J NUTR</t>
  </si>
  <si>
    <t>Br. J. Nutr.</t>
  </si>
  <si>
    <t>PII S0007114520003669</t>
  </si>
  <si>
    <t>10.1017/S0007114520003669</t>
  </si>
  <si>
    <t>Nutrition &amp; Dietetics</t>
  </si>
  <si>
    <t>SE0PP</t>
  </si>
  <si>
    <t>WOS:000651777700003</t>
  </si>
  <si>
    <t>Novais-Rodrigues, E; Jalowitzki, T; Gervasoni, F; Sumino, H; Bussweiler, Y; Klemme, S; Berndt, J; Conceiçao, RV; Schilling, ME; Bertotto, GW; Teles, L</t>
  </si>
  <si>
    <t>Novais-Rodrigues, Eduardo; Jalowitzki, Tiago; Gervasoni, Fernanda; Sumino, Hirochika; Bussweiler, Yannick; Klemme, Stephan; Berndt, Jasper; V. Conceicao, Rommulo; Schilling, Manuel E.; Bertotto, Gustavo W.; Teles, Lucas</t>
  </si>
  <si>
    <t>Partial melting and subduction-related metasomatism recorded by geochemical and isotope (He-Ne-Ar-Sr-Nd) compositions of spinel lherzolite xenoliths from Coyhaique, Chilean Patagonia</t>
  </si>
  <si>
    <t>GONDWANA RESEARCH</t>
  </si>
  <si>
    <t>Noble gas; Chile; Xenoliths; Subduction zone; Subcontinental lithospheric mantle</t>
  </si>
  <si>
    <t>SUBCONTINENTAL LITHOSPHERIC MANTLE; NOBLE-GAS COMPOSITION; DEPLETED MORB MANTLE; SLAB WINDOW MAGMAS; TRACE-ELEMENT; PERIDOTITE XENOLITHS; SOUTHERN PATAGONIA; EXPERIMENTAL CONSTRAINTS; ANTARCTIC PENINSULA; ARGENTINA EVIDENCE</t>
  </si>
  <si>
    <t>Spinel lherzolite xenoliths from Coyhaique, Chilean Patagonia, are located similar to 320 km from the Chile Trench and, therefore, their geochemical and isotopic compositions may record slab-derived metasomatism from current and/or earlier subduction zones. We present new mineral and whole-rock major and trace elements that are discussed together with noble gas data (He, Ne, Ar) and Sr-Nd isotopic ratios. Partial melting is recorded by negative correlations between basaltic elements vs. MgO in whole-rock and minerals. In general, silicate minerals show depleted light-rare earth element (LREE) over heavy-REE (HREE) patterns. Whole-rock compositions and clinopyroxene record variable degrees of partial melting (1-15%), which is corroborated by the Sr-Nd depleted character of the lherzolites. Cryptic metasomatism is evidenced by: 1) enriched LREE patterns in whole-rock and type-2 clinopyroxenes; 2) negative anomalies of Nb-Ta-Ti in whole-rock samples coupled with enrichment of large ion lithophile elements and chalcophile elements over high field strength elements and HREE; 3) positive correlations of Pb and U vs. La and negative correlations of Nb/Nb* and Ti/Ti* vs. La in clinopyroxene, and 4) positive anomalies of Li in all silicate minerals. Geochemical differences between whole-rocks and their mineral constituents indicate selective enrichment of the whole-rock samples due to grain-boundary components. He-3/He-4 ratios reported here are the first strongly radiogenic values found in the Patagonian subcontinental lithospheric mantle (SCLM; 0.20-2.52 R-A). Most Ne isotopic ratios are indistinguishable from air composition with few samples showing a nucleogenic component, whereas Ar isotopic ratios are extensively affected by an atmospheric component. The correlation between He-3/He-4 and He-4/Ar-40* corroborates the metasomatism recorded by lithophile and chalcophile elements. Therefore, we identify a heterogeneous SCLM affected by low but variable degrees of partial melting and subsequent enrichment by melts or fluids from recycled subduction-related materials in the spinel stability field (1.06-1.90 GPa and 886-1150 degrees C). (C) 2021 International Association for Gondwana Research. Published by Elsevier B.V. All rights reserved.</t>
  </si>
  <si>
    <t>[Novais-Rodrigues, Eduardo; Jalowitzki, Tiago; Teles, Lucas] Univ Brasilia UnB, Programa Posgrad Geol, Brasilia, DF, Brazil; [Gervasoni, Fernanda] Univ Fed Goias UFG, Fac Ciencias &amp; Tecnol, Aparecida De Goiania, Brazil; [Sumino, Hirochika] Univ Tokyo, Grad Sch Arts &amp; Sci, Dept Gen Syst Studies, Tokyo, Japan; [Bussweiler, Yannick; Klemme, Stephan; Berndt, Jasper] Univ Munster, Inst Mineral, Munster, Germany; [V. Conceicao, Rommulo] Univ Fed Rio Grande UFRGS, Programa Posgrad Geociencias, Porto Alegre, RS, Brazil; [Schilling, Manuel E.] Univ Austral Chile, Fac Ciencias, Inst Ciencias Tierra, Valdivia, Chile; [Bertotto, Gustavo W.] Univ Nacl La Pampa, CONICET, INCITAP, La Pampa, Argentina</t>
  </si>
  <si>
    <t>Universidade de Brasilia; University of Tokyo; University of Munster; Universidade Federal do Rio Grande do Sul; Universidad Austral de Chile; Consejo Nacional de Investigaciones Cientificas y Tecnicas (CONICET)</t>
  </si>
  <si>
    <t>Novais-Rodrigues, E; Jalowitzki, T (corresponding author), Univ Brasilia UnB, Programa Posgrad Geol, Brasilia, DF, Brazil.</t>
  </si>
  <si>
    <t>eduardonovaisrodrigues@gmail.com; jalowitzki@unb.br</t>
  </si>
  <si>
    <t>Sumino, Hirochika/G-4912-2014; Conceição, Rommulo Vieira/D-6030-2014; Schilling, Manuel Enrique/D-2916-2015</t>
  </si>
  <si>
    <t>Schilling, Manuel Enrique/0000-0003-4930-8906; Bussweiler, Yannick/0000-0002-8107-7055; Klemme, Stephan/0000-0001-7859-9779</t>
  </si>
  <si>
    <t>Serrapilheira Institute research project [Serra-1709-18152]; Coordenacao de Aperfeicoamento de Pessoal de Nivel Superior-Brasil (CAPES) [001]; CAPES; Grants-in-Aid for Scientific Research [20K20529] Funding Source: KAKEN</t>
  </si>
  <si>
    <t>Serrapilheira Institute research project; Coordenacao de Aperfeicoamento de Pessoal de Nivel Superior-Brasil (CAPES)(Coordenacao de Aperfeicoamento de Pessoal de Nivel Superior (CAPES)); CAPES(Coordenacao de Aperfeicoamento de Pessoal de Nivel Superior (CAPES)); Grants-in-Aid for Scientific Research(Ministry of Education, Culture, Sports, Science and Technology, Japan (MEXT)Japan Society for the Promotion of ScienceGrants-in-Aid for Scientific Research (KAKENHI))</t>
  </si>
  <si>
    <t>We thank Beate Schmitte for her help with LA-ICP-MS analysis at the Institute of Mineralogie, Munster. We acknowledge Prof. N. Botelho for contributing with the microprobe analyses, as well as J. Grasyelle and L. F. Osorio for their technical support with the iso-topic analyses at the University of Brasilia (UnB) . The authors thank M. I. Varas-Reus and G. O. Goncalves for the fruitful debates and comments that contributed to this research. We also thank Prof. Hilary Downes and an anonymous reviewer for their helpful suggestions that significantly improved the quality of this work. Also, we would like to appreciate very much the constructive com-ments and the efficient editorial work provided by Prof. Sebastian Tappe. This work was supported by the Serrapilheira Institute research project [grant number Serra170918152] ; the CoordenacAo de Aperfeicoamento de Pessoal de Nivel Superior-Brasil (CAPES) [Finance Code 001] . CAPES supported this research through the Master course scholarship granted to E. NovaisRodrigues.</t>
  </si>
  <si>
    <t>1342-937X</t>
  </si>
  <si>
    <t>1878-0571</t>
  </si>
  <si>
    <t>GONDWANA RES</t>
  </si>
  <si>
    <t>Gondwana Res.</t>
  </si>
  <si>
    <t>10.1016/j.gr.2021.06.003</t>
  </si>
  <si>
    <t>UA0SM</t>
  </si>
  <si>
    <t>WOS:000684875400003</t>
  </si>
  <si>
    <t>del Llano, MB; Strelin, JA; Calabozo, FM; Kaplan, MR; Hemming, SR; Cai, Y</t>
  </si>
  <si>
    <t>del Llano, Macarena Bertoa; Strelin, Jorge A.; Calabozo, Fernando M.; Kaplan, Michael R.; Hemming, Sidney R.; Cai, Yue</t>
  </si>
  <si>
    <t>Late Miocene to Plio-Pleistocene volcanic and paleoenvironmental history of the Cerro Domo and Ventisqueros Mesa area, northwest James Ross Island, northern Antarctic Peninsula</t>
  </si>
  <si>
    <t>JOURNAL OF VOLCANOLOGY AND GEOTHERMAL RESEARCH</t>
  </si>
  <si>
    <t>Hydromagmatic eruptions; Lava-fed delta; 40Ar/39Ar dating; Sr-87/Sr-86 dating; Interglacial; Glacial advances</t>
  </si>
  <si>
    <t>HYDROVOLCANIC EXPLOSIONS; DEPOSITIONAL PROCESSES; CHEJU ISLAND; STRATIGRAPHY; LITHOFACIES; EVOLUTION; LAVA; ERUPTIONS; REGION; WATER</t>
  </si>
  <si>
    <t>We present the description and interpretation of a James Ross Island Volcanic Group (JRIVG) succession around the Cerro Domo and Ventisqueros Mesa area. Our aim is to reconstruct the volcanic evolution and provide new palaeoenvironmental information for the northwest sector of James Ross Island, northern Antarctic Peninsula. We present representative stratigraphic logs that are combined with new chronological constraints provided by 40Ar/39Ar ages and Sr-87/Sr-86 isotope analyses that demonstrate a record of the late Miocene to earliest Pleistocene. The first volcanic activity registered is associated with tuff cone deposits that resulted from marine hydromagmatic eruptions, close to 6.18 +/- 0.14 Ma. Subsequently, lodgement till deposits record a grounded glacial advance. Overlying the glacigenic deposits, fossil-bearing sediments record a marine or glacimarine environment following the ice sheet retreat, and an Sr-87/Sr-86 age of 6.02 (+0.09, -0.09) Ma dates ice-poor conditions. A lava-fed delta system, which yields an age of 5.37 +/- 0.12 Ma, prograded over the previous deposits. Stacked pillow lavas, curvy columnar-jointed basalts and subaerial tabular lavas, with a 4.9 +/- 0.10 Ma age, were emplaced after the lava-fed delta deposition. Another lava-fed delta located to the north of the previously volcanic units yielded an age of 3.57 +/- 0.19 Ma. A glacial pavement carved into the top of these deposits records a second ice advance in the area. The final volcanic activity emplaced Cerro Domo, a large volcanic edifice which was the centre of explosive hydromagmatic eruptions. The presence of pristine, articulated bivalves in life position within the lower volcanic deposits of Cerro Domo, together with an Sr-87/Sr-86 age of 3.16 (+0.59, -0.43) Ma, are strong indicators of a marine environment and suggest ice-poor interglacial conditions at this time. Dykes cutting the volcanic deposits of Cerro Domo and considered coeval with the eruptions afford ages of 2.62 +/- 0.08 and 2.72 +/- 0.09 Ma. Our results provide new insights on the volcanic and glaciation history of James Ross Island, as well as supporting marine, ice-poor conditions around similar to 6 Ma, and near or right before the Plio-Pleistocene boundary, between similar to 3.2 and similar to 2.6 Ma. (C) 2021 Elsevier B.V. All rights reserved.</t>
  </si>
  <si>
    <t>[del Llano, Macarena Bertoa] Inst Argentino Nivol Glaciol &amp; Ciencias Ambiental, Parque San Martin, RA-5500 Mendoza, Argentina; [Strelin, Jorge A.; Calabozo, Fernando M.] Ctr Invest Ciencias Tierra CICTERRA, Ciudad Univ,X5016CGA, Cordoba, Argentina; [Strelin, Jorge A.] Inst Antartico Argentino IAA, Direcc Nacl Antartico DNA, RA-10001499 Buenos Aires, DF, Argentina; [Kaplan, Michael R.; Hemming, Sidney R.; Cai, Yue] Lamont Doherty Earth Observ, Div Geochem, Palisades, NY 10964 USA; [Hemming, Sidney R.] Columbia Univ, Dept Earth &amp; Environm Sci, New York, NY 10027 USA</t>
  </si>
  <si>
    <t>Consejo Nacional de Investigaciones Cientificas y Tecnicas (CONICET); National University of Cordoba; Columbia University; Columbia University</t>
  </si>
  <si>
    <t>del Llano, MB (corresponding author), Inst Argentino Nivol Glaciol &amp; Ciencias Ambiental, Ave Ruiz Leal,Parque Gen San Martin, RA-5500 Mendoza, Argentina.</t>
  </si>
  <si>
    <t>mbertoa@mendoza-conicet.gob.ar</t>
  </si>
  <si>
    <t>Cai, Yue/K-8283-2016</t>
  </si>
  <si>
    <t>Cai, Yue/0000-0002-2318-2359</t>
  </si>
  <si>
    <t>Climate Center of LDEO; NASA GISS</t>
  </si>
  <si>
    <t>Climate Center of LDEO; NASA GISS(National Aeronautics &amp; Space Administration (NASA))</t>
  </si>
  <si>
    <t>The authors would like to thank the Instituto Antartico Argentino (IAA), Direccion Nacional del Antartico (DNA) and Fuerza Aerea Argentina, for their logistical support during the field work, and the Climate Center of LDEO and NASA GISS for funding for the 40Ar/39Ar and 87Sr/86Sr analyses. Special thanks to Dra. Maria Sol Bayer for her help with the identification of fossil material and its separation for dating analyses, to Dr. Toshio Sone for the drone photos, and to Eliseo Flores for sharing his material from the area. We thank to Dr. Ivan Petrinovik and Dra. Catalina Balbis for their useful suggestions, and Dr. Dario Pedrazzi and an anonymous Reviewer for helping to strengthen and clarify the manuscript. Finally, we would like to thank to Troy Rasbury and KatieWooton for their assistance in acquiring high precision Sr isotope data at SUNY Stony Brook.</t>
  </si>
  <si>
    <t>0377-0273</t>
  </si>
  <si>
    <t>1872-6097</t>
  </si>
  <si>
    <t>J VOLCANOL GEOTH RES</t>
  </si>
  <si>
    <t>J. Volcanol. Geotherm. Res.</t>
  </si>
  <si>
    <t>10.1016/j.jvolgeores.2021.107313</t>
  </si>
  <si>
    <t>TG0EH</t>
  </si>
  <si>
    <t>WOS:000671085700008</t>
  </si>
  <si>
    <t>Grooss, JU; Müller, R</t>
  </si>
  <si>
    <t>Grooss, Jens-Uwe; Mueller, Rolf</t>
  </si>
  <si>
    <t>Simulation of Record Arctic Stratospheric Ozone Depletion in 2020</t>
  </si>
  <si>
    <t>Arctic ozone loss; stratospheric chemistry</t>
  </si>
  <si>
    <t>CHEMICAL LAGRANGIAN MODEL; CHLORINE ACTIVATION; NITRIC-ACID; POLAR VORTEX; CARBON-MONOXIDE; NITROUS-OXIDE; WATER-VAPOR; WINTER; CHEMISTRY; TEMPERATURE</t>
  </si>
  <si>
    <t>In the Arctic winter/spring of 2019/2020, stratospheric temperatures were exceptionally low until early April and the polar vortex was very stable. As a consequence, significant chemical ozone depletion occurred in the Arctic polar vortex in spring 2020. Here, we present simulations using the Chemical Lagrangian Model of the Stratosphere that address the development of chlorine compounds and ozone in the Arctic stratosphere in 2020. The simulation reproduces relevant observations of ozone and chlorine compounds, as shown by comparisons with data from the Microwave Limb Sounder, Atmospheric Chemistry Experiment-Fourier Transform Spectrometer, balloon-borne ozone sondes, and the Ozone Monitoring Instrument. Although the concentration of chlorine and bromine compounds in the polar stratosphere has decreased by more than 10% compared to peak values around the year 2000, the meteorological conditions in winter/spring 2019/2020 caused unprecedented ozone depletion. The lowest simulated ozone mixing ratio was about 40 ppbv. Because extremely low ozone mixing ratios were reached in the lower polar stratosphere, chlorine deactivation into HCl occurred as is normally observed in the Antarctic polar vortex. The depletion in partial column ozone in the lower stratosphere (potential temperature from 350 to 600 K, corresponding to about 12-24 km) in the vortex core was calculated to reach 143 Dobson Units, which is more than the ozone loss in 2011 and 2016, the years which -until 2020- had seen the largest Arctic ozone depletion on record.</t>
  </si>
  <si>
    <t>[Grooss, Jens-Uwe; Mueller, Rolf] Forschungszentrum Julich, Inst Energy &amp; Climate Res Stratosphere IEK 7, Julich, Germany</t>
  </si>
  <si>
    <t>Helmholtz Association; Research Center Julich</t>
  </si>
  <si>
    <t>Grooss, JU (corresponding author), Forschungszentrum Julich, Inst Energy &amp; Climate Res Stratosphere IEK 7, Julich, Germany.</t>
  </si>
  <si>
    <t>j.-u.grooss@fz-juelich.de</t>
  </si>
  <si>
    <t>Müller, Rolf/ABA-8213-2021; Grooss, Jens-Uwe/A-7315-2013</t>
  </si>
  <si>
    <t>Müller, Rolf/0000-0002-5024-9977; Grooss, Jens-Uwe/0000-0002-9485-866X</t>
  </si>
  <si>
    <t>Earth System Modeling (ESM) project; VSR commission [JICG11]; Projekt DEAL</t>
  </si>
  <si>
    <t>Earth System Modeling (ESM) project; VSR commission; Projekt DEAL</t>
  </si>
  <si>
    <t>The authors would like to thank the Earth System Modeling (ESM) project for funding this work by providing computing time on the ESM partition of the JUWELS supercomputer as well as the VSR commission for funding this work under the project JICG11 on the JURECA supercomputer-both systems located at the Julich Supercomputing Centre (JSC). We would also like to thank the European Centre for Medium-Range Weather Forecasts (ECMWF) for providing the operational analyses. This paper is based on the model CLaMS which has been developed and maintained by a comprehensive team with significant programming support from Nicole Thomas. We also thank Gloria Manney, Michelle Santee and the MLS team, Peter Bernath, Kaley Walker and the ACE-FTS team as well as the OMI team for their enormous work in providing high-quality data sets. We would particularly like to thank Peter von der Gathen for providing the ozone sonde data from the Ny Alesund station. We also thank Andreas Engel for providing the tracer correlations for Cly and Bry. We are especially grateful for the constructive comments provided by three reviewers. Open access funding enabled and organized by Projekt DEAL.</t>
  </si>
  <si>
    <t>JUN 27</t>
  </si>
  <si>
    <t>e2020JD033339</t>
  </si>
  <si>
    <t>10.1029/2020JD033339</t>
  </si>
  <si>
    <t>TA4WT</t>
  </si>
  <si>
    <t>WOS:000667250900005</t>
  </si>
  <si>
    <t>Peart, CR; Williams, C; Pophaly, SD; Neely, BA; Gulland, FMD; Adams, DJ; Ng, BL; Cheng, W; Goebel, ME; Fedrigo, O; Haase, B; Mountcastle, J; Fungtammasan, A; Formenti, G; Collins, J; Wood, J; Sims, Y; Torrance, J; Tracey, A; Howe, K; Rhie, A; Hoffman, JI; Johnson, J; Jarvis, ED; Breen, M; Wolf, JBW</t>
  </si>
  <si>
    <t>Peart, Claire R.; Williams, Christina; Pophaly, Saurabh D.; Neely, Benjamin A.; Gulland, Frances M. D.; Adams, David J.; Ng, Bee Ling; Cheng, William; Goebel, Michael E.; Fedrigo, Olivier; Haase, Bettina; Mountcastle, Jacquelyn; Fungtammasan, Arkarachai; Formenti, Giulio; Collins, Joanna; Wood, Jonathan; Sims, Ying; Torrance, James; Tracey, Alan; Howe, Kerstin; Rhie, Arang; Hoffman, Joseph, I; Johnson, Jeremy; Jarvis, Erich D.; Breen, Matthew; Wolf, Jochen B. W.</t>
  </si>
  <si>
    <t>Hi-C scaffolded short- and long-read genome assemblies of the California sea lion are broadly consistent for syntenic inference across 45 million years of evolution</t>
  </si>
  <si>
    <t>MOLECULAR ECOLOGY RESOURCES</t>
  </si>
  <si>
    <t>California sea lion (Zalophus californianus); cancer; Carnivora; chromatin interaction mapping; genome assembly; genome evolution; Hi-C</t>
  </si>
  <si>
    <t>CHROMOSOME EVOLUTION; CONVERGENT EVOLUTION; CARNIVORA; DOG; REVEALS; BROWSER; CAT; CONSERVATION; SEQUENCES; KARYOTYPE</t>
  </si>
  <si>
    <t>With the advent of chromatin-interaction maps, chromosome-level genome assemblies have become a reality for a wide range of organisms. Scaffolding quality is, however, difficult to judge. To explore this gap, we generated multiple chromosome-scale genome assemblies of an emerging wild animal model for carcinogenesis, the California sea lion (Zalophus californianus). Short-read assemblies were scaffolded with two independent chromatin interaction mapping data sets (Hi-C and Chicago), and long-read assemblies with three data types (Hi-C, optical maps and 10X linked reads) following the Vertebrate Genomes Project (VGP) pipeline. In both approaches, 18 major scaffolds recovered the karyotype (2n = 36), with scaffold N50s of 138 and 147 Mb, respectively. Synteny relationships at the chromosome level with other pinniped genomes (2n = 32-36), ferret (2n = 34), red panda (2n = 36) and domestic dog (2n = 78) were consistent across approaches and recovered known fissions and fusions. Comparative chromosome painting and multicolour chromosome tiling with a panel of 264 genome-integrated single-locus canine bacterial artificial chromosome probes provided independent evaluation of genome organization. Broad-scale discrepancies between the approaches were observed within chromosomes, most commonly in translocations centred around centromeres and telomeres, which were better resolved in the VGP assembly. Genomic and cytological approaches agreed on near-perfect synteny of the X chromosome, and in combination allowed detailed investigation of autosomal rearrangements between dog and sea lion. This study presents high-quality genomes of an emerging cancer model and highlights that even highly fragmented short-read assemblies scaffolded with Hi-C can yield reliable chromosome-level scaffolds suitable for comparative genomic analyses.</t>
  </si>
  <si>
    <t>[Peart, Claire R.; Pophaly, Saurabh D.; Wolf, Jochen B. W.] Ludwig Maximilians Univ Munchen, Div Evolutionary Biol, Fac Biol, Munich, Germany; [Williams, Christina; Breen, Matthew] North Carolina State Univ, Coll Vet Med, Dept Mol Biomed Sci, Raleigh, NC USA; [Pophaly, Saurabh D.] Max Planck Inst Plant Breeding Res, Cologne, Germany; [Neely, Benjamin A.] NIST, Charleston, SC USA; [Gulland, Frances M. D.] Univ Calif Davis, Karen Dryer Wildlife Hlth Ctr, Davis, CA 95616 USA; [Adams, David J.; Ng, Bee Ling; Cheng, William] Wellcome Sanger Inst, Cytometry Core Facil, Cambridge, England; [Goebel, Michael E.] Univ Calif Santa Cruz, Inst Marine Sci, Santa Cruz, CA 95064 USA; [Fedrigo, Olivier; Haase, Bettina; Mountcastle, Jacquelyn; Formenti, Giulio; Jarvis, Erich D.] Rockefeller Univ, Vertebrate Genome Lab, New York, NY 10021 USA; [Fungtammasan, Arkarachai] DNAnexus Inc, Mountain View, CA USA; [Formenti, Giulio] Rockefeller Univ, Lab Neurogenet Language, New York, NY 10021 USA; [Collins, Joanna; Wood, Jonathan; Sims, Ying; Torrance, James; Tracey, Alan; Howe, Kerstin] Wellcome Sanger Inst, Tree Life Programme, Cambridge, England; [Rhie, Arang] NHGRI, Computat &amp; Stat Genom Branch, Genome Informat Sect, NIH, Bethesda, MD USA; [Hoffman, Joseph, I] Bielefeld Univ, Dept Anim Behav, Bielefeld, Germany; [Hoffman, Joseph, I] British Antarctic Survey, Cambridge, England; [Johnson, Jeremy] Broad Inst Harvard &amp; MIT, Cambridge, MA USA; [Jarvis, Erich D.] Howard Hughes Med Inst, Chevy Chase, MD USA; [Breen, Matthew] North Carolina State Univ, Comparat Med Inst, Raleigh, NC USA</t>
  </si>
  <si>
    <t>University of Munich; North Carolina State University; Max Planck Society; National Institute of Standards &amp; Technology (NIST) - USA; University of California System; University of California Davis; Wellcome Trust Sanger Institute; University of California System; University of California Santa Cruz; Rockefeller University; Rockefeller University; Wellcome Trust Sanger Institute; National Institutes of Health (NIH) - USA; NIH National Human Genome Research Institute (NHGRI); University of Bielefeld; UK Research &amp; Innovation (UKRI); Natural Environment Research Council (NERC); NERC British Antarctic Survey; Harvard University; Massachusetts Institute of Technology (MIT); Broad Institute; Howard Hughes Medical Institute; North Carolina State University</t>
  </si>
  <si>
    <t>Wolf, JBW (corresponding author), Ludwig Maximilians Univ Munchen, Fac Biol, Div Evolutionary Biol, Grosshaderner Str 2, D-82152 Planegg Martinsried, Germany.</t>
  </si>
  <si>
    <t>j.wolf@bio.lmu.de</t>
  </si>
  <si>
    <t>Adams, David/GMW-8541-2022; Fungtammasan, Arkarachai/I-9847-2019; Wolf, Jochen B. W./U-2243-2017; Rhie, Arang/AAP-8907-2021; Formenti, Giulio/GRX-8689-2022; Jarvis, Erich D/A-2319-2008; Hoffman, Joseph/K-7725-2012; Neely, Benjamin/AGR-8303-2022</t>
  </si>
  <si>
    <t>Adams, David/0000-0001-9490-0306; Fungtammasan, Arkarachai/0000-0003-2398-0358; Wolf, Jochen B. W./0000-0002-2958-5183; Rhie, Arang/0000-0002-9809-8127; Formenti, Giulio/0000-0002-7554-5991; Hoffman, Joseph/0000-0001-5895-8949; Neely, Benjamin/0000-0001-6120-7695</t>
  </si>
  <si>
    <t>Morris Animal Foundation [D10ZO-003]; Deutsche Forschungsgemeinschaft [424119118, HO 5122/4-1]; NCSU Cancer Genomics Funds [LUDWIG-MAXIMILIANS-UNIVERSITAET MUNCHEN]</t>
  </si>
  <si>
    <t>Morris Animal Foundation; Deutsche Forschungsgemeinschaft(German Research Foundation (DFG)); NCSU Cancer Genomics Funds</t>
  </si>
  <si>
    <t>Morris Animal Foundation, Grant/Award Number: D10ZO-003; Deutsche Forschungsgemeinschaft, Grant/Award Number: 424119118 and HO 5122/4-1; NCSU Cancer Genomics Funds; LUDWIG-MAXIMILIANS-UNIVERSITAET MUNCHEN</t>
  </si>
  <si>
    <t>1755-098X</t>
  </si>
  <si>
    <t>1755-0998</t>
  </si>
  <si>
    <t>MOL ECOL RESOUR</t>
  </si>
  <si>
    <t>Mol. Ecol. Resour.</t>
  </si>
  <si>
    <t>10.1111/1755-0998.13443</t>
  </si>
  <si>
    <t>UN4MM</t>
  </si>
  <si>
    <t>Green Accepted, hybrid</t>
  </si>
  <si>
    <t>WOS:000666865000001</t>
  </si>
  <si>
    <t>Olivet, JL; Bettucci, LS; Castro-Artola, OA; Castro, H; Rodríguez, M; Latorres, E</t>
  </si>
  <si>
    <t>Olivet, Judith Loureiro; Bettucci, Leda Sanchez; Castro-Artola, Oscar A.; Castro, Hernan; Rodriguez, Martin; Latorres, Enrique</t>
  </si>
  <si>
    <t>A seismic swarm at the Bransfield Rift, Antarctica</t>
  </si>
  <si>
    <t>JOURNAL OF SOUTH AMERICAN EARTH SCIENCES</t>
  </si>
  <si>
    <t>Seismic swarm; South shetland islands; Bransfield back-arc basin; Orca seamount; Antarctica</t>
  </si>
  <si>
    <t>SOUTH-SHETLAND-ISLANDS; KING-GEORGE-ISLAND; DECEPTION ISLAND; WEST-ANTARCTICA; STRAIT; BASIN; RIDGE; PENINSULA; PLATE; TECTONICS</t>
  </si>
  <si>
    <t>The Brasfield rift and South Shetland trench are part of the active margin of the Antarctic continent. From the records of a seismic station at the King George Island installed by the Observatorio Geofisico del Uruguay, 3186 seismic events during August 26 and September 11, 2020 were retrieved with an average of 187 earthquakes per day and a maximum of 359 on August 30. 217 events with a local magnitude of &gt;= 4 were well recognized and located by a single-station method. The events show that an earthquake swarm close to the South Shetland Islands and at a short hypocentral distance (similar to 25 km) to the station occurred in August of 2020. The earthquakes in the swarm are near Orca seamount and the listric normal faults, with a ENE-WSW trend of the Bransfield Basin, suggesting their volcano and volcanotectonic origin. In addition to the swarm, several earthquakes in the same time period related to the Artigas Fault with NW-SE trend are also located, which indicates the reactivation of this structure. From all the earthquakes, a relatively high b-value (1.22) is estimated, which might suggest variable resistance for stress accumulation in the Bransfield rift.</t>
  </si>
  <si>
    <t>[Olivet, Judith Loureiro; Bettucci, Leda Sanchez; Castro, Hernan; Rodriguez, Martin; Latorres, Enrique] UDELAR, Observ Geofis Uruguay, Fac Ciencias, Montevideo, Uruguay; [Olivet, Judith Loureiro; Castro, Hernan; Rodriguez, Martin] Minist Ind Energia &amp; Min, Direcc Nacl Min &amp; Geol, Montevideo, Uruguay; [Castro-Artola, Oscar A.] Univ Ciencias &amp; Artes Chiapas, Ctr Monitoreo Vulcanol &amp; Sismol, Inst Invest Gest Riesgos &amp; Cambio Climat, Tuxtla Gutierrez, Uruguay; [Latorres, Enrique] Univ ORT, Montevideo, Uruguay</t>
  </si>
  <si>
    <t>Universidad de la Republica, Uruguay; University ORT Uruguay</t>
  </si>
  <si>
    <t>Bettucci, LS (corresponding author), UDELAR, Observ Geofis Uruguay, Fac Ciencias, Montevideo, Uruguay.;Olivet, JL (corresponding author), Minist Ind Energia &amp; Min, Observ Geofis Uruguay, Direcc Nacl Min &amp; Geol, Montevideo, Uruguay.</t>
  </si>
  <si>
    <t>judith.loureiro@miem.gub.uy</t>
  </si>
  <si>
    <t>; SANCHEZ BETTUCCI, Leda/L-5247-2013</t>
  </si>
  <si>
    <t>Latorres, Enrique/0000-0002-1099-5270; Castro-Artola, Oscar Alberto/0000-0001-5266-4421; Loureiro, Judith/0000-0001-9493-1970; SANCHEZ BETTUCCI, Leda/0000-0001-6855-8447</t>
  </si>
  <si>
    <t>Uruguayan Antarctic Institute (IAU)</t>
  </si>
  <si>
    <t>The installation of the seismometer (Leda Sanchez Bettucci dona-tion) was part of a research project funded by the Uruguayan Antarctic Institute (IAU) . The authors are especially grateful to Eduardo Juri (IAU) , the Scientific Director of the IAU: Lic. Carlos Serrentino, and to Prof. Luis Loureiro for his support on error and localization calculations. Additionally, we are very grateful with the reviewers for their comments to improve this manuscript.</t>
  </si>
  <si>
    <t>0895-9811</t>
  </si>
  <si>
    <t>1873-0647</t>
  </si>
  <si>
    <t>J S AM EARTH SCI</t>
  </si>
  <si>
    <t>J. South Am. Earth Sci.</t>
  </si>
  <si>
    <t>10.1016/j.jsames.2021.103412</t>
  </si>
  <si>
    <t>UW5GW</t>
  </si>
  <si>
    <t>WOS:000700185200003</t>
  </si>
  <si>
    <t>Weyrauch, M; Zipfel, J; Weyer, S</t>
  </si>
  <si>
    <t>Weyrauch, M.; Zipfel, J.; Weyer, S.</t>
  </si>
  <si>
    <t>The relationship of CH, CB, and CR chondrites: Constraints from trace elements and Fe-Ni isotope systematics in metal</t>
  </si>
  <si>
    <t>CB chondrites; CH chondrites; CR chondrites; Zoned metal; Fe and Ni isotopes; Condensation; Impact plume</t>
  </si>
  <si>
    <t>RICH CHONDRITES; CARBONACEOUS CHONDRITE; CORE FORMATION; PARENT BODIES; IMPACT PLUME; ORIGIN; CHONDRULES; METEORITE; BENCUBBIN; FRACTIONATION</t>
  </si>
  <si>
    <t>Due to similarities in chemical composition and common Cr, Ti, N and O isotope trends, the metal-rich CR, CH and CB chondrites, often referred to as CR clan chondrites, are thought to be related to each other. This study aims to shed light on this relationship by the investigation of Fe and Ni isotope and trace element compositions of metal grains from CR and CH chondrites, in order to compare the results with previously reported data from CB chondrite metal. In situ trace element and Fe and Ni isotope analyses were conducted by femtosecond-laser ablation-(multicollector-)inductively coupled plasma-mass spectrometry (fs-LA-(MC-)ICP-MS). Furthermore, bulk CB metal and silicate separates were analyzed by solution MC-ICP-MS. Chemical compositions of metal grains in metal-rich chondrites are depleted in moderately volatile siderophile elements relative to the solar values with the exception of Pd. Such element abundance patterns are consistent with models of incomplete condensation from a gas with solar composition. Both, zoned and unzoned metal grains from CH and CB chondrites display very similar Fe and Ni isotopes compositions, indicating they likely formed within the same event, during non-equilibrium fractional condensation from an impact-induced vapor plume. This scenario is also supported by non-equilibrium Fe isotope signatures between bulk CB metal and silicate. Zoned metal grains likely formed in the fast-cooling outer shell region of the plume and are dominated by kinetic fractionation, resulting in isotopically light cores, while unzoned metal grains condensed under nearly equilibrium conditions, likely in the slow-cooling interior of the plume. Variability in Fe and Ni isotope compositions among different unzoned grains may be explained by (1) a kinetic component during their condensation and/or (2) evaporation and condensation-driven reservoir effects in the plume, which resulted in light and heavy isotope signatures, respectively. Textural differences between CH and CBb are most pronounced in the mean grain size, which may be attributed to grain-size sorting. Such a process could also explain the lack of zoned metals in CBa chondrites, as zoned metal grains in CBb and CH chondrites are by more than a magnitude smaller than the mean metal grain size of CBa chondrites. In CR chondrites, metal within chondrules likely formed by fractional condensation from a solar type gas followed by subsequent melting leading to equilibration with chondrule silicates. Larger isolated metal grains from the matrix are less processed, and apparently escaped silicate equilibration. Those metal grains are indistinguishable from unzoned grains in CH and CB chondrites in trace elements and Fe and Ni isotopic compositions albeit with a slightly narrower compositional range. Based on these findings we conclude that metal precursors in CR chondrites are strongly related to unzoned metal in CH, and CB chondrites and possibly share a common origin. This metal component would be smallest in CR chondrites, larger in CH and dominant in CB chondrites which is also consistent with age constraints and isotopic anomalies observed in CR clan chondrites. (C) 2021 Elsevier Ltd. All rights reserved.</t>
  </si>
  <si>
    <t>[Weyrauch, M.; Weyer, S.] Leibniz Univ Hannover, Inst Mineral, Callinstr 3, D-30167 Hannover, Germany; [Zipfel, J.] Senckenberg Forschungsinst &amp; Nat Museum Frankfurt, D-60325 Frankfurt, Germany</t>
  </si>
  <si>
    <t>Leibniz University Hannover; Senckenberg Gesellschaft fur Naturforschung (SGN)</t>
  </si>
  <si>
    <t>Zipfel, J (corresponding author), Senckenberg Forschungsinst &amp; Nat Museum Frankfurt, D-60325 Frankfurt, Germany.</t>
  </si>
  <si>
    <t>Jutta.Zipfel@senckenberg.de; s.weyer@mineralogie.uni-hannover.de</t>
  </si>
  <si>
    <t>Weyer, Stefan/0000-0001-7734-4571</t>
  </si>
  <si>
    <t>INAA; NSF; NASA; German Research Foundation (DFG) [SPP 1385, WE 2850/131, ZI 1196/31]</t>
  </si>
  <si>
    <t>INAA; NSF(National Science Foundation (NSF)); NASA(National Aeronautics &amp; Space Administration (NASA)); German Research Foundation (DFG)(German Research Foundation (DFG))</t>
  </si>
  <si>
    <t>We want to thank Julian Feige and Tina Emmel for sample preparation. Moreover, we thank Heidi Hofer and Markus Scholmerich for technical support at the electron microprobe in Frankfurt, and Chao Zhang for his support in Hannover. Additionally, we are grateful to Martin Oeser, Stephan Schuth and Ingo Horn for their technical support with LA-ICP-MS analyses. We thank the late Bernhard Spettel for support with the INAA. His experi-ence was of invaluable help with data reduction. Mike Weisberg, an anonymous reviewer, and the handling editor Sasha Krot are thanked for their constructive reviews. Antarctic meteorite sample PAT 91546,13 was kindly provided from the Meteorite Working Group.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Samples of Northwest Africa 852 and Acfer 214 were pro-vided by the Senckenberg Forschungsinstitut und Naturmuseum Frankfurt, Germany. Rainer Bartoschewitz must be thanked for providing us with sample material of SaU 290. This work was funded by the German Research Foundation (DFG) within the Priority Program The first 10 Million Years - a Planetary Materials Approach (SPP 1385, project WE 2850/131, ZI 1196/31) .</t>
  </si>
  <si>
    <t>10.1016/j.gca.2021.06.009</t>
  </si>
  <si>
    <t>TP2DE</t>
  </si>
  <si>
    <t>WOS:000677405700003</t>
  </si>
  <si>
    <t>Owens, LB; Kyle, PR; Sharp, ZD; Campbell, A</t>
  </si>
  <si>
    <t>Owens, Lara B.; Kyle, Philip R.; Sharp, Zachary D.; Campbell, Andrew</t>
  </si>
  <si>
    <t>Origin of low oxygen isotopic compositions in alkalic lavas from Erebus volcano, Antarctica</t>
  </si>
  <si>
    <t>Erebus volcano; Oxygen isotopes; Antarctica; Alkaline volcanics</t>
  </si>
  <si>
    <t>BENEATH ROSS ISLAND; MOUNT EREBUS; UPPER-MANTLE; NEW-ZEALAND; O-ISOTOPE; EVOLUTION; MAGMAS; FRACTIONATION; GENESIS; CRUSTAL</t>
  </si>
  <si>
    <t>Mount Erebus on Ross Island, Antarctica is an active volcano that has hosted a persistent phonolite lava lake for over 50 years. Oxygen isotope analysis of minerals in alkaline basanite to phonolite lavas from Erebus and surrounding volcanic centers show an anomalous trend of decreasing delta O-18 with magmatic evolution. The cold frozen climate and lack of radiogenic isotope evidence for assimilation of crustal materials makes this a unique location to investigate factors contributing to changes in oxygen isotope compositions. Olivine, feldspar, glass and whole rock samples from 29 lavas, 7 modern bombs and 2 xenoliths were analyzed for their oxygen isotopic compositions. Forward models indicate there should be an enrichment in delta O-18 of 0.4 parts per thousand in lavas due to Raleigh fractionation, but this is not observed. Olivine delta O-18 decreases from a typical mantle value of +5.3 parts per thousand in the parental basanite source to 4.3 parts per thousand in recently erupted phonolite lava bombs. The trend correlates with a decreasing forsterite content in the olivine. Feldspar and glasses exhibit delta O-18 values well below predicted values and are in fractionation disequilibrium with olivine compositions at measured magmatic temperatures of 1000 degrees C within the phonolite lava lake. Isotopic depletion of the melt may be accounted for by incorporation of 8-11% hydrothermally altered volcanic edifice over time assuming water-rock interaction from strongly isotopically depleted Antarctic precipitation. Enhanced disequilibrium with olivine phenocrysts, are seen during the late stages of Erebus volcano construction. This calls for differential fractionation of olivine and feldspar from their respective melts, and slow O-diffusion of olivine while in the shallow lava lake prior to eruption. (C) 2021 Elsevier Ltd. All rights reserved.</t>
  </si>
  <si>
    <t>[Owens, Lara B.] Rocky Mt Inst, Boulder, CO 80301 USA; [Owens, Lara B.; Kyle, Philip R.; Campbell, Andrew] New Mexico Inst Min &amp; Technol, Dept Earth &amp; Environm Sci, Socorro, NM 87801 USA; [Sharp, Zachary D.] Univ New Mexico, Dept Earth &amp; Planetary Sci, Ctr Stable Isotopes, Albuquerque, NM 87131 USA</t>
  </si>
  <si>
    <t>New Mexico Institute of Mining Technology; University of New Mexico</t>
  </si>
  <si>
    <t>Kyle, PR (corresponding author), New Mexico Inst Min &amp; Technol, Dept Earth &amp; Environm Sci, Socorro, NM 87801 USA.</t>
  </si>
  <si>
    <t>lowens@rmi.org; philip.kyle@nmt.edu; zsharp@unm.edu; andrew.campbell@nmt.edu</t>
  </si>
  <si>
    <t>Kyle, Philip/0000-0001-6598-8062; Sharp, Zachary/0000-0003-1902-5542</t>
  </si>
  <si>
    <t>National Science Foundation [ANT0838817, ANT1142083, PLR1644234]</t>
  </si>
  <si>
    <t>This work was partially supported by National Science Foundation grants ANT0838817, ANT1142083 and PLR1644234. We thank the 3 journal reviewers (Ilya Binderman, Kurt Panter and Brad Peters) and Associate Editor Rosemary Hickey-Vargas for helpful constructive comments.</t>
  </si>
  <si>
    <t>10.1016/j.gca.2021.06.008</t>
  </si>
  <si>
    <t>WOS:000677405700004</t>
  </si>
  <si>
    <t>Jantawongsri, K; Norregaard, RD; Bach, L; Dietz, R; Sonne, C; Jorgensen, K; Lierhagen, S; Ciesielski, TM; Jenssen, BM; Haddy, J; Eriksen, R; Nowak, B</t>
  </si>
  <si>
    <t>Jantawongsri, Khattapan; Norregaard, Rasmus Dyrmose; Bach, Lis; Dietz, Rune; Sonne, Christian; Jorgensen, Kasper; Lierhagen, Syverin; Ciesielski, Tomasz Maciej; Jenssen, Bjorn Munro; Haddy, James; Eriksen, Ruth; Nowak, Barbara</t>
  </si>
  <si>
    <t>Histopathological effects of short-term aqueous exposure to environmentally relevant concentration of lead (Pb) in shorthorn sculpin (Myoxocephalus scorpius) under laboratory conditions</t>
  </si>
  <si>
    <t>ENVIRONMENTAL SCIENCE AND POLLUTION RESEARCH</t>
  </si>
  <si>
    <t>Aqueous Pb exposure; Blood Pb concentration; Controlled experiment; Gill mucous cell; Greenland sculpin; Lead-zinc mines</t>
  </si>
  <si>
    <t>RAINBOW-TROUT; HEAVY-METALS; POTENTIAL RISK; ZINC MINE; MARINE ANIMALS; FATHEAD MINNOW; FISH; BIOACCUMULATION; ACCUMULATION; PARASITES</t>
  </si>
  <si>
    <t>Shorthorn sculpin (Myoxocephalus scorpius) has been used as a sentinel species for environmental monitoring, including heavy metal contamination from mining activities. Former lead-zinc (Pb-Zn) mines in Greenland resulted in elevated concentrations of metals, especially Pb, in marine biota. However, the potential accumulation of Pb and effects of the presence of Pb residues in fish on health of sculpins observed in the field have not been validated in laboratory experiments. Therefore, our aim was to validate field observation of shorthorn sculpin via controlled laboratory exposure to environmentally relevant concentrations of dissolved Pb. We evaluated the effects of a short-term (28 days) exposure to Pb on Pb residues in sculpin blood, gills, liver, and muscle and the morphology of gills and liver. The highest level of Pb was found in the gills, followed by muscle and then liver. Pb levels in liver, gills, and blood of Pb-exposed sculpins were significantly higher than those in control fish, showing that blood is suitable for assessing Pb accumulation and exposure in sculpins. Histopathological investigations showed that the severity score of liver necrosis and gill telangiectasia of Pb-exposed sculpins was significantly greater than in control fish. The number of mucous cells in gills was positively correlated with Pb concentrations in organs. Overall, the results validated field observation for the effects of Pb on wild sculpin and contributed to the improved use of the shorthorn sculpin as sentinel species for monitoring contamination from Pb mines in the Arctic.</t>
  </si>
  <si>
    <t>[Jantawongsri, Khattapan; Haddy, James; Eriksen, Ruth; Nowak, Barbara] Univ Tasmania, Inst Marine &amp; Antarctic Studies IMAS, Launceston, Tas 7250, Australia; [Norregaard, Rasmus Dyrmose; Bach, Lis; Dietz, Rune; Sonne, Christian; Jenssen, Bjorn Munro; Nowak, Barbara] Aarhus Univ, Fac Tech Sci, Arctic Res Ctr ARC, Dept Biosci, Frederiksborgvej 399,Box 358, DK-4000 Roskilde, PO, Denmark; [Jorgensen, Kasper] Natl Aquarium Denmark, Den Bla Planet, Jacob Fortlingsvej 1, DK-2770 Copenhagen, Denmark; [Lierhagen, Syverin] Norwegian Univ Sci &amp; Technol, Dept Chem, NO-7491 Trondheim, Norway; [Ciesielski, Tomasz Maciej; Jenssen, Bjorn Munro] Norwegian Univ Sci &amp; Technol, Dept Biol, Hogskoleringen 5, NO-7491 Trondheim, Norway; [Eriksen, Ruth] CSIRO Oceans &amp; Atmosphere, Hobart, Tas 7004, Australia</t>
  </si>
  <si>
    <t>University of Tasmania; Aarhus University; Norwegian University of Science &amp; Technology (NTNU); Norwegian University of Science &amp; Technology (NTNU); Commonwealth Scientific &amp; Industrial Research Organisation (CSIRO)</t>
  </si>
  <si>
    <t>Nowak, B (corresponding author), Univ Tasmania, Inst Marine &amp; Antarctic Studies IMAS, Launceston, Tas 7250, Australia.;Nowak, B (corresponding author), Aarhus Univ, Fac Tech Sci, Arctic Res Ctr ARC, Dept Biosci, Frederiksborgvej 399,Box 358, DK-4000 Roskilde, PO, Denmark.</t>
  </si>
  <si>
    <t>B.Nowak@utas.edu.au</t>
  </si>
  <si>
    <t>Sonne, Christian/I-7532-2013; Jenssen, Bjorn M/J-4830-2012; Ciesielski, Tomasz/J-9039-2012; Bach, Lis/J-6567-2013; Eriksen, Ruth/J-7760-2014; Nowak, Barbara/J-7261-2014</t>
  </si>
  <si>
    <t>Sonne, Christian/0000-0001-5723-5263; Jantawongsri, Khattapan/0000-0003-1738-8091; Ciesielski, Tomasz Maciej/0000-0001-7509-1662; Bach, Lis/0000-0003-2891-4202; Eriksen, Ruth/0000-0002-5184-2465; Nowak, Barbara/0000-0002-0347-643X</t>
  </si>
  <si>
    <t>Development and Promotion of Science and Technology Talents Project (DPST), Royal Government of Thailand scholarship</t>
  </si>
  <si>
    <t>The authors gratefully acknowledge the Development and Promotion of Science and Technology Talents Project (DPST), Royal Government of Thailand scholarship, for providing a grant for Khattapan Jantawongsri PhD study. We would like to thank Dr. Brian Jones and Dr. Judy Handlinger for valuable suggestions for interpretation of histopathology and Dr. Sabrina Sonda for her comments and suggestions on the manuscript. We acknowledge the Blue Planet including Chief Curator and Technical manager Lars Olsen for providing their expertise, time, and facilities for the present experiment.</t>
  </si>
  <si>
    <t>0944-1344</t>
  </si>
  <si>
    <t>1614-7499</t>
  </si>
  <si>
    <t>ENVIRON SCI POLLUT R</t>
  </si>
  <si>
    <t>Environ. Sci. Pollut. Res.</t>
  </si>
  <si>
    <t>10.1007/s11356-021-14972-6</t>
  </si>
  <si>
    <t>WV2NR</t>
  </si>
  <si>
    <t>WOS:000666841800012</t>
  </si>
  <si>
    <t>Mousavi, SE; Patil, JG</t>
  </si>
  <si>
    <t>Mousavi, Seyed Ehsan; Patil, Jawahar G.</t>
  </si>
  <si>
    <t>Stages of embryonic development in the live-bearing fish, Gambusia holbrooki</t>
  </si>
  <si>
    <t>DEVELOPMENTAL DYNAMICS</t>
  </si>
  <si>
    <t>developmental events; embryogenesis; invasive fish; morphology; ontogeny; viviparous</t>
  </si>
  <si>
    <t>VIVIPAROUS MOSQUITOFISH; SEX DETERMINATION; KUPFFERS VESICLE; DANIO-RERIO; EVOLUTION; MODEL; ZEBRAFISH; HEART; GENE; MECHANISMS</t>
  </si>
  <si>
    <t>Background Divergent morphology and placentation of Poeciliids make them suitable model for investigating how evolutionary selection has altered and conserved the developmental mechanisms. However, there is limited description of their embryonic staging, despite representing a key evolutionary node that shares developmental strategy with placental vertebrates. Here, we describe the embryonic developmental stages of Gambusia holbrooki from zygote to parturition using freshly harvested embryos. Results We defined 40 embryonic stages using a numbered (stages 0-39; zygote to parturition, respectively) and named (grouped into seven periods, ie, zygote, cleavage, blastula, gastrula, segmentation, pharyngula, and parturition) staging system. Two sets of quantitative (ie, egg diameter, embryonic total length, otic vesicle closure index, heart rates, the number of caudal fin rays and elements) and qualitative (ie, three-dimensional analysis of images and key morphological criteria) data were acquired and used in combination to describe each stage. All 40 stages are separated by well-defined morphological traits, revealing developmental novelties that are influenced by narrow perivitelline space, placentation, internal gestation, and sex differentiation. Conclusions The principal diagnostic features described are quick, reliable, and easy to apply. This system will benefit researchers investigating molecular ontogeny, particularly sexual differentiation mechanisms in G. holbrooki.</t>
  </si>
  <si>
    <t>[Mousavi, Seyed Ehsan; Patil, Jawahar G.] Univ Tasmania, Inst Marine &amp; Antarctic Studies, Fisheries &amp; Aquaculture Ctr, Taroona, Tas 7053, Australia; [Patil, Jawahar G.] Inland Fisheries Serv, New Norfolk, Tas, Australia</t>
  </si>
  <si>
    <t>Mousavi, SE; Patil, JG (corresponding author), Univ Tasmania, Inst Marine &amp; Antarctic Studies, Fisheries &amp; Aquaculture Ctr, Taroona, Tas 7053, Australia.</t>
  </si>
  <si>
    <t>ehsan.mousavi@utas.edu.au; jawahar.patil@utas.edu.au</t>
  </si>
  <si>
    <t>Mousavi, Seyed Ehsan/AAG-3771-2021</t>
  </si>
  <si>
    <t>Mousavi, Seyed Ehsan/0000-0002-7099-6355; Patil, Jawahar G/0000-0002-2154-4627</t>
  </si>
  <si>
    <t>Australian Research Council [LP140100428]; Australian Research Council [LP140100428] Funding Source: Australian Research Council</t>
  </si>
  <si>
    <t>Australian Research Council, Grant/ Award Number: LP140100428</t>
  </si>
  <si>
    <t>1058-8388</t>
  </si>
  <si>
    <t>1097-0177</t>
  </si>
  <si>
    <t>DEV DYNAM</t>
  </si>
  <si>
    <t>Dev. Dyn.</t>
  </si>
  <si>
    <t>10.1002/dvdy.388</t>
  </si>
  <si>
    <t>Anatomy &amp; Morphology; Developmental Biology</t>
  </si>
  <si>
    <t>YQ0FR</t>
  </si>
  <si>
    <t>Green Accepted, Bronze</t>
  </si>
  <si>
    <t>WOS:000666582300001</t>
  </si>
  <si>
    <t>Ceia, FR; Cherel, Y; Seco, J; Barbosa, A; Chipev, N; Xavier, JC</t>
  </si>
  <si>
    <t>Ceia, Filipe R.; Cherel, Yves; Seco, Jose; Barbosa, Andres; Chipev, Nesho; Xavier, Jose C.</t>
  </si>
  <si>
    <t>Variability in tissue-specific trophic discrimination factors ( increment 13C and increment 15N) between Antarctic krill Euphausia superba and free-ranging Pygoscelis penguins</t>
  </si>
  <si>
    <t>Carbon; Nitrogen; Stable isotopes; Chinstrap; Gentoo; Isotopic variability</t>
  </si>
  <si>
    <t>SOUTH SHETLAND ISLANDS; STABLE-ISOTOPE ANALYSIS; KING-GEORGE-ISLAND; CHINSTRAP PENGUINS; FOOD; DELTA-N-15; FEATHERS; DIET; DELTA-C-13; NITROGEN</t>
  </si>
  <si>
    <t>For top consumers in marine environments, trophic discrimination factors ( increment C-13 and increment N-15) between food and consumers' tissues are expected to be similar among related species. However, few studies conducted in the laboratory indicate a large variability among species, which should be potentially higher in free-ranging animals. Here, we test for differences in tissue-specific increment C-13 and increment N-15 values of two wild penguin species (Chinstrap Pygoscelis antarctica and Gentoo P. papua) breeding in sympatry at Livingston Island, Antarctica. A total of 41 adults and 28 chicks, and food items comprised exclusively by Antarctic krill (Euphausia superba, n = 22) in Chinstraps and almost exclusively in Gentoos, were sampled for stable isotope analyses. Overall, Delta C-13 values varied between -1.8 and 4.0 parts per thousand and Delta N-15 values ranged from 1.2 to 6.1 parts per thousand, and these differed between species, tissues and age-classes. Delta C-13 in adult penguins differed between species for feather and blood. Species-specific differences in Delta C-13 and Delta N-15 were seen in chick nail and muscle, while only Delta C-13 values differed between species in feathers. Our results show that trophic discrimination factors can differ substantially between closely related species consuming similar prey, especially in Delta C-13 value. Variation in Delta C-13 was driven by species, tissue and age-class, while variation in Delta N-15 was mostly driven by tissue type. Trophic discrimination factors may be associated to physiological and/or stress factors which may fluctuate in the wild, and this was particularly evident on chicks. This study highlights the use of diet-specialised species for the determination of trophic discrimination factors in the wild.</t>
  </si>
  <si>
    <t>[Ceia, Filipe R.; Xavier, Jose C.] Univ Coimbra, MARE Marine &amp; Environm Sci Ctr, Dept Life Sci, P-3000456 Coimbra, Portugal; [Cherel, Yves] La Rochelle Univ, Ctr Etud Biol Chize CEBC, UMR 7372, CNRS, F-79360 Villiers En Bois, France; [Seco, Jose] Univ Aveiro, CESAM, P-3810193 Aveiro, Portugal; [Seco, Jose] Univ Aveiro, Dept Chem, P-3810193 Aveiro, Portugal; [Seco, Jose] Univ St Andrews, Sch Biol, St Andrews, Fife, Scotland; [Barbosa, Andres] CSIC, Dept Ecol Evolut, Museo Nacl Ciencias Nat, Madrid 28006, Spain; [Chipev, Nesho] Bulgarian Acad Sci, Inst Biodivers &amp; Ecosyst Res, 2 Yurii Gagarin St, Sofia 1113, Bulgaria; [Xavier, Jose C.] NERC, British Antarctic Survey, Madingley Rd, Cambridge CB3 0ET, England</t>
  </si>
  <si>
    <t>Universidade de Coimbra; Centre National de la Recherche Scientifique (CNRS); CNRS - Institute of Ecology &amp; Environment (INEE); Universidade de Aveiro; Universidade de Aveiro; University of St Andrews; Consejo Superior de Investigaciones Cientificas (CSIC); CSIC - Museo Nacional de Ciencias Naturales (MNCN); Bulgarian Academy of Sciences; UK Research &amp; Innovation (UKRI); Natural Environment Research Council (NERC); NERC British Antarctic Survey</t>
  </si>
  <si>
    <t>Ceia, FR (corresponding author), Univ Coimbra, MARE Marine &amp; Environm Sci Ctr, Dept Life Sci, P-3000456 Coimbra, Portugal.</t>
  </si>
  <si>
    <t>ceiafilipe@zoo.uc.pt</t>
  </si>
  <si>
    <t>Xavier, José/KFB-6739-2024; Ceia, Filipe R./A-2196-2012; Chipev, Nesho/ABG-8857-2021</t>
  </si>
  <si>
    <t>Ceia, Filipe R./0000-0002-5470-5183; Seco, Jose/0000-0002-7957-6488; /0000-0002-9621-6660</t>
  </si>
  <si>
    <t>FCT [MARE-UID/MAR/04292/2020]; Foundation for Science and Technology (FCT; Portugal) [DL57/2016/CP1370/CT90, SRFH/PD/BD/113487/2015]; European Social Fund (POPH, EU)</t>
  </si>
  <si>
    <t>FCT(Fundacao para a Ciencia e a Tecnologia (FCT)); Foundation for Science and Technology (FCT; Portugal)(Fundacao para a Ciencia e a Tecnologia (FCT)); European Social Fund (POPH, EU)</t>
  </si>
  <si>
    <t>This work is part of SCAR AnT-ERA, ICED and SCAR-EGBAMM programs. This study benefitted from the strategic programme of MARE, financed by FCT (MARE-UID/MAR/04292/2020). FRC acknowledges the transitory norm contract (DL57/2016/CP1370/CT90) and JS the PhD Grant (SRFH/PD/BD/113487/2015) financed by the Foundation for Science and Technology (FCT; Portugal) and the European Social Fund (POPH, EU). Part of this data has been presented previously at the SCAR Open Science Conference 2020, Hobart, Australia. We would also like to thank Keith M. Hernandez, Arnaud Tarroux and four anonymous reviewers for their contribution to the peer review of this work.</t>
  </si>
  <si>
    <t>10.1007/s00300-021-02889-2</t>
  </si>
  <si>
    <t>WOS:000666824900001</t>
  </si>
  <si>
    <t>Riverón, S; Raoult, V; Baylis, AMM; Jones, KA; Slip, DJ; Harcourt, RG</t>
  </si>
  <si>
    <t>Riveron, Sabrina; Raoult, Vincent; Baylis, Alastair M. M.; Jones, Kayleigh A.; Slip, David J.; Harcourt, Robert G.</t>
  </si>
  <si>
    <t>Pelagic and benthic ecosystems drive differences in population and individual specializations in marine predators</t>
  </si>
  <si>
    <t>Otaria byronia; Arctocephalus australis; Individual specialization; Trophic niche; Stable isotope analysis</t>
  </si>
  <si>
    <t>AMERICAN FUR SEALS; STABLE-ISOTOPE ANALYSES; FORAGING BEHAVIOR; INTRASPECIFIC COMPETITION; ARCTOCEPHALUS-AUSTRALIS; TROPHIC POSITION; APEX PREDATORS; RESOURCE USE; FOOD-WEB; NICHE</t>
  </si>
  <si>
    <t>Individual specialization, which describes whether populations are comprised of dietary generalists or specialists, has profound ecological and evolutionary implications. However, few studies have quantified individual specialization within and between sympatric species that are functionally similar but have different foraging modes. We assessed the relationship between individual specialization, isotopic niche metrics and foraging behaviour of two marine predators with contrasting foraging modes: pelagic foraging female South American fur seals (Arctocephalus australis) and benthic foraging female southern sea lions (Otaria byronia). Stable isotope analysis of carbon and nitrogen was conducted along the length of adult female vibrissae to determine isotopic niche metrics and the degree of individual specialization. Vibrissae integrated time ranged between 1.1 and 5.5 years, depending on vibrissae length. We found limited overlap in dietary niche-space. Broader population niche sizes were associated with higher degrees of individual specialization, while narrower population niches with lower degrees of individual specialization. The degree of individual specialization was influenced by pelagic and benthic foraging modes. Specifically, South American fur seals, foraging in dynamic pelagic environments with abundant but similar prey, comprised specialist populations composed of generalist individuals. In contrast, benthic southern sea lions foraging in habitats with diverse but less abundant prey had more generalist populations composed of highly specialized individuals. We hypothesize that differences in specialization within and between populations were related to prey availability and habitat differences. Our study supports growing body of literature highlighting that individual specialization is a critical factor in shaping the ecological niche of higher marine predators.</t>
  </si>
  <si>
    <t>[Riveron, Sabrina; Baylis, Alastair M. M.; Slip, David J.; Harcourt, Robert G.] Macquarie Univ, Dept Biol Sci, Marine Predator Res Grp, N Ryde, NSW 2113, Australia; [Raoult, Vincent] Univ Newcastle, Sch Environm &amp; Life Sci, Ourimbah, Australia; [Baylis, Alastair M. M.] South Atlantic Environm Res Inst, POB 609, Stanley FIQQ 1ZZ, Falkland Island; [Jones, Kayleigh A.] British Antarctic Survey, Madingley Rd, Cambridge CB3 0ET, England; [Jones, Kayleigh A.] Univ Exeter, Penryn Campus, Penryn TR10 9FE, Cornwall, England; [Slip, David J.] Taronga Conservat Soc Australia, Bradleys Head Rd, Mosman, NSW 2088, Australia</t>
  </si>
  <si>
    <t>Macquarie University; University of Newcastle; UK Research &amp; Innovation (UKRI); Natural Environment Research Council (NERC); NERC British Antarctic Survey; University of Exeter; Taronga Conservation Society Australia</t>
  </si>
  <si>
    <t>Riverón, S (corresponding author), Macquarie Univ, Dept Biol Sci, Marine Predator Res Grp, N Ryde, NSW 2113, Australia.</t>
  </si>
  <si>
    <t>sabrina.riveron@gmail.com</t>
  </si>
  <si>
    <t>Baylis, Alastair/H-9471-2019; Raoult, Vincent/H-6038-2019</t>
  </si>
  <si>
    <t>Baylis, Alastair/0000-0002-5167-0472; Raoult, Vincent/0000-0001-9459-111X; Slip, David/0000-0002-9010-7236; Riveron Mato, Sabrina/0000-0001-7459-2449; Harcourt, Robert/0000-0003-4666-2934</t>
  </si>
  <si>
    <t>Shackleton Scholarship Fund (Centenary Award); Rufford Small Grants; Sea World and Busch Gardens Conservation Fund; Joint Nature Conservation Committee; National Geographic Society; Winifred Violet Scott; Falkland Islands Government; Darwin Initiative; Project AWARE; Macquarie University; Agencia Nacional de Investigacion e Innovacion [2017654]; PADI Foundation; Waitt ROC grant; NERC Life Sciences Mass Spectrometry Facility [EK280-03/17]; National Geographic Society (Early Career Explorers Grant) [WW-260ER-17]; NERC [bas0100035] Funding Source: UKRI</t>
  </si>
  <si>
    <t>Shackleton Scholarship Fund (Centenary Award); Rufford Small Grants; Sea World and Busch Gardens Conservation Fund; Joint Nature Conservation Committee; National Geographic Society(National Geographic Society); Winifred Violet Scott; Falkland Islands Government; Darwin Initiative; Project AWARE; Macquarie University; Agencia Nacional de Investigacion e Innovacion; PADI Foundation; Waitt ROC grant; NERC Life Sciences Mass Spectrometry Facility; National Geographic Society (Early Career Explorers Grant)(National Geographic Society); NERC(UK Research &amp; Innovation (UKRI)Natural Environment Research Council (NERC))</t>
  </si>
  <si>
    <t>This research was funded by Shackleton Scholarship Fund (Centenary Award), Rufford Small Grants, Sea World and Busch Gardens Conservation Fund, Joint Nature Conservation Committee, National Geographic Society, Winifred Violet Scott, Falkland Islands Government, Darwin Initiative, Project AWARE, Macquarie University and Agencia Nacional de Investigacion e Innovacion (2017654), PADI Foundation, and Waitt ROC grant. It was also funded by the NERC Life Sciences Mass Spectrometry Facility (EK280-03/17), and the National Geographic Society (Early Career Explorers Grant; WW-260ER-17).</t>
  </si>
  <si>
    <t>10.1007/s00442-021-04974-z</t>
  </si>
  <si>
    <t>TL6AF</t>
  </si>
  <si>
    <t>WOS:000666830600002</t>
  </si>
  <si>
    <t>Wang, SS; Yan, JP; Lin, Q; Zhao, SH; Xu, SQ; Li, L; Zhang, MM; Chen, LQ</t>
  </si>
  <si>
    <t>Wang, Shanshan; Yan, Jinpei; Lin, Qi; Zhao, Shuhui; Xu, Suqing; Li, Lei; Zhang, Miming; Chen, Liqi</t>
  </si>
  <si>
    <t>Non-ignorable contribution of anthropogenic source to aerosols in Arctic Ocean</t>
  </si>
  <si>
    <t>Arctic aerosols; Components; Size distribution; Anthropogenic sources</t>
  </si>
  <si>
    <t>SOURCE APPORTIONMENT; PARTICULATE MATTER; ORGANIC AEROSOL; PM2.5; POLLUTION; IDENTIFICATION; EMISSIONS; CLIMATE; SEA; POLLUTANTS</t>
  </si>
  <si>
    <t>Arctic Ocean (AO) atmospheric aerosols, which are a factor influencing regional and global climate, have been greatly influenced by an increase in anthropogenic sources. To identify the impact of anthropogenic sources on regional aerosols in the AO and middle and low latitudes (MLO), a single-particle aerosol mass spectrometer was used to count and size aerosols with diameters less than 2.5 mu m (PM2.5) and determine their chemical composition. The mean hourly count of PM2.5 aerosols was 1639/h in the AO, which was 57.1% lower than that in the MLO. Na_MSA, sulfate, and Na_rich were three major components, which accounted for 74.3% of PM2.5 aerosols in the AO. The size distribution of PM2.5 aerosols was unimodal, peaking between 0.42 mu m and 1.64 mu m. A source apportionment method for single aerosol particles in the Arctic was established using positive matrix factorization (PMF) combined with backward air mass trajectory and principal component analysis (PCA). Three potential sources of aerosols were identified: marine sources; anthropogenic sources; and secondary formation. The largest contribution to aerosols in the AO was from marine sources, accounting for 50.6%. This source was 20.4% higher in the AO than that in the MLO. Secondary formation contributed 19.8% and 36.5% to aerosols in the AO and MLO, respectively. However, the contribution of anthropogenic sources to aerosols was 29.6% in the AO, and this was 3.7% lower than that in the MLO. Our study provides a useful method for identifying sources of aerosols in the Arctic, and the results showed that although marine sources were the largest contributors to aerosols in the AO, the contribution of anthropogenic sources could not be ignored.</t>
  </si>
  <si>
    <t>[Wang, Shanshan; Yan, Jinpei; Lin, Qi; Zhao, Shuhui; Xu, Suqing; Zhang, Miming; Chen, Liqi] Minist Nat Resources, Key Lab Global Change &amp; Marine Atmospher Chem, Xiamen 361005, Peoples R China; [Wang, Shanshan; Yan, Jinpei; Lin, Qi; Zhao, Shuhui; Xu, Suqing; Zhang, Miming; Chen, Liqi] Minist Nat Resources, Inst Oceanog 3, Xiamen 361005, Peoples R China; [Li, Lei] Jinan Univ, Inst Mass Spectrometer &amp; Atmospher Environm, Guangzhou 510632, Peoples R China</t>
  </si>
  <si>
    <t>Ministry of Natural Resources of the People's Republic of China; Ministry of Natural Resources of the People's Republic of China; Third Institute of Oceanography, Ministry of Natural Resources; Jinan University</t>
  </si>
  <si>
    <t>Yan, JP (corresponding author), 178 Daxue Rd, Xiamen, Fujian, Peoples R China.</t>
  </si>
  <si>
    <t>jpyan@tio.org.cn</t>
  </si>
  <si>
    <t>Wang, Shan-Shan/S-8186-2019; li, lei/HZI-2370-2023; Wang, Shanshan/D-2283-2014</t>
  </si>
  <si>
    <t>li, lei/0000-0002-6211-1668; Xu, Suqing/0000-0002-8198-0631</t>
  </si>
  <si>
    <t>National Natural Science Foundation of China [41941014, 41305133]; Scientific Research Foundation of Third Institute of Oceanography, MNR [2019024]; Qingdao National Laboratory for Marine Science and Technology [QNLM2016ORP0109]; Natural Science Foundation of Fujian Province, China [2019J01120]; Chinese Projects for Investigations and Assessments of the Arctic and Antarctic</t>
  </si>
  <si>
    <t>National Natural Science Foundation of China(National Natural Science Foundation of China (NSFC)); Scientific Research Foundation of Third Institute of Oceanography, MNR; Qingdao National Laboratory for Marine Science and Technology; Natural Science Foundation of Fujian Province, China(Natural Science Foundation of Fujian Province); Chinese Projects for Investigations and Assessments of the Arctic and Antarctic</t>
  </si>
  <si>
    <t>Foundings This study is Financially Supported by the National Natural Science Foundation of China (No. 41941014, 41305133) , Scientific Research Foundation of Third Institute of Oceanography, MNR. (No. 2019024) , Qingdao National Laboratory for Marine Science and Technology (No. QNLM2016ORP0109) , the Natural Science Foundation of Fujian Province, China (No. 2019J01120) , the Chinese Projects for Investigations and Assessments of the Arctic and Antarctic (CHINARE2017-2020) .</t>
  </si>
  <si>
    <t>10.1016/j.envres.2021.111538</t>
  </si>
  <si>
    <t>WB5NA</t>
  </si>
  <si>
    <t>WOS:000703617200004</t>
  </si>
  <si>
    <t>de Kock, L; Oosthuizen, WC; Beltran, RS; Bester, MN; de Bruyn, PJN</t>
  </si>
  <si>
    <t>de Kock, Leandri; Oosthuizen, W. Chris; Beltran, Roxanne S.; Bester, Marthan N.; de Bruyn, P. J. Nico</t>
  </si>
  <si>
    <t>Determinants of moult haulout phenology and duration in southern elephant seals</t>
  </si>
  <si>
    <t>MIROUNGA-LEONINA; CLIMATE-CHANGE; PHOCA-VITULINA; HARBOR SEALS; ANNUAL CYCLE; BODY-MASS; POPULATION; SEX; AGE; PATTERNS</t>
  </si>
  <si>
    <t>Phenological shifts are among the most obvious biological responses to environmental change, yet documented responses for Southern Ocean marine mammals are extremely rare. Marine mammals can respond to environmental changes through phenological flexibility of their life-history events such as breeding and moulting. Southern elephant seals (Mirounga leonina) undergo an obligatory annual moult which involves the rapid shedding of epidermal skin and hair while seals fast ashore. We quantified the timing (phenology) and duration (the time from arrival ashore to departure) of the moult haulout of 4612 female elephant seals at Marion Island over 32 years. Using linear mixed-effects models, we investigated age, breeding state and environmental drivers of moult timing and haulout duration. We found no clear evidence for a temporal shift in moult phenology or its duration. Annual variation in moult arrival date and haulout duration was small relative to age and breeding effects, which explained more than 90% of the variance in moult arrival date and 25% in moult haulout duration. All environmental covariates we tested explained minimal variation in the data. Female elephant seals moulted progressively later as juveniles, but adults age 4 and older had similar moult start dates that depended on the breeding state of the female. In contrast, moult haulout duration was not constant with age among adults, but instead became shorter with increasing age. Moulting is energetically expensive and differences in the moult haulout duration are possibly due to individual variation in body mass and associated metabolizable energy reserves, although other drivers (e.g. hormones) may also be present. Individual-based data on moult arrival dates and haulout duration can be used as auxiliary data in demographic modelling and may be useful proxies of other important biological parameters such as body condition and breeding history.</t>
  </si>
  <si>
    <t>[de Kock, Leandri; Oosthuizen, W. Chris; Bester, Marthan N.; de Bruyn, P. J. Nico] Univ Pretoria, Mammal Res Inst, Dept Zool &amp; Entomol, Private Bag X20, ZA-0028 Hatfield, South Africa; [Oosthuizen, W. Chris] Nelson Mandela Univ, Marine Apex Predator Res Unit, Inst Coastal &amp; Marine Res, ZA-6031 Port Elizabeth, South Africa; [Oosthuizen, W. Chris] Nelson Mandela Univ, Dept Zool, ZA-6031 Port Elizabeth, South Africa; [Beltran, Roxanne S.] Univ Calif Santa Cruz, Dept Ecol &amp; Evolutionary Biol, 115 McAllister Way, Santa Cruz, CA 95060 USA</t>
  </si>
  <si>
    <t>University of Pretoria; Nelson Mandela University; Nelson Mandela University; University of California System; University of California Santa Cruz</t>
  </si>
  <si>
    <t>Oosthuizen, WC (corresponding author), Univ Pretoria, Mammal Res Inst, Dept Zool &amp; Entomol, Private Bag X20, ZA-0028 Hatfield, South Africa.</t>
  </si>
  <si>
    <t>wcoosthuizen@zoology.up.ac.za</t>
  </si>
  <si>
    <t>Oosthuizen, W. Chris/I-2947-2016; de Bruyn, P. J. Nico/E-4176-2010</t>
  </si>
  <si>
    <t>Oosthuizen, W. Chris/0000-0003-2905-6297; de Bruyn, P. J. Nico/0000-0002-9114-9569; de Kock, Leandri/0000-0003-1574-809X</t>
  </si>
  <si>
    <t>South African Department of Science and Innovation through the National Research Foundation (NRF)</t>
  </si>
  <si>
    <t>We thank all the field workers who collected data on southern elephant seals at Marion Island. The research benefitted from logistical support from the Department of Forestry, Fisheries and the Environment (DFFE) within the South African National Antarctic Programme. The South African Department of Science and Innovation provided funding to support this research through the National Research Foundation (NRF).</t>
  </si>
  <si>
    <t>JUN 25</t>
  </si>
  <si>
    <t>10.1038/s41598-021-92635-9</t>
  </si>
  <si>
    <t>TD6RW</t>
  </si>
  <si>
    <t>WOS:000669452600013</t>
  </si>
  <si>
    <t>Painting, SJ; Haigh, EK; Graham, JA; Morley, SA; Henry, L; Clingham, E; Hobbs, R; Mynott, F; Bersuder, P; Walker, DI; Stamford, T</t>
  </si>
  <si>
    <t>Painting, Suzanne Jane; Haigh, Eleanor K.; Graham, Jennifer A.; Morley, Simon A.; Henry, Leeann; Clingham, Elizabeth; Hobbs, Rhys; Mynott, Frances; Bersuder, Philippe; Walker, David, I; Stamford, Tammy</t>
  </si>
  <si>
    <t>St Helena Marine Water Quality: Background Conditions and Development of Assessment Levels for Coastal Pollutants</t>
  </si>
  <si>
    <t>oceanography; threshold; indicator; nutrient; microbiology; contaminant; metals; oxygen</t>
  </si>
  <si>
    <t>TROPICAL ATLANTIC; OXYGEN; CHLOROPHYLL; NUTRIENTS; OCEAN; EUTROPHICATION; ENVIRONMENT; THRESHOLDS; SOUTHERN; HYPOXIA</t>
  </si>
  <si>
    <t>St Helena is an isolated oceanic island located in the tropical South Atlantic, and knowledge of broadscale oceanography and productivity in its surrounding waters is limited. This study used model outputs (2007-2017), remote sensing data (1998-2017) and survey measurements (April 2018 and 2019) to determine background conditions for nutrients, chlorophyll and suspended particulate matter (SPM) in offshore waters and propose standards (thresholds) for assessing inshore water quality based on 50% deviation from seasonal (usually June to November) or annual averages. Seasonal thresholds were proposed for surface nitrate (average 0.18 mu M), phosphate (average 0.26 mu M), silicate (average 2.60 mu M), chlorophyll (average 0.45 mu g chl l(-1)), and SPM (average 0.96 mg l(-1)). Associated background values for most surface parameters (phosphate 0.17 mu M, silicate 1.57 mu M, chlorophyll 0.30 mu g chl l(-1); from model outputs and remote sensing) were slightly higher than offshore observations (April 2019). For nitrate, the average background value (0.12 mu M) was lower than the observed average (0.24 mu M). At depth (150-500 m), annual background values from model outputs were high (nitrate 26.8 mu M, phosphate 1.8 mu M, silicate 17.3 mu M). Observed water masses at depths &gt;150 m, identified to be of Antarctic and Atlantic origin, were nutrient-rich (e.g., 16 mu M for nitrate, April 2019) and oxygen deficient (&lt;4-6 mg l(-1)). A thermocline layer (between ca. 10 and 230 m), characterized by a sub-surface chlorophyll maximum (average 0.3-0.5 mu g chl l(-1)) near the bottom of the euphotic zone (ca. 100 m), is likely to sustain primary and secondary production at St Helena. For assessing inshore levels of chemical contaminants and fecal bacteria estimated from survey measurements, standards were derived from the literature. A preliminary assessment of inshore observations using proposed thresholds from surface offshore waters and relevant literature standards indicated concerns regarding levels of nutrients and fecal bacteria at some locations. More detailed modeling and/or field-based studies are required to investigate seasonal trends and nutrient availability to inshore primary producers and to establish accurate levels of any contaminants of interest or risk to the marine environment.</t>
  </si>
  <si>
    <t>[Painting, Suzanne Jane; Haigh, Eleanor K.; Graham, Jennifer A.; Mynott, Frances; Bersuder, Philippe; Stamford, Tammy] Ctr Environm Fisheries &amp; Aquaculture Sci, Lowestoft, Suffolk, England; [Graham, Jennifer A.] Univ East Anglia, Sch Environm Sci, Norwich, Norfolk, England; [Morley, Simon A.] British Antarctic Survey, Nat Environm Res Council, Cambridge, England; [Henry, Leeann; Hobbs, Rhys] St Helena Govt, Marine Sect, Environm Nat Resources &amp; Planning Directorate, Jamestown, St Helena; [Clingham, Elizabeth] Foreign Commonwealth &amp; Dev Off, Jamestown, St Helena; [Walker, David, I] Ctr Environm Fisheries &amp; Aquaculture Sci, Weymouth, England</t>
  </si>
  <si>
    <t>Centre for Environment Fisheries &amp; Aquaculture Science; University of East Anglia; UK Research &amp; Innovation (UKRI); Natural Environment Research Council (NERC); NERC British Antarctic Survey; Centre for Environment Fisheries &amp; Aquaculture Science</t>
  </si>
  <si>
    <t>Painting, SJ (corresponding author), Ctr Environm Fisheries &amp; Aquaculture Sci, Lowestoft, Suffolk, England.</t>
  </si>
  <si>
    <t>suzanne.painting@cefas.co.uk</t>
  </si>
  <si>
    <t>Haigh, Eleanor/0000-0002-6133-6304</t>
  </si>
  <si>
    <t>UK Foreign and Commonwealth Development Office Blue Belt Program; British Antarctic Survey National Capability Program, under the UK's Official Development Assistance Provisions (NERC) [NE/R000107/1]</t>
  </si>
  <si>
    <t>UK Foreign and Commonwealth Development Office Blue Belt Program; British Antarctic Survey National Capability Program, under the UK's Official Development Assistance Provisions (NERC)</t>
  </si>
  <si>
    <t>This work was funded jointly by the UK Foreign and Commonwealth Development Office Blue Belt Program, and the British Antarctic Survey National Capability Program, under the UK's Official Development Assistance Provisions (NERC grant NE/R000107/1). The Programme supports the delivery of the Government's commitment to enhance marine protection of over four million square kilometers of marine environment across UK Overseas Territories.</t>
  </si>
  <si>
    <t>10.3389/fmars.2021.655321</t>
  </si>
  <si>
    <t>TI5SA</t>
  </si>
  <si>
    <t>WOS:000672861700001</t>
  </si>
  <si>
    <t>Caccavo, JA; Christiansen, H; Constable, AJ; Ghigliotti, L; Trebilco, R; Brooks, CM; Cotte, C; Desvignes, T; Dornan, T; Jones, CD; Koubbi, P; Saunders, RA; Strobel, A; Vacchi, M; van de Putte, AP; Walters, A; Waluda, CM; Woods, BL; Xavier, JC</t>
  </si>
  <si>
    <t>Caccavo, Jilda Alicia; Christiansen, Henrik; Constable, Andrew J.; Ghigliotti, Laura; Trebilco, Rowan; Brooks, Cassandra M.; Cotte, Cedric; Desvignes, Thomas; Dornan, Tracey; Jones, Christopher D.; Koubbi, Philippe; Saunders, Ryan A.; Strobel, Anneli; Vacchi, Marino; van de Putte, Anton P.; Walters, Andrea; Waluda, Claire M.; Woods, Briannyn L.; Xavier, Jose C.</t>
  </si>
  <si>
    <t>Productivity and Change in Fish and Squid in the Southern Ocean</t>
  </si>
  <si>
    <t>FRONTIERS IN ECOLOGY AND EVOLUTION</t>
  </si>
  <si>
    <t>marine ecosystem assessment; climate change; conservation management; Antarctic; fisheries; notothenioids; myctophids; squid</t>
  </si>
  <si>
    <t>TOOTHFISH DISSOSTICHUS-MAWSONI; PLEURAGRAMMA-ANTARCTICUM PISCES; LIFE-HISTORY CONNECTIVITY; DUMONT DURVILLE SEA; ICEFISH CHAENOCEPHALUS-ACERATUS; POPULATION GENETIC-STRUCTURE; SPECIES NOTOTHENIA-ROSSII; TERRA-NOVA BAY; PATAGONIAN TOOTHFISH; SPATIAL-DISTRIBUTION</t>
  </si>
  <si>
    <t>Southern Ocean ecosystems are globally important and vulnerable to global drivers of change, yet they remain challenging to study. Fish and squid make up a significant portion of the biomass within the Southern Ocean, filling key roles in food webs from forage to mid-trophic species and top predators. They comprise a diverse array of species uniquely adapted to the extreme habitats of the region. Adaptations such as antifreeze glycoproteins, lipid-retention, extended larval phases, delayed senescence, and energy-conserving life strategies equip Antarctic fish and squid to withstand the dark winters and yearlong subzero temperatures experienced in much of the Southern Ocean. In addition to krill exploitation, the comparatively high commercial value of Antarctic fish, particularly the lucrative toothfish, drives fisheries interests, which has included illegal fishing. Uncertainty about the population dynamics of target species and ecosystem structure and function more broadly has necessitated a precautionary, ecosystem approach to managing these stocks and enabling the recovery of depleted species. Fisheries currently remain the major local driver of change in Southern Ocean fish productivity, but global climate change presents an even greater challenge to assessing future changes. Parts of the Southern Ocean are experiencing ocean-warming, such as the West Antarctic Peninsula, while other areas, such as the Ross Sea shelf, have undergone cooling in recent years. These trends are expected to result in a redistribution of species based on their tolerances to different temperature regimes. Climate variability may impair the migratory response of these species to environmental change, while imposing increased pressures on recruitment. Fisheries and climate change, coupled with related local and global drivers such as pollution and sea ice change, have the potential to produce synergistic impacts that compound the risks to Antarctic fish and squid species. The uncertainty surrounding how different species will respond to these challenges, given their varying life histories, environmental dependencies, and resiliencies, necessitates regular assessment to inform conservation and management decisions. Urgent attention is needed to determine whether the current management strategies are suitably precautionary to achieve conservation objectives in light of the impending changes to the ecosystem.</t>
  </si>
  <si>
    <t>[Caccavo, Jilda Alicia; Strobel, Anneli] Helmholtz Ctr Polar &amp; Marine Res, Alfred Wegener Inst, Bremerhaven, Germany; [Caccavo, Jilda Alicia] Berlin Ctr Genom Biodivers Res, Berlin, Germany; [Caccavo, Jilda Alicia] Leibniz Inst Zoo &amp; Wildlife Res, Dept Evolutionary Genet, Berlin, Germany; [Christiansen, Henrik] Katholieke Univ Leuven, Lab Biodivers &amp; Evolutionary Genom, Leuven, Belgium; [Constable, Andrew J.] Australian Antarctic Div, Kingston, Tas, Australia; [Constable, Andrew J.; Trebilco, Rowan] Univ Tasmania, Ctr Marine Socioecol, Hobart, Tas, Australia; [Ghigliotti, Laura; Vacchi, Marino] Natl Res Council Italy CNR, Inst Study Anthrop Impacts &amp; Sustainabil Marine E, Genoa, Italy; [Trebilco, Rowan] Commonwealth Sci &amp; Ind Res Org CSIRO, Oceans &amp; Atmosphere, Hobart, Tas, Australia; [Brooks, Cassandra M.] Univ Colorado, Environm Studies Program, Boulder, CO 80309 USA; [Cotte, Cedric] Univ Paris 06, LOCEAN Lab, UPMC, Sorbonne Univ,CNRS,IRD,MNHN, Paris, France; [Desvignes, Thomas] Univ Oregon, Inst Neurosci, Eugene, OR 97403 USA; [Dornan, Tracey; Saunders, Ryan A.; Waluda, Claire M.; Xavier, Jose C.] British Antarctic Survey, Cambridge, England; [Dornan, Tracey] Univ Bristol, Sch Biol Sci, Bristol, Avon, England; [Jones, Christopher D.] NOAA Fisheries, Southwest Fisheries Sci Ctr, Natl Marine Fisheries Serv, La Jolla, CA USA; [Koubbi, Philippe] Sorbonne Univ, UFR Terre Environm Biodiversite 918, Paris, France; [Koubbi, Philippe] IFREMER, Channel &amp; North Sea Fisheries Res Unit, Boulogne Sur Mer, France; [van de Putte, Anton P.] Royal Belgian Inst Nat Sci, Brussels, Belgium; [van de Putte, Anton P.] Univ Libre Bruxelles ULB, Brussels, Belgium; [Walters, Andrea; Woods, Briannyn L.] Univ Tasmania, Inst Marine &amp; Antarctic Studies, Hobart, Tas, Australia; [Xavier, Jose C.] Univ Coimbra, Dept Life Sci, Marine &amp; Environm Sci Ctr, Coimbra, Portugal</t>
  </si>
  <si>
    <t>Helmholtz Association; Alfred Wegener Institute, Helmholtz Centre for Polar &amp; Marine Research; Leibniz Institut fur Zoo und Wildtierforschung; KU Leuven; Australian Antarctic Division; University of Tasmania; Consiglio Nazionale delle Ricerche (CNR); Commonwealth Scientific &amp; Industrial Research Organisation (CSIRO); University of Colorado System; University of Colorado Boulder; Sorbonne Universite; Museum National d'Histoire Naturelle (MNHN); Institut de Recherche pour le Developpement (IRD); Centre National de la Recherche Scientifique (CNRS); University of Oregon; UK Research &amp; Innovation (UKRI); Natural Environment Research Council (NERC); NERC British Antarctic Survey; University of Bristol; National Oceanic Atmospheric Admin (NOAA) - USA; Sorbonne Universite; Ifremer; Royal Belgian Institute of Natural Sciences; Universite Libre de Bruxelles; University of Tasmania; Universidade de Coimbra</t>
  </si>
  <si>
    <t>Caccavo, JA (corresponding author), Helmholtz Ctr Polar &amp; Marine Res, Alfred Wegener Inst, Bremerhaven, Germany.;Caccavo, JA (corresponding author), Berlin Ctr Genom Biodivers Res, Berlin, Germany.;Caccavo, JA (corresponding author), Leibniz Inst Zoo &amp; Wildlife Res, Dept Evolutionary Genet, Berlin, Germany.</t>
  </si>
  <si>
    <t>ergo@jildacaccavo.com</t>
  </si>
  <si>
    <t>Strobel, Anneli/S-5853-2016; Xavier, José/KFB-6739-2024; Caccavo, Jilda Alicia/GWN-1019-2022; Trebilco, Rowan/I-5311-2012; Cotté, Cédric/Z-3243-2019; Ghigliotti, Laura/AAN-6843-2021; Christiansen, Henrik/GXG-6057-2022; Cotte, Cedric/C-3296-2013; Cotté, Cédric/AAX-6120-2021; Koubbi, Philippe/D-5873-2015; Thomas, Desvignes/AAX-3526-2020</t>
  </si>
  <si>
    <t>Caccavo, Jilda Alicia/0000-0002-8172-7855; Trebilco, Rowan/0000-0001-9712-8016; Cotté, Cédric/0000-0002-8307-6435; Ghigliotti, Laura/0000-0003-2139-1381; Christiansen, Henrik/0000-0001-7114-5854; Cotté, Cédric/0000-0002-8307-6435; Thomas, Desvignes/0000-0001-5126-8785; Walters, Andrea/0000-0002-7166-5689; Dornan, Tracey/0000-0001-8265-286X; Van de Putte, Anton/0000-0003-1336-5554; /0000-0002-9621-6660; Woods, Briannyn/0000-0001-6735-3626</t>
  </si>
  <si>
    <t>Alexander von Humboldt Foundation; NSF [OPP-1543383, OPP-1947040]; NERC [NE/L002434/1]; PNRA [2015/B1.02, 2013/AZ1.18, 2016/AZ1.19]; Belgian Science Policy Office (BELSPO) [FR/36/AN1/AntaBIS]</t>
  </si>
  <si>
    <t>Alexander von Humboldt Foundation(Alexander von Humboldt Foundation); NSF(National Science Foundation (NSF)); NERC(UK Research &amp; Innovation (UKRI)Natural Environment Research Council (NERC)); PNRA; Belgian Science Policy Office (BELSPO)(Belgian Federal Science Policy Office)</t>
  </si>
  <si>
    <t>JC acknowledges support from the Alexander von Humboldt Foundation in the form of a Humboldt Research Fellowship for Postdoctoral Researchers. TDe acknowledges funding from NSF OPP-1543383 and OPP-1947040. TDo acknowledges funding from NERC NE/L002434/1 (NERC GW4+ Doctoral Training Partnership award). LG and MV acknowledge funding from PNRA 2015/B1.02 [DISMAS -Biological and ecological information on the Antarctic toothfish (Dissostichus mawsoni) in the Ross Sea], PNRA 2013/AZ1.18 (RAISE Integrate Research on Antarctic Silverfish Ecology in the Ross Sea) and PNRA 2016/AZ1.19 (PILOT -Pieces in place for a research and monitoring program targeting the two key fish species of the establishing Ross Sea MPA). AV was funded by the Belgian Science Policy Office (BELSPO, contract nffi FR/36/AN1/AntaBIS) in the Framework of EULifewatch.</t>
  </si>
  <si>
    <t>2296-701X</t>
  </si>
  <si>
    <t>FRONT ECOL EVOL</t>
  </si>
  <si>
    <t>Front. Ecol. Evol.</t>
  </si>
  <si>
    <t>10.3389/fevo.2021.624918</t>
  </si>
  <si>
    <t>TF5PX</t>
  </si>
  <si>
    <t>WOS:000670774200001</t>
  </si>
  <si>
    <t>Becker, YA; Fioramonti, NE; Dellabianca, NA; Riccialdelli, L</t>
  </si>
  <si>
    <t>Becker, Yamila A.; Fioramonti, Nicolas E.; Dellabianca, Natalia A.; Riccialdelli, Luciana</t>
  </si>
  <si>
    <t>Feeding ecology of the long finned pilot whale, Globicephala melas edwardii, in the southwestern Atlantic Ocean, determined by stable isotopes analysis</t>
  </si>
  <si>
    <t>Odontocetes; delta C-13; delta N-15; Sub-Antarctic waters; Tierra del Fuego; Namuncura-Burdwood Bank area</t>
  </si>
  <si>
    <t>SOCIAL-STRUCTURE; STOMACH CONTENTS; MARINE ECOSYSTEMS; TROPHIC POSITION; BONE-COLLAGEN; CARBON; DELTA-C-13; NITROGEN; DIET; DELTA-N-15</t>
  </si>
  <si>
    <t>Cetaceans are known to play an important role in ecosystem structure and dynamics because they occupy the highest position in food webs. In order to improve our knowledge on the feeding ecology of the long finned pilot whale, Globicephala melas edwardii, in the western South Atlantic Ocean, we analyzed carbon (delta C-13) and nitrogen (delta N-15) stable isotope composition of bone collagen from 54 specimens found stranded along the coast of Tierra del Fuego, Argentina. Through Bayesian mixing models we estimated the contribution of the most putative prey to the consumer's diet. Prey species were selected, based on previous knowledge and covered all possible foraging areas for the region that were analyzed through a visual spatial analysis (based on sightings records). Based on our results, the long finned pilot whale is mainly a teutophagous species, feeding on squids, and can complement its diet with neritic prey when moving sporadically to coastal areas. We found that the southeastern part of Tierra del Fuego, north of Staten Island and the slope break around the Burdwood Bank are plausible feeding areas, which offer suitable habitats where pilot whales can search for their preferred prey. These areas are important for Argentin's conservation policies, since they enclose three oceanic Marine Protected Areas (Namuncura-Burdwood Bank, Burdwood Bank II and Yaganes). Therefore, it is crucial to improve the knowledge regarding their foraging preferences in order to provide support for conservation and management strategies in these MPAs.</t>
  </si>
  <si>
    <t>[Becker, Yamila A.; Fioramonti, Nicolas E.; Dellabianca, Natalia A.; Riccialdelli, Luciana] Ctr Austral Invest Cient CADIC, CONICET, Ushuaia, Tierra Del Fueg, Argentina; [Dellabianca, Natalia A.] Museo Acatushun Aves &amp; Mamiferos Marinos Australe, Ea Harberton, Tierra Del Fueg, Argentina</t>
  </si>
  <si>
    <t>Consejo Nacional de Investigaciones Cientificas y Tecnicas (CONICET)</t>
  </si>
  <si>
    <t>Becker, YA (corresponding author), Ctr Austral Invest Cient CADIC, CONICET, Ushuaia, Tierra Del Fueg, Argentina.</t>
  </si>
  <si>
    <t>becker.yami90@gmail.com</t>
  </si>
  <si>
    <t>Becker, Yamila Anabella/0000-0002-5573-3514</t>
  </si>
  <si>
    <t>Agencia Nacional de Promocion Cientifica y Tecnologica [PICT 2013-2228]</t>
  </si>
  <si>
    <t>This study was funded by the Agencia Nacional de Promocion Cientifica y Tecnologica (PICT 2013-2228) and operating costs were afforded by the AMP Namuncura (Ley 26.875).</t>
  </si>
  <si>
    <t>10.1007/s00300-021-02908-2</t>
  </si>
  <si>
    <t>WOS:000666964300003</t>
  </si>
  <si>
    <t>Miranda, TP; Fernandez, MO; Genzano, GN; Cantero, ALP; Collins, AG; Marques, AC</t>
  </si>
  <si>
    <t>Miranda, Thais P.; Fernandez, Marina O.; Genzano, Gabriel N.; Pena Cantero, Alvaro L.; Collins, Allen G.; Marques, Antonio C.</t>
  </si>
  <si>
    <t>Biodiversity and biogeography of hydroids across marine ecoregions and provinces of southern South America and Antarctica</t>
  </si>
  <si>
    <t>Marine biogeography; Biodiversity; Hydrozoa; Southern Ocean; Community structure; Endemism</t>
  </si>
  <si>
    <t>SPECIES RICHNESS; SCOTIA ARC; TAXONOMIC DISTINCTNESS; FAUNAL ASSEMBLAGES; HYDROZOA CNIDARIA; PATTERNS; DIVERSITY; EVOLUTION; PHYLOGENY; ENDEMISM</t>
  </si>
  <si>
    <t>To better understand the biodiversity-biogeographic polar connections between southern South America and Antarctica (SSA &amp; A), we used benthic communities of hydroids as a model to investigate marine assemblages by evaluating classic spatial divisions at different geographical resolutions. Using a georeferenced dataset of 249 species and multivariate analyses, we investigated species' distribution, composition and biogeographic connectivity, and defined assemblages of ecoregions and provinces for the area. Hotspots of rich biodiversity at risk of depletion were defined. Analyses of ecoregions have a more stratified biogeographic structure, and reveal critical regions susceptible to loss of diversity. Analyses of provinces show a clear division between Atlantic-Pacific and Antarctic-Subantartic assemblages, with high biogeographic isolation of the Subantarctic islands. Depending on spatial resolution, the biogeographic position of the Magellan area is spatially contradictory, clustering on the one hand with SSA ecoregions and on the other with Antarctic provinces. Our patterns appear to be driven by different combinations of processes and barriers, reflected in the stratified distribution of hydroids. The high level of endemism and concentration of species at the edge of distribution in the Magellan area and Scotia Arc suggest their transitional nature and particular importance for understanding the historical and ecological connections between SSA &amp; A.</t>
  </si>
  <si>
    <t>[Miranda, Thais P.] Univ Estadual Londrina, Ctr Ciencias Biol, Dept Biol Anim &amp; Vegetal, Londrina, Parana, Brazil; [Fernandez, Marina O.; Marques, Antonio C.] Univ Sao Paulo, Inst Biociencias, Dept Zool, Sao Paulo, SP, Brazil; [Genzano, Gabriel N.] Univ Nacl Mar del Plata, Estn Costera JJ Nagera, Funes 3350, RA-7600 Mar Del Plata, Argentina; [Genzano, Gabriel N.] Consejo Nacl Invest Cient &amp; Tecn IIMyC CONICET, Inst Invest Marinas &amp; Costeras, Mar Del Plata, Argentina; [Pena Cantero, Alvaro L.] Univ Valencia, Inst Cavanilles Biodiversidad &amp; Biol Evolut Dept, Valencia, Spain; [Collins, Allen G.] Smithsonian Inst, Natl Systemat Lab, Natl Museum Nat Hist, NOAA,Fisheries Serv, Washington, DC 20560 USA</t>
  </si>
  <si>
    <t>Universidade Estadual de Londrina; Universidade de Sao Paulo; National University of Mar del Plata; University of Valencia; Smithsonian Institution; Smithsonian National Museum of Natural History; National Oceanic Atmospheric Admin (NOAA) - USA</t>
  </si>
  <si>
    <t>Miranda, TP (corresponding author), Univ Estadual Londrina, Ctr Ciencias Biol, Dept Biol Anim &amp; Vegetal, Londrina, Parana, Brazil.</t>
  </si>
  <si>
    <t>thaispmir@gmail.com</t>
  </si>
  <si>
    <t>Marques, Antonio/E-8049-2011; Fapesp, Biota/F-8655-2017; Collins, Allen/A-7944-2008</t>
  </si>
  <si>
    <t>Marques, Antonio/0000-0002-2884-0541; Fapesp, Biota/0000-0002-9887-8449; Pena Cantero, Alvaro/0000-0003-3056-6673; Collins, Allen/0000-0002-3664-9691</t>
  </si>
  <si>
    <t>CAPES-PDSE [BEX 9194/11-8]; CNPq [490348/2006-8, 142269/2010-7, 477156/2011-8, 445444/2014-2, 309995/2017-5, 429738/2018-8, 170969/2018-5]; FAPESP [2010/06927-0, 2011/50242-5, 2012/21453-0, 2013/10821-1, 2014/24407-5, 2018/04257-0]</t>
  </si>
  <si>
    <t>CAPES-PDSE(Coordenacao de Aperfeicoamento de Pessoal de Nivel Superior (CAPES)); CNPq(Conselho Nacional de Desenvolvimento Cientifico e Tecnologico (CNPQ)); FAPESP(Fundacao de Amparo a Pesquisa do Estado de Sao Paulo (FAPESP))</t>
  </si>
  <si>
    <t>This study received financial support from CAPES-PDSE (Proc. BEX 9194/11-8), CNPq (Proc. 490348/2006-8, 142269/2010-7, 477156/2011-8, 445444/2014-2, 309995/2017-5, 429738/2018-8, 170969/2018-5), and FAPESP (Proc. 2010/06927-0, 2011/50242-5, 2012/21453-0, 2013/10821-1, 2014/24407-5, 2018/04257-0).</t>
  </si>
  <si>
    <t>10.1007/s00300-021-02909-1</t>
  </si>
  <si>
    <t>WOS:000666964300002</t>
  </si>
  <si>
    <t>Michel, N; Guillaume, M; Peter, S; Lawrence, P; Claude, B; Marvin, G</t>
  </si>
  <si>
    <t>Michel, Nicolas; Guillaume, Martinent; Peter, Suedfeld; Lawrence, Palinkas; Claude, Bachelard; Marvin, Gaudino</t>
  </si>
  <si>
    <t>The tougher the environment, the harder the adaptation? A psychological point of view in extreme situations</t>
  </si>
  <si>
    <t>ACTA ASTRONAUTICA</t>
  </si>
  <si>
    <t>Adaptation; Extreme environments; Multilevel analyses; Perceived control; Psychological dimensions</t>
  </si>
  <si>
    <t>PERCEIVED CONTROL; POLAR; WINTER; BEHAVIOR</t>
  </si>
  <si>
    <t>Grounded within a multidimensional and multilevel approach, the aim of this study was to investigate the time course of Psychological Adaptation Process (PAP) dimensions (social, emotional, occupational, and physical) during one-year polar winter-overs in Subantarctic and Antarctic stations. The effects of perceived control (PC) at the start of polar winter on the dynamics of the PAP dimensions were also examined. The present findings clarify some changes in PAP in extreme environments: (a) The dimensions of psychological adaptation evolved differently as a function of environmental conditions; and (b) PC influenced the trajectories of PAP dimensions. These findings elucidate the importance and complexity of psychological dimensions and the significant role of PC in adaptation to an extreme environment.</t>
  </si>
  <si>
    <t>[Michel, Nicolas; Marvin, Gaudino] Univ Bourgogne Franche Comte, Lab Psy DREPI EA 7458, Dijon, France; [Guillaume, Martinent] Univ Lyon 1, Interdisciplinary Res Confederat Sport Fed 4272, Lab Vulnerabil &amp; Innovat Sport EA 7428, Lyon, France; [Peter, Suedfeld] Univ British Columbia, Dept Psychol, Vancouver, BC, Canada; [Lawrence, Palinkas] Univ Southern Calif, Los Angeles, CA 90007 USA; [Claude, Bachelard] Inst Polaire Francais Paul Emile Victor, Terres Australes &amp; Antarct Francaises, TAAF, IPEV, Plouzane, France</t>
  </si>
  <si>
    <t>Universite de Bourgogne; Universite Claude Bernard Lyon 1; University of British Columbia; University of Southern California</t>
  </si>
  <si>
    <t>Michel, N (corresponding author), Univ Bourgogne Franche Comte UBFC, Sport Sci Fac, UFR STAPS Dijon Bur 143, F-21078 Dijon, France.</t>
  </si>
  <si>
    <t>michel.nicolas@u-bourgogne.fr</t>
  </si>
  <si>
    <t>NICOLAS, Michel/AAZ-6390-2021</t>
  </si>
  <si>
    <t>NICOLAS, Michel/0000-0001-7206-671X</t>
  </si>
  <si>
    <t>European Space Agency (ESA); French Polar Institute IPEV (Institut Paul Emile Victor); university and the region of Burgundy; Centre Nationale d'Etudes Spatiales (CNES), France; Canadian Space Agency</t>
  </si>
  <si>
    <t>European Space Agency (ESA)(European Space Agency); French Polar Institute IPEV (Institut Paul Emile Victor); university and the region of Burgundy(Region Bourgogne-Franche-Comte); Centre Nationale d'Etudes Spatiales (CNES), France; Canadian Space Agency(Canadian Space Agency)</t>
  </si>
  <si>
    <t>The study was sponsored by the European Space Agency (ESA) and the French Polar Institute IPEV (Institut Paul Emile Victor). The work reported in this paper was funded by research grants from the university and the region of Burgundy and the Centre Nationale d'Etudes Spatiales (CNES), France. Peter Suedfeld's participation was supported by the Canadian Space Agency.</t>
  </si>
  <si>
    <t>0094-5765</t>
  </si>
  <si>
    <t>1879-2030</t>
  </si>
  <si>
    <t>ACTA ASTRONAUT</t>
  </si>
  <si>
    <t>Acta Astronaut.</t>
  </si>
  <si>
    <t>10.1016/j.actaastro.2021.05.045</t>
  </si>
  <si>
    <t>Engineering, Aerospace</t>
  </si>
  <si>
    <t>UC0II</t>
  </si>
  <si>
    <t>WOS:000686218700004</t>
  </si>
  <si>
    <t>McBride, MM; Stokke, OS; Renner, AHH; Krafft, BA; Bergstad, OA; Biuw, M; Lowther, AD; Stiansen, JE</t>
  </si>
  <si>
    <t>McBride, Margaret M.; Stokke, Olav Schram; Renner, Angelika H. H.; Krafft, Bjorn A.; Bergstad, Odd A.; Biuw, Martin; Lowther, Andrew D.; Stiansen, Jan E.</t>
  </si>
  <si>
    <t>Antarctic krill Euphausia superba: spatial distribution, abundance, and management of fisheries in a changing climate</t>
  </si>
  <si>
    <t>Antarctic krill; Climate change; Ecosystem; Distribution; Abundance; Food web; Management; CCAMLR; Commission for the Conservation of Antarctic Marine Living Resources</t>
  </si>
  <si>
    <t>DIEL VERTICAL MIGRATION; NATURAL GROWTH-RATES; SOUTHERN-OCEAN; SEA-ICE; ULTRAVIOLET-RADIATION; MARINE ORGANISMS; SCOTIA SEA; ENVIRONMENTAL VARIABILITY; MEGANYCTIPHANES-NORVEGICA; ECOLOGICAL RESPONSES</t>
  </si>
  <si>
    <t>Antarctic krill Euphausia superba, a keystone species in the Southern Ocean, is highly relevant for studying effects of climate-related shifts on management systems. Krill provides a key link between primary producers and higher trophic levels and supports the largest regional fishery. Any major perturbation in the krill population would have severe ecological and economic ramifications. We review the literature to determine how climate change, in concert with other environmental changes, alters krill habitat, affects spatial distribution/abundance, and impacts fisheries management. Findings recently reported on the effects of climate change on krill distribution and abundance are inconsistent, however, raising questions regarding methods used to detect changes in density and biomass. One recent study reported a sharp decline in krill densities near their northern limit, accompanied by a poleward contraction in distribution in the Southwest Atlantic sector. Another recent study found no evidence of long-term decline in krill density or biomass and reported no evidence of a poleward shift in distribution. Moreover, with predicted decreases in phytoplankton production, vertical foraging migrations to the seabed may become more frequent, also impacting krill production and harvesting. Potentially cumulative impacts of climate change further compound the management challenge faced by CCAMLR, the organization responsible for conservation of Antarctic marine living resources: to detect changes in the abundance, distribution, and reproductive performance of krill and krill-dependent predator stocks and to respond to such change by adjusting its conservation measures. Based on CCAMLR reports and documents, we review the institutional framework, outline how climate change has been addressed within this organization, and examine the prospects for further advances toward ecosystem risk assessment and an adaptive management system.</t>
  </si>
  <si>
    <t>[McBride, Margaret M.; Renner, Angelika H. H.; Krafft, Bjorn A.; Bergstad, Odd A.; Biuw, Martin; Stiansen, Jan E.] Inst Marine Res, POB 1870 Nordnes, N-5817 Bergen, Norway; [Stokke, Olav Schram] Univ Oslo, Dept Polit Sci, N-0317 Oslo, Norway; [Stokke, Olav Schram] Fridtjoi Nansen Inst, N-1326 Lysaker, Norway; [Lowther, Andrew D.] Norwegian Polar Res Inst, POB 6606 Langnes, N-9296 Tromso, Norway</t>
  </si>
  <si>
    <t>Institute of Marine Research - Norway; University of Oslo; Norwegian Polar Institute</t>
  </si>
  <si>
    <t>McBride, MM (corresponding author), Inst Marine Res, POB 1870 Nordnes, N-5817 Bergen, Norway.</t>
  </si>
  <si>
    <t>margaret.mcbride@hi.no</t>
  </si>
  <si>
    <t>Biuw, Martin/0000-0001-8051-3399; Lowther, Andrew/0000-0003-4294-3157</t>
  </si>
  <si>
    <t>Research Council of Norway [257614, 267416]; IMR Project [536879]</t>
  </si>
  <si>
    <t>Research Council of Norway(Research Council of Norway); IMR Project</t>
  </si>
  <si>
    <t>Major funding for this work was from the Research Council of Norway through POLARPROG Project No. 257614: Spatial Shifts of Marine Stocks and the Resilience of Polar Resource Management (STOCKSHIFT). Contributions also came from the IMR Project No. 536879: Krill-dominated Ecosystem Dynamics in the Scotia Sea. A.H.H.R.'s contribution was supported by the Research Council of Norway Project No. 267416: From swarming behaviour to trophic interactions: forecasting dynamics of Antarctic krill in ecosystem hotspots using behaviour-based models (SWARM). Special thanks to Dr. Ben Raymond (Australian Antarctic Division), Dr. So Kawaguchi (Australian Antarctic Division), and Dr. Huw Griffiths (British Antarctic Survey) for jointly hunting down the elusive figure showing Antarctic krill modeled habitat suitability in high resolution.</t>
  </si>
  <si>
    <t>JUN 24</t>
  </si>
  <si>
    <t>10.3354/meps13705</t>
  </si>
  <si>
    <t>TE9NJ</t>
  </si>
  <si>
    <t>WOS:000670332700014</t>
  </si>
  <si>
    <t>Dietrich, KS; Santora, JA; Reiss, CS</t>
  </si>
  <si>
    <t>Dietrich, Kimberly S.; Santora, Jarrod A.; Reiss, Christian S.</t>
  </si>
  <si>
    <t>Winter and summer biogeography of macrozooplankton community structure in the northern Antarctic Peninsula ecosystem</t>
  </si>
  <si>
    <t>Polar ecosystems; Northern Antarctic Peninsula; Macrozooplankton community composition; Multivariate analysis; Sea-ice</t>
  </si>
  <si>
    <t>KRILL EUPHAUSIA-SUPERBA; SEA-ICE; PHYTOPLANKTON BIOMASS; SPATIOTEMPORAL VARIABILITY; SEASONAL-VARIATIONS; VERTICAL MIGRATION; BRANSFIELD STRAIT; CONTINENTAL-SHELF; PREDATION IMPACT; GERLACHE STRAIT</t>
  </si>
  <si>
    <t>Climate forcing is impacting polar marine ecosystems through increased variability of winter sea-ice dynamics, which likely influences the distribution, abundance and structure of zooplankton assemblages, and thereby trophodynamics of marine food webs. Due to the challenges of working in polar marine ecosystems, most knowledge on polar zooplankton community structure is derived from summer surveys. Here we examine the spatial distribution, abundance and community structure of macrozooplankton in relation to sea-ice and oceanclimate dynamics within the Antarctic Peninsula marine ecosystem over five consecutive winters. We compare the patterns revealed during winter with historical data collected in the same region during austral summer. Hydrographic and macrozooplankton data were collected from &gt;100 standard stations off the northern Antarctic Peninsula during summer (2003-2011) and winter (2012-2016). Using multivariate methods, the environmental drivers and geographic structuring of the macrozooplankton community during winter and summer were investigated. Eight taxa made up 90% of total macrozooplankton abundance in winter including Metridia species, post-larval and larval Euphausia superba, post-larval Thysanoessa macrura, Limacina helicina, Chaetognatha, Ostracoda and Radiozoa. Eight slightly different taxa including Calanoides acutus, Salpa thompsoni, T. macrura (post-larvae and larvae), Metridia spp., E. superba larvae, Chaetognatha, and Rhincalanus spp. made up 87% of the total abundance in summer. Macrozooplankton clustered into five groups in winter and seven groups in summer. Winter macrozooplankton structure was more spatially consistent among years compared to summer regardless of sea-ice conditions. Salinity, chlorophyll a biomass, upper mixed layer depth and time of day were most strongly correlated with the multivariate ordination in winter whereas salinity, phaeopigment biomass and year had the highest correlations for summer, indicating the importance of similar physical features in both seasons. However, the importance of time scales differed among seasons. Although environmental determinants of summer and winter macrozooplankton community structure indicate that community structure and occurrence were strongly tied to regional variability of salinity and primary productivity gradients, macrozooplankton community structure is likely much more complex than only a few hydrographic variables can explain. Cluster boundaries are likely driven by dynamic locations of currents, fronts and localized eddies in any given season or year.</t>
  </si>
  <si>
    <t>[Dietrich, Kimberly S.] Ocean Associates Inc, 4007 N Abingdon St, Arlington, VA 22207 USA; [Santora, Jarrod A.] NOAA, Fisheries Ecol Div, Southwest Fisheries Sci Ctr, Natl Marine Fisheries Serv, 110 McAllister Way, Santa Cruz, CA 95060 USA; [Santora, Jarrod A.] Univ Calif Santa Cruz, Dept Appl Math, 1156 High St, Santa Cruz, CA 95064 USA; [Reiss, Christian S.] Southwest Fisheries Sci Ctr, Antarctic Ecosyst Res Div, 8901 La Jolla Shores Dr, La Jolla, CA 92037 USA</t>
  </si>
  <si>
    <t>National Oceanic Atmospheric Admin (NOAA) - USA; University of California System; University of California Santa Cruz</t>
  </si>
  <si>
    <t>Dietrich, KS (corresponding author), Ocean Associates Inc, 4007 N Abingdon St, Arlington, VA 22207 USA.</t>
  </si>
  <si>
    <t>kim@kimdietrich.com</t>
  </si>
  <si>
    <t>NOAA Fisheries [2173B]</t>
  </si>
  <si>
    <t>NOAA Fisheries(National Oceanic Atmospheric Admin (NOAA) - USA)</t>
  </si>
  <si>
    <t>This analysis would not have been possible without the excellent field personnel who collected and laboriously processed the macro-zooplankton at sea. We thank Dr. Valerie Loeb for her vision in estab-lishing a baseline distribution of Antarctic macrozooplankton and sampling protocol development. We're also indebted to the captains, crew and support personnel on the RV Yuzhmorgeologiya (2003-2009) ; RV Moana Wave (2010-11) ; and RVIB Nathaniel B Palmer (2012-2016) . Winter surveys would not have been possible without a partnership between the NOAA Fisheries Antarctic Ecosystem Research Division and the U.S. National Science Foundation United States Antarctic Program. Data is available upon request from the AERD. KSD was funded by NOAA Fisheries task order 2173B to Ocean As-sociates Inc. Arlington, VA. We are grateful to one NOAA internal reviewer and two anonymous reviewers who provided valuable feed-back on earlier versions of the manuscript.</t>
  </si>
  <si>
    <t>10.1016/j.pocean.2021.102610</t>
  </si>
  <si>
    <t>TP4EZ</t>
  </si>
  <si>
    <t>WOS:000677549200001</t>
  </si>
  <si>
    <t>Grant, SM; Waller, CL; Morley, SA; Barnes, DKA; Brasier, MJ; Double, MC; Griffiths, HJ; Hughes, KA; Jackson, JA; Waluda, CM; Constable, AJ</t>
  </si>
  <si>
    <t>Grant, Susie M.; Waller, Cath L.; Morley, Simon A.; Barnes, David K. A.; Brasier, Madeleine J.; Double, Mike C.; Griffiths, Huw J.; Hughes, Kevin A.; Jackson, Jennifer A.; Waluda, Claire M.; Constable, Andrew J.</t>
  </si>
  <si>
    <t>Local Drivers of Change in Southern Ocean Ecosystems: Human Activities and Policy Implications</t>
  </si>
  <si>
    <t>Southern Ocean; climate change; fishing; pollution; non-indigenous species; tourism; Antarctic Treaty System; CCAMLR</t>
  </si>
  <si>
    <t>MARINE BENTHIC COMMUNITIES; ANTARCTIC RESEARCH STATION; FUR SEALS; MCMURDO-STATION; CLIMATE-CHANGE; OIL-SPILL; PLASTIC INGESTION; SEWAGE POLLUTION; STOCK ASSESSMENT; FECAL-COLIFORMS</t>
  </si>
  <si>
    <t>Local drivers are human activities or processes that occur in specific locations, and cause physical or ecological change at the local or regional scale. Here, we consider marine and land-derived pollution, non-indigenous species, tourism and other human visits, exploitation of marine resources, recovery of marine mammals, and coastal change as a result of ice loss, in terms of their historic and current extent, and their interactions with the Southern Ocean environment. We summarise projected increases or decreases in the influence of local drivers, and projected changes to their geographic range, concluding that the influence of non-indigenous species, fishing, and the recovery of marine mammals are predicted to increase in the future across the Southern Ocean. Local drivers can be managed regionally, and we identify existing governance frameworks as part of the Antarctic Treaty System and other instruments which may be employed to mitigate or limit their impacts on Southern Ocean ecosystems.</t>
  </si>
  <si>
    <t>[Grant, Susie M.; Morley, Simon A.; Barnes, David K. A.; Griffiths, Huw J.; Hughes, Kevin A.; Jackson, Jennifer A.; Waluda, Claire M.] British Antarctic Survey, Cambridge, England; [Waller, Cath L.] Univ Hull, Fac Sci &amp; Engn, Kingston Upon Hull, N Humberside, England; [Brasier, Madeleine J.; Constable, Andrew J.] Univ Tasmania, Inst Marine &amp; Antarctic Stud, Hobart, Tas, Australia; [Double, Mike C.; Constable, Andrew J.] Australian Antarct Div, Dept Agr Water &amp; Environm, Kingston, Tas, Australia</t>
  </si>
  <si>
    <t>UK Research &amp; Innovation (UKRI); Natural Environment Research Council (NERC); NERC British Antarctic Survey; University of Hull; University of Tasmania; Australian Antarctic Division</t>
  </si>
  <si>
    <t>Grant, SM (corresponding author), British Antarctic Survey, Cambridge, England.</t>
  </si>
  <si>
    <t>suan@bas.ac.uk</t>
  </si>
  <si>
    <t>Jackson, Jennifer A/E-7997-2013; Griffiths, Huw J/D-4234-2009; Hughes, Kevin/JVZ-0793-2024</t>
  </si>
  <si>
    <t>Griffiths, Huw J/0000-0003-1764-223X; Jackson, Jennifer/0000-0003-4158-1924; Grant, Susie/0000-0001-7941-3948; Brasier, Madeleine/0000-0003-2844-655X</t>
  </si>
  <si>
    <t>NERC [bas0100036, bas0100035] Funding Source: UKRI</t>
  </si>
  <si>
    <t>10.3389/fevo.2021.624518</t>
  </si>
  <si>
    <t>TF0VR</t>
  </si>
  <si>
    <t>gold, Green Submitted, Green Accepted</t>
  </si>
  <si>
    <t>WOS:000670431100001</t>
  </si>
  <si>
    <t>Weimer, M; Buchmueller, J; Hoffmann, L; Kirner, O; Luo, BP; Ruhnke, R; Steiner, M; Tritscher, I; Braesicke, P</t>
  </si>
  <si>
    <t>Weimer, Michael; Buchmuller, Jennifer; Hoffmann, Lars; Kirner, Ole; Luo, Beiping; Ruhnke, Roland; Steiner, Michael; Tritscher, Ines; Braesicke, Peter</t>
  </si>
  <si>
    <t>Mountain-wave-induced polar stratospheric clouds and their representation in the global chemistry model ICON-ART</t>
  </si>
  <si>
    <t>BIOMASS BURNING EMISSIONS; ATMOSPHERIC CHEMISTRY; GRAVITY-WAVES; CLIMATE-MODEL; OZONE DEPLETION; REFRACTIVE-INDEXES; ICE; SIMULATION; SYSTEM; NAT</t>
  </si>
  <si>
    <t>Polar stratospheric clouds (PSCs) are a driver for ozone depletion in the lower polar stratosphere. They provide surface for heterogeneous reactions activating chlorine and bromine reservoir species during the polar night. The large-scale effects of PSCs are represented by means of parameterisations in current global chemistry-climate models, but one process is still a challenge: the representation of PSCs formed locally in conjunction with unresolved mountain waves. In this study, we investigate direct simulations of PSCs formed by mountain waves with the ICOsahedral Nonhydrostatic modelling framework (ICON) with its extension for Aerosols and Reactive Trace gases (ART) including local grid refinements (nesting) with two-way interaction. Here, the nesting is set up around the Antarctic Peninsula, which is a well-known hot spot for the generation of mountain waves in the Southern Hemisphere. We compare our model results with satellite measurements of PSCs from the Cloud-Aerosol Lidar with Orthogonal Polarization (CALIOP) and gravity wave observations of the Atmospheric Infrared Sounder (AIRS). For a mountain wave event from 19 to 29 July 2008 we find similar structures of PSCs as well as a fairly realistic development of the mountain wave between the satellite data and the ICON-ART simulations in the Antarctic Peninsula nest. We compare a global simulation without nesting with the nested configuration to show the benefits of adding the nesting. Although the mountain waves cannot be resolved explicitly at the global resolution used (about 160 km), their effect from the nested regions (about 80 and 40 km) on the global domain is represented. Thus, we show in this study that the ICON-ART model has the potential to bridge the gap between directly resolved mountain-wave-induced PSCs and their representation and effect on chemistry at coarse global resolutions.</t>
  </si>
  <si>
    <t>[Weimer, Michael; Buchmuller, Jennifer; Kirner, Ole] Karlsruhe Inst Technol KIT, Steinbuch Ctr Comp, Eggenstein Leopoldshafen, Germany; [Weimer, Michael; Buchmuller, Jennifer; Ruhnke, Roland; Braesicke, Peter] Karlsruhe Inst Technol KIT, Inst Meteorol &amp; Climate Res, Eggenstein Leopoldshafen, Germany; [Hoffmann, Lars] Forschungszentrum Julich, Julich Supercomp Ctr, Julich, Germany; [Luo, Beiping] Swiss Fed Inst Technol, Inst Atmospher &amp; Climate Sci, Zurich, Switzerland; [Steiner, Michael] EMPA, Lab Air Pollut Environm Technol, Dubendorf, Switzerland; [Tritscher, Ines] Forschungszentrum Julich, Inst Energy &amp; Climate Res Stratosphere IEK 7, Julich, Germany; [Weimer, Michael] MIT, Dept Earth Atmospher &amp; Planetary Sci, Cambridge, MA 02139 USA</t>
  </si>
  <si>
    <t>Helmholtz Association; Karlsruhe Institute of Technology; Helmholtz Association; Karlsruhe Institute of Technology; Helmholtz Association; Research Center Julich; Swiss Federal Institutes of Technology Domain; ETH Zurich; Swiss Federal Institutes of Technology Domain; Swiss Federal Laboratories for Materials Science &amp; Technology (EMPA); Helmholtz Association; Research Center Julich; Massachusetts Institute of Technology (MIT)</t>
  </si>
  <si>
    <t>Weimer, M (corresponding author), Karlsruhe Inst Technol KIT, Steinbuch Ctr Comp, Eggenstein Leopoldshafen, Germany.;Weimer, M (corresponding author), Karlsruhe Inst Technol KIT, Inst Meteorol &amp; Climate Res, Eggenstein Leopoldshafen, Germany.;Weimer, M (corresponding author), MIT, Dept Earth Atmospher &amp; Planetary Sci, Cambridge, MA 02139 USA.</t>
  </si>
  <si>
    <t>michael.weimer@kit.edu</t>
  </si>
  <si>
    <t>Hoffmann, Lars/ABI-3746-2020; Ruhnke, Roland/J-8800-2012; Braesicke, Peter/D-8330-2016; Kirner, Oliver/K-8815-2015; Tritscher, Ines/O-2271-2014</t>
  </si>
  <si>
    <t>Hoffmann, Lars/0000-0003-3773-4377; Ruhnke, Roland/0000-0002-0353-1603; Braesicke, Peter/0000-0003-1423-0619; Kirner, Oliver/0000-0001-5668-6177; Tritscher, Ines/0000-0001-5285-7952; Luo, Beiping/0000-0003-1629-881X; Weimer, Michael/0000-0002-1004-4002</t>
  </si>
  <si>
    <t>state of Baden-Wurttemberg through bwHPC; Ministry of Science, Research and the Arts Baden-Wurttemberg; Federal Ministry of Education and Research; Initiative and Networking Fund of the Helmholtz Association through the project Digital Earth; Initiative and Networking Fund of the Helmholtz Association through the project Advanced Earth System Modelling Capacity; Deutsche Forschungsgemeinschaft (DFG) [310479827]</t>
  </si>
  <si>
    <t>state of Baden-Wurttemberg through bwHPC; Ministry of Science, Research and the Arts Baden-Wurttemberg; Federal Ministry of Education and Research(Federal Ministry of Education &amp; Research (BMBF)); Initiative and Networking Fund of the Helmholtz Association through the project Digital Earth; Initiative and Networking Fund of the Helmholtz Association through the project Advanced Earth System Modelling Capacity; Deutsche Forschungsgemeinschaft (DFG)(German Research Foundation (DFG))</t>
  </si>
  <si>
    <t>Parts of the simulations were performed on bwUniCluster, for which the authors acknowledge support by the state of Baden-Wurttemberg through bwHPC. Other parts of the work as well as evaluations were performed on the supercomputer ForHLR, funded by the Ministry of Science, Research and the Arts Baden-Wurttemberg and by the Federal Ministry of Education and Research. This work was performed with the help of the Large Scale Data Facility at the Karlsruhe Institute of Technology, funded by the Ministry of Science, Research and the Arts Baden-Wurttemberg and by the Federal Ministry of Education and Research. We acknowledge ECCAD for archiving and distributing the emission data. We acknowledge funding from the Initiative and Networking Fund of the Helmholtz Association through the projects Digital Earth and Advanced Earth System Modelling Capacity. Ines Tritscher was funded by the Deutsche Forschungsgemeinschaft (DFG) under project number 310479827.</t>
  </si>
  <si>
    <t>10.5194/acp-21-9515-2021</t>
  </si>
  <si>
    <t>TB4UX</t>
  </si>
  <si>
    <t>WOS:000667944900001</t>
  </si>
  <si>
    <t>Wu, SZ; Lembke-Jene, L; Lamy, F; Arz, HW; Nowaczyk, N; Xiao, WS; Zhang, X; Hass, HC; Titschack, J; Zheng, XF; Liu, JB; Dumm, L; Diekmann, B; Nürnberg, D; Tiedemann, R; Kuhn, G</t>
  </si>
  <si>
    <t>Wu, Shuzhuang; Lembke-Jene, Lester; Lamy, Frank; Arz, Helge W.; Nowaczyk, Norbert; Xiao, Wenshen; Zhang, Xu; Hass, H. Christian; Titschack, Juergen; Zheng, Xufeng; Liu, Jiabo; Dumm, Levin; Diekmann, Bernhard; Nuernberg, Dirk; Tiedemann, Ralf; Kuhn, Gerhard</t>
  </si>
  <si>
    <t>Orbital- and millennial-scale Antarctic Circumpolar Current variability in Drake Passage over the past 140,000 years</t>
  </si>
  <si>
    <t>MERIDIONAL OVERTURNING CIRCULATION; LAST GLACIAL MAXIMUM; WESTERLY WIND CHANGES; NORTH-ATLANTIC OCEAN; SOUTHERN-OCEAN; SEA-ICE; CLIMATE VARIABILITY; TERRIGENOUS SEDIMENT; TRANSPORT; WATER</t>
  </si>
  <si>
    <t>The Antarctic Circumpolar Current (ACC) plays a crucial role in global ocean circulation by fostering deep-water upwelling and formation of new water masses. On geological time-scales, ACC variations are poorly constrained beyond the last glacial. Here, we reconstruct changes in ACC strength in the central Drake Passage in vicinity of the modern Polar Front over a complete glacial-interglacial cycle (i.e., the past 140,000 years), based on sediment grain-size and geochemical characteristics. We found significant glacial-interglacial changes of ACC flow speed, with weakened current strength during glacials and a stronger circulation in interglacials. Superimposed on these orbital-scale changes are high-amplitude millennial-scale fluctuations, with ACC strength maxima correlating with diatom-based Antarctic winter sea-ice minima, particularly during full glacial conditions. We infer that the ACC is closely linked to Southern Hemisphere millennial-scale climate oscillations, amplified through Antarctic sea ice extent changes. These strong ACC variations modulated Pacific-Atlantic water exchange via the cold water route and potentially affected the Atlantic Meridional Overturning Circulation and marine carbon storage. How the Antarctic Circumpolar Current (ACC) changed on glacial-interglacial time scales is not well known. Here, the authors present a 140,000 year long sediment record from the Drake passage and show both glacial-interglacial as well as millennial-scale variability which are linked to Atlantic variability and marine carbon storage.</t>
  </si>
  <si>
    <t>[Wu, Shuzhuang; Lembke-Jene, Lester; Lamy, Frank; Tiedemann, Ralf; Kuhn, Gerhard] Alfred Wegener Inst, Helmholtz Zentrum Meeres &amp; Polarforsch, D-27568 Bremerhaven, Germany; [Arz, Helge W.] Leibniz Inst Baltic Sea Res, D-18119 Rostock, Germany; [Nowaczyk, Norbert; Liu, Jiabo] Helmoltz Ctr Potsdam, GFZ German Res Ctr Geosci, D-14473 Potsdam, Germany; [Xiao, Wenshen] Tongji Univ, State Key Lab Marine Geol, Shanghai 200092, Peoples R China; [Zhang, Xu] Lanzhou Univ, Coll Earth &amp; Environm Sci, Key Lab Western Chinas Environm Syst, Minist Educ, Lanzhou 730000, Peoples R China; [Zhang, Xu] Chinese Acad Sci, Inst Tibetan Plateau Res, State Key Lab Tibetan Plateau Earth Syst Resource, Beijing 100101, Peoples R China; [Hass, H. Christian] Alfred Wegener Inst, Helmholtz Zentrum Meeres &amp; Polarforsch, D-25980 Sylt, Germany; [Titschack, Juergen; Dumm, Levin] Univ Bremen, MARUM Ctr Marine Environm Sci, D-28359 Bremen, Germany; [Titschack, Juergen] Senckenberg Meer, Marine Res Dept, D-26382 Wilhelmshaven, Germany; [Zheng, Xufeng] Hainan Univ, State Key Lab Marine Resources Utilizat South Chi, Haikou 570228, Hainan, Peoples R China; [Liu, Jiabo] Southern Univ Sci &amp; Technol, Dept Ocean Sci &amp; Engn, Shenzhen 518055, Peoples R China; [Diekmann, Bernhard] Alfred Wegener Inst, Helmholtz Zentrum Meeres &amp; Polarforsch, D-14473 Potsdam, Germany; [Nuernberg, Dirk] Helmholtz Ctr Ocean Res Kiel, GEOMAR, D-24148 Kiel, Germany</t>
  </si>
  <si>
    <t>Helmholtz Association; Alfred Wegener Institute, Helmholtz Centre for Polar &amp; Marine Research; Leibniz Institut fur Ostseeforschung Warnemunde; Helmholtz Association; Helmholtz-Center Potsdam GFZ German Research Center for Geosciences; Tongji University; Lanzhou University; Chinese Academy of Sciences; Institute of Tibetan Plateau Research, CAS; Helmholtz Association; Alfred Wegener Institute, Helmholtz Centre for Polar &amp; Marine Research; University of Bremen; Senckenberg Gesellschaft fur Naturforschung (SGN); Hainan University; Southern University of Science &amp; Technology; Helmholtz Association; Alfred Wegener Institute, Helmholtz Centre for Polar &amp; Marine Research; Helmholtz Association; GEOMAR Helmholtz Center for Ocean Research Kiel</t>
  </si>
  <si>
    <t>Wu, SZ (corresponding author), Alfred Wegener Inst, Helmholtz Zentrum Meeres &amp; Polarforsch, D-27568 Bremerhaven, Germany.</t>
  </si>
  <si>
    <t>shuzhuangwu@gmail.com</t>
  </si>
  <si>
    <t>Zheng, Xufeng/HPC-4252-2023; Zhang, Xu/AFX-8847-2022; Xi, Yang/KEH-5204-2024; Lembke-Jene, Lester/ABC-6275-2020; Arz, Helge W/A-6659-2013; 郑, 旭/JAO-2624-2023; Titschack, Jurgen/L-2095-2015; Lembke-Jene, Lester/F-5084-2013</t>
  </si>
  <si>
    <t>Zhang, Xu/0000-0003-1833-9689; Titschack, Jurgen/0000-0001-9373-9688; Lembke-Jene, Lester/0000-0002-6873-8533; Wu, Shuzhuang/0000-0002-5134-8395; Arz, Helge Wolfgang/0000-0002-1997-1718; Diekmann, Bernhard/0000-0001-5129-3649</t>
  </si>
  <si>
    <t>Alfred Wegener Institute Helmholtz Centre for Polar and Marine Research research programme Polar Regions and Coasts in the changing Earth System (PACES II); China Scholarship Council (CSC) [201604910671]; National Natural Science Foundation of China [41776061, 91958106, 41876068]; Pearl River S&amp;T Nova Program of Guangzhou [201906010050]; Special Support Program for Training High-Level Talents in Guangdong [2019TQ05H572]; MARUM DFG-Research Center/Excellence Cluster The Ocean in the Earth System; Open Access Publication Funds of Alfred-Wegener-Institut Helmholtz-Zentrum fur Polar- und Meeresforschung; Alfred Wegener Institute Helmholtz Centre for Polar and Marine Research research programme Ocean and Cryosphere in Climate (Topic2, PoF IV)</t>
  </si>
  <si>
    <t>Alfred Wegener Institute Helmholtz Centre for Polar and Marine Research research programme Polar Regions and Coasts in the changing Earth System (PACES II); China Scholarship Council (CSC)(China Scholarship Council); National Natural Science Foundation of China(National Natural Science Foundation of China (NSFC)); Pearl River S&amp;T Nova Program of Guangzhou; Special Support Program for Training High-Level Talents in Guangdong; MARUM DFG-Research Center/Excellence Cluster The Ocean in the Earth System(German Research Foundation (DFG)); Open Access Publication Funds of Alfred-Wegener-Institut Helmholtz-Zentrum fur Polar- und Meeresforschung; Alfred Wegener Institute Helmholtz Centre for Polar and Marine Research research programme Ocean and Cryosphere in Climate (Topic2, PoF IV)</t>
  </si>
  <si>
    <t>We thank the captain, crew and scientific party of RV Polarstern Expedition PS97 for their professional help in retrieving the sediment samples. We also thank C. Lange, X. Gong, and A.C. Ravelo for discussions. We sincerely thank S. Wiebe and R. Frohlking-Teichert at the AWI for technical assistance in sample preparation, grain-size measurements, and XRF scans. Klinikum Bremen-Mitte and A.-J. Lemke and C. Tiemann, Gesundheit Nord Bremen, are gratefully acknowledged for providing facilities and supporting the computed tomography measurements. This study was supported by the Alfred Wegener Institute Helmholtz Centre for Polar and Marine Research research programmes Polar Regions and Coasts in the changing Earth System (PACES II), Ocean and Cryosphere in Climate (Topic2, PoF IV) and the China Scholarship Council (CSC No. 201604910671). X. Zheng is supported by the National Natural Science Foundation of China (41776061, 91958106, 41876068), Pearl River S&amp;T Nova Program of Guangzhou (201906010050), and the Special Support Program for Training High-Level Talents in Guangdong (2019TQ05H572). J. Titschack acknowledges funding by the MARUM DFG-Research Center/Excellence Cluster The Ocean in the Earth System. We acknowledge support by the Open Access Publication Funds of Alfred-Wegener-Institut Helmholtz-Zentrum fur Polar- und Meeresforschung.</t>
  </si>
  <si>
    <t>10.1038/s41467-021-24264-9</t>
  </si>
  <si>
    <t>TD7GJ</t>
  </si>
  <si>
    <t>gold, Green Published, Green Submitted, Green Accepted</t>
  </si>
  <si>
    <t>WOS:000669490300003</t>
  </si>
  <si>
    <t>Ponomarev, S; Kalinin, S; Sadova, A; Rykova, M; Orlova, K; Crucian, B</t>
  </si>
  <si>
    <t>Ponomarev, Sergey; Kalinin, Sergey; Sadova, Anastasiya; Rykova, Marina; Orlova, Kseniya; Crucian, Brian</t>
  </si>
  <si>
    <t>Immunological Aspects of Isolation and Confinement</t>
  </si>
  <si>
    <t>FRONTIERS IN IMMUNOLOGY</t>
  </si>
  <si>
    <t>adaptive immunity; space flight; innate immunity; ground-based analogues; immunology of confinement</t>
  </si>
  <si>
    <t>IMMUNE-SYSTEM DYSREGULATION; INTERNATIONAL-SPACE-STATION; LONG-DURATION SPACEFLIGHT; CELLULAR-IMMUNITY; SEX-DIFFERENCES; LATENT VIRUSES; RESPONSES; BOARD; REACTIVATION; COSMONAUTS</t>
  </si>
  <si>
    <t>Beyond all doubts, the exploration of outer space is a strategically important and priority sector of the national economy, scientific and technological development of every and particular country, and of all human civilization in general. A number of stress factors, including a prolonged confinement in a limited hermetically sealed space, influence the human body in space on board the spaceship and during the orbital flight. All these factors predominantly negatively affect various functional systems of the organism, in particular, the astronaut's immunity. These ground-based experiments allow to elucidate the effect of confinement in a limited space on both the activation of the immunity and the changes of the immune status in dynamics. Also, due to simulation of one or another emergency situation, such an approach allows the estimation of the influence of an additional psychological stress on the immunity, particularly, in the context of the reserve capacity of the immune system. A sealed chamber seems a convenient site for working out the additional techniques for crew members selection, as well as the countermeasures for negative changes in the astronauts' immune status. In this review we attempted to collect information describing changes in human immunity during isolation experiments with different conditions including short- and long-term experiments in hermetically closed chambers with artificial environment and during Antarctic winter-over.</t>
  </si>
  <si>
    <t>[Ponomarev, Sergey; Kalinin, Sergey; Sadova, Anastasiya; Rykova, Marina; Orlova, Kseniya] SSC RF IBMP RAS, Lab Immune Syst Physiol, Moscow, Russia; [Crucian, Brian] NASA, Immunol Virol Lab, Johnson Space Ctr, Environm Sci Branch, Houston, TX USA</t>
  </si>
  <si>
    <t>National Aeronautics &amp; Space Administration (NASA); NASA Johnson Space Center</t>
  </si>
  <si>
    <t>Ponomarev, S (corresponding author), SSC RF IBMP RAS, Lab Immune Syst Physiol, Moscow, Russia.</t>
  </si>
  <si>
    <t>dr.grey@bk.ru</t>
  </si>
  <si>
    <t>Orlova, Ksenia Dmitrievna/AFP-2987-2022; Sadova, Anastasia/ABF-6264-2021; Ponomarev, Sergey/AAB-2794-2020</t>
  </si>
  <si>
    <t>Orlova, Ksenia Dmitrievna/0000-0002-8021-1814; Sadova, Anastasia/0000-0002-7633-9460; Ponomarev, Sergey/0000-0002-5364-7815</t>
  </si>
  <si>
    <t>Ministry of Science and Higher Education of the Russian Federation [_075-1502020-919]; federal budget to provide government support for the creation and development of a worldclass research center Pavlov Center for Integrative Physiology to Medicine, High-tech Healthcare and Stress Tolerance Technologies</t>
  </si>
  <si>
    <t>Ministry of Science and Higher Education of the Russian Federation; federal budget to provide government support for the creation and development of a worldclass research center Pavlov Center for Integrative Physiology to Medicine, High-tech Healthcare and Stress Tolerance Technologies</t>
  </si>
  <si>
    <t>The study was supported by the Ministry of Science and Higher Education of the Russian Federation under the agreement. _075-1502020-919 from 16.11.2020 about the grant in the form of subsidy from the federal budget to provide government support for the creation and development of a worldclass research center Pavlov Center for Integrative Physiology to Medicine, High-tech Healthcare and Stress Tolerance Technologies.</t>
  </si>
  <si>
    <t>1664-3224</t>
  </si>
  <si>
    <t>FRONT IMMUNOL</t>
  </si>
  <si>
    <t>Front. Immunol.</t>
  </si>
  <si>
    <t>10.3389/fimmu.2021.697435</t>
  </si>
  <si>
    <t>Immunology</t>
  </si>
  <si>
    <t>TF3TQ</t>
  </si>
  <si>
    <t>WOS:000670640000001</t>
  </si>
  <si>
    <t>Xu, M; Yu, LJ; Liang, KX; Vihma, T; Bozkurt, D; Hu, XM; Yang, QH</t>
  </si>
  <si>
    <t>Xu, Min; Yu, Lejiang; Liang, Kaixin; Vihma, Timo; Bozkurt, Deniz; Hu, Xiaoming; Yang, Qinghua</t>
  </si>
  <si>
    <t>Dominant role of vertical air flows in the unprecedented warming on the Antarctic Peninsula in February 2020</t>
  </si>
  <si>
    <t>ICE-SHELF; SURFACE MELT; REANALYSES; LARSEN; FOEHN; CLIMATOLOGY; TEMPERATURE</t>
  </si>
  <si>
    <t>Near-surface air temperature at the Argentinian research base Esperanza on the northern tip of the Antarctic Peninsula reached 18.3 degrees C on 6 February 2020, which is the highest temperature ever recorded on the entire Antarctic continent. Here we use weather observations since 1973 together with the ERA5 reanalysis to investigate the circulation that shaped the 2020 event, and its context over the past decades. We find that, during the 2020 event, a high-pressure ridge over the 40 degrees-100 degrees W sector and a blocking high on the Drake Passage led to an anticyclonic circulation that brought warm and moist air from the Pacific Ocean to the Antarctic Peninsula. Vertical air flows in a foehn warming event dominated by sensible heat and radiation made the largest contribution to the abrupt warming. A further analysis with 196 extreme warm events in austral summer between 1973 and 2020 suggests that the mechanisms behind the 2020 event form one of the two most common clusters of the events, exhibiting that most of the extreme warm events at Esperanza station are linked to air masses originating over the Pacific Ocean. Foehn warming played a dominant role in the generation of record-high temperatures on the Antarctic Peninsula in February 2020, in line with mechanisms of previous warm summer events, suggests an investigation of reanalysis data.</t>
  </si>
  <si>
    <t>[Xu, Min; Liang, Kaixin; Hu, Xiaoming; Yang, Qinghua] Sun Yat Sen Univ, Sch Atmospher Sci, Zhuhai, Peoples R China; [Xu, Min; Liang, Kaixin; Hu, Xiaoming; Yang, Qinghua] Southern Marine Sci &amp; Engn Guangdong Lab Zhuhai, Zhuhai, Peoples R China; [Yu, Lejiang] Polar Res Inst China, MNR Key Lab Polar Sci, Shanghai, Peoples R China; [Vihma, Timo] Finnish Meteorol Inst, Helsinki, Finland; [Bozkurt, Deniz] Univ Valparaiso, Dept Meteorol, Valparaiso, Chile; [Bozkurt, Deniz] Ctr Climate &amp; Resilience Res CR2, Santiago, Chile</t>
  </si>
  <si>
    <t>Sun Yat Sen University; Southern Marine Science &amp; Engineering Guangdong Laboratory; Southern Marine Science &amp; Engineering Guangdong Laboratory (Zhuhai); Polar Research Institute of China; Finnish Meteorological Institute; Universidad de Valparaiso</t>
  </si>
  <si>
    <t>Yang, QH (corresponding author), Sun Yat Sen Univ, Sch Atmospher Sci, Zhuhai, Peoples R China.;Yang, QH (corresponding author), Southern Marine Sci &amp; Engn Guangdong Lab Zhuhai, Zhuhai, Peoples R China.</t>
  </si>
  <si>
    <t>yangqh25@mail.sysu.edu.cn</t>
  </si>
  <si>
    <t>Bozkurt, Deniz/AAC-4563-2021; Bozkurt, Deniz/C-9797-2013</t>
  </si>
  <si>
    <t>Bozkurt, Deniz/0000-0003-1021-8241; Yang, Qinghua/0000-0002-7114-2036; Yu, Lejiang/0000-0003-0535-1937</t>
  </si>
  <si>
    <t>National Natural Science Foundation of China [41941009, 41922044, 42075028]; Guangdong Basic and Applied Basic Research Foundation [2020B1515020025]; Fundamental Research Funds for the Central Universities [19lgzd07]; Academy of Finland [304345]; ANID-CONICYT [PAI-77190080]; ANID-PIA-Anillo INACH [ACT192057]; ANID-FONDECYT [11200101]</t>
  </si>
  <si>
    <t>National Natural Science Foundation of China(National Natural Science Foundation of China (NSFC)); Guangdong Basic and Applied Basic Research Foundation; Fundamental Research Funds for the Central Universities(Fundamental Research Funds for the Central Universities); Academy of Finland(Research Council of Finland); ANID-CONICYT; ANID-PIA-Anillo INACH; ANID-FONDECYT</t>
  </si>
  <si>
    <t>This study is supported by the National Natural Science Foundation of China (No. 41941009, 41922044, 42075028), the Guangdong Basic and Applied Basic Research Foundation (No. 2020B1515020025), the Fundamental Research Funds for the Central Universities (No. 19lgzd07), the Academy of Finland (No. 304345), ANID-CONICYT-PAI-77190080, ANID-PIA-Anillo INACH ACT192057 and ANID-FONDECYT-11200101. We thank the European Centre for Medium-Range Weather Forecasts (ECMWF) for the ERA5 reanalysis data, the NOAA's Air Resources Laboratory (ARL) for the Hybrid Single-Particle Lagrangian Integrated Trajectory (HYSPLIT) model. This is a contribution to the Year of Polar Prediction (YOPP), a flagship activity of the Polar Prediction Project (PPP), initiated by the World Weather Research Programme (WWRP) of the World Meteorological Organization (WMO). We acknowledge the WMO WWRP for its role in coordinating this international research activity.</t>
  </si>
  <si>
    <t>10.1038/s43247-021-00203-w</t>
  </si>
  <si>
    <t>TB7VY</t>
  </si>
  <si>
    <t>WOS:000668156500001</t>
  </si>
  <si>
    <t>Göttl, F; Groh, A; Schmidt, M; Schröder, L; Seitz, F</t>
  </si>
  <si>
    <t>Goettl, Franziska; Groh, Andreas; Schmidt, Michael; Schroeder, Ludwig; Seitz, Florian</t>
  </si>
  <si>
    <t>The influence of Antarctic ice loss on polar motion: an assessment based on GRACE and multi-mission satellite altimetry (vol 73, 99, 2021)</t>
  </si>
  <si>
    <t>EARTH PLANETS AND SPACE</t>
  </si>
  <si>
    <t>[Goettl, Franziska; Schmidt, Michael; Seitz, Florian] Tech Univ Munich, Deutsch Geodat Forschungsinst, Arcisstr 21, D-80333 Munich, Germany; [Groh, Andreas] Tech Univ Dresden, Inst Planetare Geodasie, Helmholzstr 10, D-01062 Dresden, Germany; [Schroeder, Ludwig] Fed Agcy Cartog &amp; Geodesy, Karl Rothe Str 10-14, D-04105 Leipzig, Germany</t>
  </si>
  <si>
    <t>Göttl, F (corresponding author), Tech Univ Munich, Deutsch Geodat Forschungsinst, Arcisstr 21, D-80333 Munich, Germany.</t>
  </si>
  <si>
    <t>franziska.goettl@tum.de</t>
  </si>
  <si>
    <t>Seitz, Florian/F-3125-2011</t>
  </si>
  <si>
    <t>Seitz, Florian/0000-0002-0718-6069; Gottl, Franziska/0000-0003-0006-869X</t>
  </si>
  <si>
    <t>1880-5981</t>
  </si>
  <si>
    <t>EARTH PLANETS SPACE</t>
  </si>
  <si>
    <t>Earth Planets Space</t>
  </si>
  <si>
    <t>10.1186/s40623-021-01460-x</t>
  </si>
  <si>
    <t>SY3ZN</t>
  </si>
  <si>
    <t>WOS:000665829600001</t>
  </si>
  <si>
    <t>Zhang, XX; Yang, WF; Qiu, YS; Zheng, MF</t>
  </si>
  <si>
    <t>Zhang, Xinxing; Yang, Weifeng; Qiu, Yusheng; Zheng, Minfang</t>
  </si>
  <si>
    <t>Adsorption of Th and Pa onto particles and the effect of organic compounds in natural seawater</t>
  </si>
  <si>
    <t>JOURNAL OF OCEANOLOGY AND LIMNOLOGY</t>
  </si>
  <si>
    <t>thorium; protactinium; paleoproductivity; circulation; particle dynamics</t>
  </si>
  <si>
    <t>PA-231/TH-230 RATIO; SOUTH ATLANTIC; NORTH-ATLANTIC; PA-231; TH-230; OCEAN; THORIUM; PROTOACTINIUM; FRACTIONATION; PACIFIC</t>
  </si>
  <si>
    <t>Pa-231 and Th-230 are two crucial isotopes in the ongoing GEOTRACES Project. However, the controversy on Pa-231/Th-230 proxy pertaining to archiving ocean circulation or recording paleoproductivity, is still unresolved, partly owing to the unclear understanding of fractionation between Pa-231 and Th-230 during adsorption. In this study, controlled experiments were conducted to examine the adsorption of Th-234 and Pa-233 onto biogenic particles (SiO2 and CaCO3), authigenic minerals (MnO2 and Fe2O3), and lithogenic minerals (kaolinite, attapulgite, montmorillonite, and aluminum oxyhydroxides), and the role of organic compounds in regulating the adsorption of Th-234 and Pa-233 in natural seawater was evaluated. The distribution coefficients (K-d, presented as logK(d)) varied from 3.56 to 6.05 and from 3.27 to 5.82 for Th-234 and Pa-233, respectively. Fe2O3 is the strongest sorbent for both Th-234 and Pa-233. Most of the particles showed comparable logK(d) values for either Th-234 (similar to 4.8) or Pa-233 (similar to 3.9) in the presence of dextran, indicating that the adsorption of Th and Pa is likely controlled by organic coating on particle surfaces. The fractionation factors (F-Th/Pa) of SiO2 (3 +/- 1) and CaCO3 (33 +/- 1) suggest in situ observed preferential scavenging of Th-230 to Pa-231 in the surface water of low- to mid-latitude regions and the nearly equal removal in the Antarctic Ocean where biogenic silica dominates the particle regime. The F-Th/Pa values of the lithogenic and biogenic particles indicate that Th-230 is scavenged prior to Pa-231 in the particle-scarce ocean interior. The equal scavenging of Th-230 and Pa-231 at the ocean margins and the ridge crests is dominated by high particle fluxes instead of particle composition control. These results imply that Th-230/Pa-231 can be used as different proxies in different oceanic settings.</t>
  </si>
  <si>
    <t>[Zhang, Xinxing; Yang, Weifeng; Qiu, Yusheng; Zheng, Minfang] Xiamen Univ, Coll Ocean &amp; Earth Sci, Xiamen 361102, Peoples R China; [Zhang, Xinxing] State Ocean Adm, North China Sea Environm Monitoring Ctr, Qingdao 266033, Peoples R China; [Yang, Weifeng] State Key Lab Marine Environm Sci, Xiamen 361102, Peoples R China</t>
  </si>
  <si>
    <t>Xiamen University</t>
  </si>
  <si>
    <t>Yang, WF (corresponding author), Xiamen Univ, Coll Ocean &amp; Earth Sci, Xiamen 361102, Peoples R China.;Yang, WF (corresponding author), State Key Lab Marine Environm Sci, Xiamen 361102, Peoples R China.</t>
  </si>
  <si>
    <t>wyang@xmu.edu.cn</t>
  </si>
  <si>
    <t>Yang, Weifeng/G-3996-2010</t>
  </si>
  <si>
    <t>Yang, Weifeng/0000-0002-9339-1746</t>
  </si>
  <si>
    <t>National Natural Science Foundation of China [42076030, 41476061]; National Key Basic Research Special Foundation Program of China [2015CB452902]</t>
  </si>
  <si>
    <t>National Natural Science Foundation of China(National Natural Science Foundation of China (NSFC)); National Key Basic Research Special Foundation Program of China(National Basic Research Program of China)</t>
  </si>
  <si>
    <t>Supported by the National Natural Science Foundation of China (Nos. 42076030, 41476061) and the National Key Basic Research Special Foundation Program of China (No. 2015CB452902)</t>
  </si>
  <si>
    <t>16 DONGHUANGCHENGGEN NORTH ST, Building 5, Room 411, BEIJING, 100009, PEOPLES R CHINA</t>
  </si>
  <si>
    <t>2096-5508</t>
  </si>
  <si>
    <t>2523-3521</t>
  </si>
  <si>
    <t>J OCEANOL LIMNOL</t>
  </si>
  <si>
    <t>J. Oceanol. Limnol.</t>
  </si>
  <si>
    <t>10.1007/s00343-021-0297-5</t>
  </si>
  <si>
    <t>Limnology; Oceanography</t>
  </si>
  <si>
    <t>XU3IY</t>
  </si>
  <si>
    <t>WOS:000665680000008</t>
  </si>
  <si>
    <t>Kovalchuk, O; Barkaszi, Z</t>
  </si>
  <si>
    <t>Kovalchuk, Oleksandr; Barkaszi, Zoltan</t>
  </si>
  <si>
    <t>Oligocene basking sharks (Lamniformes, Cetorhinidae) of the Carpathian Basin with a reconsideration of the role of gill rakers in species diagnostics</t>
  </si>
  <si>
    <t>MIOCENE; GROWTH</t>
  </si>
  <si>
    <t>Basking sharks are presented in the modern fauna by a single species (Cetorhinus maximus), although they have been much more diverse in the past. This group of sharks first appeared in the fossil record in the middle Eocene of the Antarctic and the U.S.A., but most of the described extinct taxa are known from the Oligocene and lower Miocene of Europe. Gill rakers are the most abundant among basking shark remains and their morphological details play an important role in species diagnostics. The shape of isolated gill rakers from 16 Oligocene localities of Poland was analyzed using various morphological approaches, including geometric morphometrics. Results indicate that descriptive characters have a wide range of variation and low diagnostic value, and they are associated directly with the position of gill rakers on the gill arch. Morphological indices describe proportions by discrete structures and could be effective only in the identification of the stratigraphically most distant taxa. Geometric morphometrics revealed significant differences between all of the species designated earlier except for dagger Caucasochasma zherikhini and dagger Keasius parvus. At the same time, considering the obtained results on morphology along with the geographic distance, Oligocene basking sharks from Poland should be assigned to dagger K. parvus. Geometric morphometrics of gill rakers supports the taxonomic distinctness of both dagger K. rhenanus and dagger K. septemtrionalis. Study results indicate that reliable taxonomic attribution of extinct basking sharks by the shape of gill rakers, in the absence of other skeletal elements (teeth and/or vertebrae), should be sample-based using multivariate approaches.</t>
  </si>
  <si>
    <t>[Kovalchuk, Oleksandr] Univ Wroclaw, 21 Sienkiewicza St, PL-50335 Wroclaw, Poland; [Kovalchuk, Oleksandr; Barkaszi, Zoltan] Natl Acad Sci Ukraine, Natl Museum Nat Hist, 15 Bohdan Khmelnytsky St, UA-01054 Kiev, Ukraine</t>
  </si>
  <si>
    <t>University of Wroclaw; National Academy of Sciences Ukraine; National Museum of Natural History, NAS of Ukraine</t>
  </si>
  <si>
    <t>Kovalchuk, O (corresponding author), Univ Wroclaw, 21 Sienkiewicza St, PL-50335 Wroclaw, Poland.;Kovalchuk, O (corresponding author), Natl Acad Sci Ukraine, Natl Museum Nat Hist, 15 Bohdan Khmelnytsky St, UA-01054 Kiev, Ukraine.</t>
  </si>
  <si>
    <t>biologiest@ukr.net; zlbarkasi@ukr.net</t>
  </si>
  <si>
    <t>Kovalchuk, Oleksandr/AAC-9190-2020; Barkaszi, Zoltan/L-4089-2016</t>
  </si>
  <si>
    <t>Kovalchuk, Oleksandr/0000-0002-9545-208X; Barkaszi, Zoltan/0000-0003-3155-6362</t>
  </si>
  <si>
    <t>National Academy of Sciences of Ukraine [0121U110402]</t>
  </si>
  <si>
    <t>National Academy of Sciences of Ukraine</t>
  </si>
  <si>
    <t>This study was carried out as part of the research project Reconstruction of Cenozoic marine ecosystems within the Central and Eastern Paratethys (0121U110402) supported by a grant from the National Academy of Sciences of Ukraine for research groups of young scientists. We are thankful to C. J. Underwood (Birkbeck, University of London, UK) and an anonymous reviewer for their constructive review of the manuscript. The editor J. Kriwet (University of Vienna, Austria) is acknowledged for his effective management of our submission. We would like to thank E. widnicka for her kind help and advice during the preparation of the manuscript, A. Marciszak, W. Gornig (University of Wrocaw, Poland) for taking the photos of the studied specimens, and J. Pollerspock (Zoologische Staatssammlung Munchen, Germany) for providing access to hardly accessible literature sources. We further acknowledge S. Davydenko (Schmalhausen Institute of Zoology, National Academy of Sciences of Ukraine) for consultations, as well as V. Peskov and N. Malyuk (National Museum of Natural History, National Academy of Sciences of Ukraine) for insightful comments and important suggestions.</t>
  </si>
  <si>
    <t>MAR 4</t>
  </si>
  <si>
    <t>10.1080/02724634.2021.1929269</t>
  </si>
  <si>
    <t>UQ8JF</t>
  </si>
  <si>
    <t>WOS:000666939100001</t>
  </si>
  <si>
    <t>Simmons, JB; Humphries, RS; Wilson, SR; Chambers, SD; Williams, AG; Griffiths, AD; McRobert, IM; Ward, JP; Keywood, MD; Gribben, S</t>
  </si>
  <si>
    <t>Simmons, Jack B.; Humphries, Ruhi S.; Wilson, Stephen R.; Chambers, Scott D.; Williams, Alastair G.; Griffiths, Alan D.; McRobert, Ian M.; Ward, Jason P.; Keywood, Melita D.; Gribben, Sean</t>
  </si>
  <si>
    <t>Summer aerosol measurements over the East Antarctic seasonal ice zone</t>
  </si>
  <si>
    <t>CLOUD CONDENSATION NUCLEI; MARINE BOUNDARY-LAYER; SIZE DISTRIBUTIONS; OPTICAL-PROPERTIES; SEA-SALT; AIR; PHYTOPLANKTON; EMISSIONS; SULFUR</t>
  </si>
  <si>
    <t>Aerosol measurements over the Southern Ocean have been identified as critical to an improved understanding of aerosol-radiation and aerosol-cloud interactions, as there currently exists significant discrepancies between model results and measurements in this region. The atmosphere above the Southern Ocean provides crucial insight into an aerosol regime relatively free from anthropogenic influence, yet its remoteness ensures atmospheric measurements are relatively rare. Here we present observations from the Polar Cell Aerosol Nucleation (PCAN) campaign, hosted aboard the RV Investigator during a summer (January-March) 2017 voyage from Hobart, Australia, to the East Antarctic seasonal sea ice zone. A median particle number concentration (condensation nuclei &gt; 3 nm; CN3) of 354 (95 % CI 345-363) cm(-3) was observed from the voyage. Median cloud condensation nuclei (CCN) concentrations were 167 (95 % CI 158-176) cm(-3). Measured particle size distributions suggested that aerosol populations had undergone significant cloud processing. To understand the variability in aerosol observations, measurements were classified by meteorological variables. Wind direction and absolute humidity were used to identify different air masses, and aerosol measurements were compared based on these identifications. CN3 concentrations measured during SE wind directions (median 594 cm(-3)) were higher than those measured during wind directions from the NW (median 265 cm(-3)). Increased frequency of measurements from these wind directions suggests the influence of large-scale atmospheric transport mechanisms on the local aerosol population in the boundary layer of the East Antarctic seasonal ice zone. Modelled back trajectories imply different air mass histories for each measurement group, supporting this suggestion. CN3 and CCN concentrations were higher during periods where the absolute humidity was less than 4.3 g(H2O)/m(3), indicative of free tropospheric or Antarctic continental air masses, compared to other periods of the voyage. Increased aerosol concentration in air masses originating close to the Antarctic coastline have been observed in numerous other studies. However, the smaller changes observed in the present analyses suggest seasonal differences in atmospheric circulation, including lesser impact of synoptic low-pressure systems in summer. Further measurements in the region are required before a more comprehensive picture of atmospheric circulation in this region can be captured and its influence on local aerosol populations understood.</t>
  </si>
  <si>
    <t>[Simmons, Jack B.; Wilson, Stephen R.; Griffiths, Alan D.] Univ Wollongong, Ctr Atmospher Chem, Sch Earth Atmospher &amp; Life Sci, Wollongong, NSW 2522, Australia; [Humphries, Ruhi S.; Ward, Jason P.; Keywood, Melita D.; Gribben, Sean] CSIRO Oceans &amp; Atmosphere, Climate Sci Ctr, Aspendale, Vic 3195, Australia; [Humphries, Ruhi S.; Keywood, Melita D.] Univ Tasmania, Australian Antarctic Program Partnership, Hobart, Tas 7000, Australia; [Chambers, Scott D.; Williams, Alastair G.; Griffiths, Alan D.] ANSTO, Environm Res, Locked Bag 2001, Kirrawee Dc, NSW 2232, Australia; [McRobert, Ian M.] CSIRO Natl Res Collect Australia, Engn &amp; Technol Program, Hobart, Tas 7004, Australia</t>
  </si>
  <si>
    <t>University of Wollongong; Commonwealth Scientific &amp; Industrial Research Organisation (CSIRO); University of Tasmania; Australian Nuclear Science &amp; Technology Organisation; Commonwealth Scientific &amp; Industrial Research Organisation (CSIRO)</t>
  </si>
  <si>
    <t>Simmons, JB (corresponding author), Univ Wollongong, Ctr Atmospher Chem, Sch Earth Atmospher &amp; Life Sci, Wollongong, NSW 2522, Australia.</t>
  </si>
  <si>
    <t>js828@uowmail.edu.au</t>
  </si>
  <si>
    <t>Humphries, Ruhi S/M-4074-2018; keywood, melita/C-5139-2011; Griffiths, Alan/I-4766-2014; Williams, Alastair/P-6946-2014</t>
  </si>
  <si>
    <t>Humphries, Ruhi S/0000-0002-4864-5321; keywood, melita/0000-0001-9953-6806; Simmons, Jack/0000-0001-5168-4076; Griffiths, Alan/0000-0003-1135-1810; McRobert, Ian/0000-0003-2130-257X; Chambers, Scott/0000-0002-2521-959X; Williams, Alastair/0000-0002-0568-8487</t>
  </si>
  <si>
    <t>CSIRO Marine National Facility (MNF); Australian Government as part of the Antarctic Science Collaboration Initiative program</t>
  </si>
  <si>
    <t>CSIRO Marine National Facility (MNF); Australian Government as part of the Antarctic Science Collaboration Initiative program(Australian Government)</t>
  </si>
  <si>
    <t>The authors gratefully acknowledge Leanne Armand, the chief scientist on board voyage IN2017-V01, and other voyage staff for allowing the PCAN piggyback project on board the RV Investigator. The authors wish to thank the CSIRO Marine National Facility (MNF) for its support in the form of sea time on RV Investigator, support personnel, scientific equipment, and data management with particular thanks to the Seagoing Instrumentation Team. In particular we thank the technical and IT support personnel on board the voyage. All data and samples acquired on the voyage are made publicly available in accordance with MNF policy. This project received grant funding from the Australian Government as part of the Antarctic Science Collaboration Initiative program. The Australian Antarctic Program Partnership is led by the University of Tasmania and includes the Australian Antarctic Division, CSIRO Oceans and Atmosphere, Geoscience Australia, the Bureau of Meteorology, the Tasmanian State Government, and Australia's Integrated Marine Observing System.</t>
  </si>
  <si>
    <t>JUN 23</t>
  </si>
  <si>
    <t>10.5194/acp-21-9497-2021</t>
  </si>
  <si>
    <t>TA8YX</t>
  </si>
  <si>
    <t>WOS:000667533500003</t>
  </si>
  <si>
    <t>Marshall, HH; Johnstone, RA; Thompson, FJ; Nichols, HJ; Wells, D; Hoffman, JI; Kalema-Zikusoka, G; Sanderson, JL; Vitikainen, EIK; Blount, JD; Cant, MA</t>
  </si>
  <si>
    <t>Marshall, H. H.; Johnstone, R. A.; Thompson, F. J.; Nichols, H. J.; Wells, D.; Hoffman, J. I.; Kalema-Zikusoka, G.; Sanderson, J. L.; Vitikainen, E. I. K.; Blount, J. D.; Cant, M. A.</t>
  </si>
  <si>
    <t>A veil of ignorance can promote fairness in a mammal society</t>
  </si>
  <si>
    <t>BREEDING BANDED MONGOOSE; REPRODUCTIVE COMPETITION; EVOLUTION; INFERENCE; BEHAVIOR; YOUNG; CARE</t>
  </si>
  <si>
    <t>Rawls argued that fairness in human societies can be achieved if decisions about the distribution of societal rewards are made from behind a veil of ignorance, which obscures the personal gains that result. Whether ignorance promotes fairness in animal societies, that is, the distribution of resources to reduce inequality, is unknown. Here we show experimentally that cooperatively breeding banded mongooses, acting from behind a veil of ignorance over kinship, allocate postnatal care in a way that reduces inequality among offspring, in the manner predicted by a Rawlsian model of cooperation. In this society synchronized reproduction leaves adults in a group ignorant of the individual parentage of their communal young. We provisioned half of the mothers in each mongoose group during pregnancy, leaving the other half as matched controls, thus increasing inequality among mothers and increasing the amount of variation in offspring birth weight in communal litters. After birth, fed mothers provided extra care to the offspring of unfed mothers, not their own young, which levelled up initial size inequalities among the offspring and equalized their survival to adulthood. Our findings suggest that a classic idea of moral philosophy also applies to the evolution of cooperation in biological systems. Obscuring knowledge of personal gains from individuals can theoretically maintain fairness in a cooperative group. Experiments show that wild, cooperatively breeding banded mongooses uncertain of kinship allocate postnatal care in a way that reduces inequality among offspring, suggesting a classic idea of moral philosophy can apply in biological systems.</t>
  </si>
  <si>
    <t>[Marshall, H. H.; Thompson, F. J.; Sanderson, J. L.; Blount, J. D.; Cant, M. A.] Univ Exeter, Ctr Ecol &amp; Conservat, Penryn, England; [Marshall, H. H.] Univ Roehampton, Ctr Res Ecol Evolut &amp; Behav, London, England; [Johnstone, R. A.] Univ Cambridge, Dept Zool, Cambridge, England; [Nichols, H. J.] Swansea Univ, Swansea, W Glam, Wales; [Wells, D.; Hoffman, J. I.] Bielefeld Univ, Dept Anim Behav, Bielefeld, Germany; [Wells, D.] Liverpool John Moores Univ, Sch Nat Sci &amp; Psychol, Liverpool, Merseyside, England; [Hoffman, J. I.] British Antarctic Survey, Cambridge, England; [Kalema-Zikusoka, G.] Conservat Publ Hlth, Entebbe, Uganda; [Vitikainen, E. I. K.] Univ Helsinki, Fac Biol &amp; Environm Sci, Helsinki, Finland; [Cant, M. A.] Inst Adv Study, Berlin, Germany</t>
  </si>
  <si>
    <t>University of Exeter; Roehampton University; University of Cambridge; Swansea University; University of Bielefeld; Liverpool John Moores University; UK Research &amp; Innovation (UKRI); Natural Environment Research Council (NERC); NERC British Antarctic Survey; University of Helsinki</t>
  </si>
  <si>
    <t>Marshall, HH; Cant, MA (corresponding author), Univ Exeter, Ctr Ecol &amp; Conservat, Penryn, England.;Marshall, HH (corresponding author), Univ Roehampton, Ctr Res Ecol Evolut &amp; Behav, London, England.;Cant, MA (corresponding author), Inst Adv Study, Berlin, Germany.</t>
  </si>
  <si>
    <t>harry.marshall@roehampton.ac.uk; m.a.cant@exeter.ac.uk</t>
  </si>
  <si>
    <t>Wells, David/AFO-3604-2022; Marshall, Harry/D-4945-2014; Cant, Michael A/B-1982-2009; Wells, David/ABD-7694-2021; Blount, Jonathan/K-7695-2012; Vitikainen, Emma/F-2099-2010; Hoffman, Joseph/K-7725-2012</t>
  </si>
  <si>
    <t>Wells, David/0000-0002-4531-5968; Marshall, Harry/0000-0003-2120-243X; Wells, David/0000-0002-4531-5968; Vitikainen, Emma/0000-0003-3718-0941; Thompson, Faye/0000-0001-7581-2204; Hoffman, Joseph/0000-0001-5895-8949</t>
  </si>
  <si>
    <t>European Research Council [309249]; Natural Environment Research Council [NE/N011171/1]; Deutsche Forschungsgemeinschaft [HO 5122/5-1]; Sonderforschungsbereich [316099922, 396774617-TRR 212]; NERC [NE/N011171/1] Funding Source: UKRI</t>
  </si>
  <si>
    <t>European Research Council(European Research Council (ERC)); Natural Environment Research Council(UK Research &amp; Innovation (UKRI)Natural Environment Research Council (NERC)); Deutsche Forschungsgemeinschaft(German Research Foundation (DFG)); Sonderforschungsbereich(German Research Foundation (DFG)); NERC(UK Research &amp; Innovation (UKRI)Natural Environment Research Council (NERC))</t>
  </si>
  <si>
    <t>We thank Uganda Wildlife Authority and Uganda National Council for Science and Technology for permission to conduct our research, and the wardens of Queen Elizabeth National Park for continuous support of our long-term study. The research was made possible by the Uganda field team: Francis Mwanguhya, Solomon Kyabulima, Kenneth Mwesige, Robert Businge, Solomon Ahabyona. We are grateful to Stuart Semple, Lewis Halsey, and five anonymous referees for helpful comments on the manuscript. This study was funded by a European Research Council Consolidator Grant (grant number 309249) to M.A.C. and a Natural Environment Research Council Standard Grant to J.B., R.A.J., and M.A.C. (NE/N011171/1) and a Deutsche Forschungsgemeinschaft standard grant (HO 5122/5-1) and Sonderforschungsbereich framework grants (316099922 and 396774617-TRR 212) to J.I.H., M.A.C., and H.J.N.</t>
  </si>
  <si>
    <t>10.1038/s41467-021-23910-6</t>
  </si>
  <si>
    <t>TC6OD</t>
  </si>
  <si>
    <t>WOS:000668759800001</t>
  </si>
  <si>
    <t>Balcerzak, L; Lochynski, S; Lipok, J</t>
  </si>
  <si>
    <t>Balcerzak, Lucyna; Lochynski, Stanislaw; Lipok, Jacek</t>
  </si>
  <si>
    <t>Influence of monoterpenoids on the growth of freshwater cyanobacteria</t>
  </si>
  <si>
    <t>APPLIED MICROBIOLOGY AND BIOTECHNOLOGY</t>
  </si>
  <si>
    <t>Cyanobacteria; Monoterpenoid; Inhibition of growth; Bloom formation; Cyanobacterial consortium</t>
  </si>
  <si>
    <t>MICROCYSTIS-AERUGINOSA; CYLINDROSPERMOPSIS-RACIBORSKII; HARMFUL CYANOBACTERIA; PLANKTOTHRIX-AGARDHII; ESSENTIAL OILS; BLOOMS; EUTROPHICATION; INHIBITION; ELIMINATION; TEMPERATURE</t>
  </si>
  <si>
    <t>Cyanobacteria are characterized by a very high tolerance to environmental factors. They are found in salt water, fresh water, thermal springs, and Antarctic waters. The wide spectrum of habitats suitable for those microorganisms is related to their particularly effective metabolism; resistance to extreme environmental conditions; and the need for only limited environmental resources such as water, carbon dioxide, simple inorganic salts, and light. These metabolic characteristics have led to cyanobacterial blooms and the production of cyanotoxins, justifying research into effective ways to counteract the excessive proliferation of these microorganisms. A new and interesting idea for the immediate reduction of cyanobacterial abundance is to use natural substances with broad-spectrum biological activity to restore phytoplankton diversity. This study describes the effects of selected monoterpenoid derivatives on the development of cyanobacterial cultures. In the course of the study, some compounds ((+/-)-citronellal, (+)-alpha-pinene) showed the ability to inhibit the colonization of the tested photosynthetic bacteria, while others (eugenol, eucalyptol) stimulated the growth of these microorganisms. By analyzing the results of these experiments, information was obtained on the mutual relations of cyanobacteria and the tested monoterpenes, which are present in the aquatic environment.</t>
  </si>
  <si>
    <t>[Balcerzak, Lucyna; Lochynski, Stanislaw] Wroclaw Univ Sci &amp; Technol, Fac Chem, Dept Chem Biol &amp; Bioimaging, Wyb Wyspianskiego 27, PL-50370 Wroclaw, Poland; [Lochynski, Stanislaw] Wroclaw Coll Physiotherapy, Inst Cosmetol, Wroclaw, Poland; [Lipok, Jacek] Opole Univ, Fac Chem, Dept Pharm &amp; Ecol Chem, Opole, Poland</t>
  </si>
  <si>
    <t>Wroclaw University of Science &amp; Technology; University of Opole</t>
  </si>
  <si>
    <t>Balcerzak, L (corresponding author), Wroclaw Univ Sci &amp; Technol, Fac Chem, Dept Chem Biol &amp; Bioimaging, Wyb Wyspianskiego 27, PL-50370 Wroclaw, Poland.</t>
  </si>
  <si>
    <t>lucyna.balcerzak@pwr.edu.pl</t>
  </si>
  <si>
    <t>Balcerzak, Lucyna/KBC-2516-2024</t>
  </si>
  <si>
    <t>Balcerzak, Lucyna/0000-0002-3268-7818; Lipok, Jacek/0000-0002-8567-5351</t>
  </si>
  <si>
    <t>0175-7598</t>
  </si>
  <si>
    <t>1432-0614</t>
  </si>
  <si>
    <t>APPL MICROBIOL BIOT</t>
  </si>
  <si>
    <t>Appl. Microbiol. Biotechnol.</t>
  </si>
  <si>
    <t>10.1007/s00253-021-11260-8</t>
  </si>
  <si>
    <t>TJ2TJ</t>
  </si>
  <si>
    <t>WOS:000664864100001</t>
  </si>
  <si>
    <t>Laeseke, P; Martínez, B; Mansilla, A; Bischof, K</t>
  </si>
  <si>
    <t>Laeseke, Philipp; Martinez, Brezo; Mansilla, Andres; Bischof, Kai</t>
  </si>
  <si>
    <t>Future range dynamics of the red alga Capreolia implexa in native and invaded regions: contrasting predictions from species distribution models versus physiological knowledge (vol 22, pg 1339, 2020)</t>
  </si>
  <si>
    <t>BIOLOGICAL INVASIONS</t>
  </si>
  <si>
    <t>[Laeseke, Philipp; Bischof, Kai] Univ Bremen, Dept Marine Bot, Bremen, Germany; [Martinez, Brezo] Univ Rey Juan Carlos, Area Biodiversidad &amp; Conservac, Madrid, Spain; [Mansilla, Andres] Univ Magallanes, Inst Ecol &amp; Biodivers IEB, Lab Antarctic &amp; Subantarctic Marine Ecosyst LEMAS, Punta Arenas, Chile</t>
  </si>
  <si>
    <t>University of Bremen; Universidad Rey Juan Carlos; Universidad de Magallanes</t>
  </si>
  <si>
    <t>Laeseke, P (corresponding author), Univ Bremen, Dept Marine Bot, Bremen, Germany.</t>
  </si>
  <si>
    <t>philipp.laeseke@uni-bremen.de</t>
  </si>
  <si>
    <t>Bischof, Kai/0000-0002-4497-1920; Mansilla, Andres/0000-0003-3505-7018</t>
  </si>
  <si>
    <t>1387-3547</t>
  </si>
  <si>
    <t>1573-1464</t>
  </si>
  <si>
    <t>BIOL INVASIONS</t>
  </si>
  <si>
    <t>Biol. Invasions</t>
  </si>
  <si>
    <t>10.1007/s10530-021-02582-9</t>
  </si>
  <si>
    <t>US1HM</t>
  </si>
  <si>
    <t>WOS:000664863200001</t>
  </si>
  <si>
    <t>Rojo, D; Calderón, M; Ghiglione, MC; Suárez, RJ; Quezada, P; Cataldo, J; Hervé, F; Charrier, R; Galaz, G; Suárez, M; Guettner, G; Babinski, M</t>
  </si>
  <si>
    <t>Rojo, D.; Calderon, M.; Ghiglione, M. C.; Suarez, R. J.; Quezada, P.; Cataldo, J.; Herve, F.; Charrier, R.; Galaz, G.; Suarez, M.; Guettner, G.; Babinski, M.</t>
  </si>
  <si>
    <t>The low-grade basement at Peninsula La Carmela, Chilean Patagonia: new data for unraveling the pre-Permian basin nature of the Eastern Andean Metamorphic Complex</t>
  </si>
  <si>
    <t>INTERNATIONAL JOURNAL OF EARTH SCIENCES</t>
  </si>
  <si>
    <t>Eastern Andean Metamorphic Complex; Southwestern Gondwana; Pillow metabasalts; Back-arc basalts; Metaturbiditic sequences; Accretionary wedge</t>
  </si>
  <si>
    <t>LATE PALEOZOIC METASEDIMENTS; U-PB; ANTARCTIC PENINSULA; SOUTHERNMOST CHILE; GONDWANA MARGIN; EVOLUTION; PROVENANCE; ROCKS; AYSEN; CONSTRAINTS</t>
  </si>
  <si>
    <t>The Eastern Andean Metamorphic Complex at Peninsula La Carmela (48 degrees 50'S) consists of quartz-rich metaturbiditic sequences with tectonic slices of pillow metabasalt bodies deformed under low-grade metamorphic conditions. Previous and new detrital zircon U-Pb geochronological data from metasandstones indicate a preferred early Carboniferous maximum depositional age of the protolith, interpreted from the youngest single zircon grains of several metasedimentary rocks in the area. The wide spectrum of zircon ages from Peninsula La Carmela, includes Neoproterozoic-early Paleozoic components and subordinate ancient zircon grains (&gt; 2200 Ma). They were sourced from cratonic regions and/or reworked material from older metasedimentary successions and plutonic belts in southwestern Gondwana (e.g., North Patagonian and Deseado massifs or from the Tierra del Fuego Igneous and Metamorphic Complex). The pillow metabasalts have geochemical affinities of normal mid-oceanic ridge basalts and island-arc tholeiites with Nb-Ta negative anomalies, derived from a depleted mantle source (epsilon Nd-t of + 6 and + 7.5). In consideration that pillow metabasalts with ocean island basalt affinities are reported, we propose that metaturbiditic successions and metabasalts were tectonically juxtaposed within a pre-Permian accretionary wedge of an active continental margin, after the development of island arcs and back-arc marginal basins.</t>
  </si>
  <si>
    <t>[Rojo, D.] Univ Arturo Prat, Fac Ingn &amp; Arquitectura, Ave Arturo Prat 2120, Iquique, Chile; [Rojo, D.; Ghiglione, M. C.; Suarez, R. J.] Univ Buenos Aires, CONICET, Inst Estudios Andinos IDEAN, Buenos Aires, DF, Argentina; [Calderon, M.] Univ Desarrollo, Fac Ingn, Ave Plaza 680, Las Condes, Chile; [Quezada, P.] Univ Aysen, Dept Ciencias &amp; Nat Tecnol, Obispo Vielmo 62, Coyhaique, Chile; [Quezada, P.] Univ Fed Parana, Inst LAMIR, Ctr Politecn, BR-81531980 Curitiba, PR, Brazil; [Cataldo, J.; Herve, F.; Charrier, R.; Suarez, M.; Guettner, G.] Univ Andres Bello, Fac Ingn, Carrera Geol, Santiago 2129, Chile; [Herve, F.] Univ Chile, Dept Geol, Plaza Ercilla 803, Santiago, Chile; [Galaz, G.] Univ Atacama, Dept Geol, Copayapu 485, Copiapo, Chile; [Babinski, M.] Univ Sao Paulo, Geosci Inst, Mineral &amp; Geotecton Dept, Sao Paulo, Brazil</t>
  </si>
  <si>
    <t>Universidad Arturo Prat; University of Buenos Aires; Consejo Nacional de Investigaciones Cientificas y Tecnicas (CONICET); Universidad del Desarrollo; Universidade Federal do Parana; Universidad Andres Bello; Universidad de Chile; Universidad de Atacama; Universidade de Sao Paulo</t>
  </si>
  <si>
    <t>Rojo, D (corresponding author), Univ Arturo Prat, Fac Ingn &amp; Arquitectura, Ave Arturo Prat 2120, Iquique, Chile.;Rojo, D (corresponding author), Univ Buenos Aires, CONICET, Inst Estudios Andinos IDEAN, Buenos Aires, DF, Argentina.</t>
  </si>
  <si>
    <t>d.rojomartel@gmail.com</t>
  </si>
  <si>
    <t>Herve, Francisco/HDO-6628-2022; Babinski, Marly/B-9403-2013</t>
  </si>
  <si>
    <t>Babinski, Marly/0000-0003-2444-2404; Rojo, Diego/0000-0002-5764-2819</t>
  </si>
  <si>
    <t>Fondecyt [1161818, 1180457]; Ciencia Joven program of the Instituto Chileno de Campos de Hielo</t>
  </si>
  <si>
    <t>Fondecyt(Comision Nacional de Investigacion Cientifica y Tecnologica (CONICYT)CONICYT FONDECYT); Ciencia Joven program of the Instituto Chileno de Campos de Hielo</t>
  </si>
  <si>
    <t>The authors would like to thank Dr. Mark Fanning for performing the geochrological analysis of zircons, as well as the support and assistance of the Ciencia Joven program of the Instituto Chileno de Campos de Hielo. Dayvi Mancilla is acknowledged for their hospitality and assistance during the fieldwork at Peninsula La Carmela and Villa O'Higgins. This research has been funded by Fondecyt projects 1161818 (MC) and 1180457 (FH). The manuscript was highly benefited by the suggestions of Dr. Sebastian Oriolo and an anonymous reviewer. Likewise, we are grateful to the associate editor for editorial assistance.</t>
  </si>
  <si>
    <t>1437-3254</t>
  </si>
  <si>
    <t>1437-3262</t>
  </si>
  <si>
    <t>INT J EARTH SCI</t>
  </si>
  <si>
    <t>Int. J. Earth Sci.</t>
  </si>
  <si>
    <t>10.1007/s00531-021-02054-4</t>
  </si>
  <si>
    <t>TS5WO</t>
  </si>
  <si>
    <t>WOS:000664809500001</t>
  </si>
  <si>
    <t>Krauze, P; Wagner, D; Yang, SZ; Spinola, D; Kühn, P</t>
  </si>
  <si>
    <t>Krauze, Patryk; Wagner, Dirk; Yang, Sizhong; Spinola, Diogo; Kuehn, Peter</t>
  </si>
  <si>
    <t>Influence of prokaryotic microorganisms on initial soil formation along a glacier forefield on King George Island, maritime Antarctica</t>
  </si>
  <si>
    <t>MICROBIAL COMMUNITY STRUCTURE; PERMAFROST-AFFECTED SOILS; JAMES-ROSS-ISLAND; BACTERIAL DIVERSITY; RHIZOSPHERE SOIL; ECOLOGY GLACIER; DAMMA GLACIER; ADMIRALTY BAY; SP NOV.; EVOLUTION</t>
  </si>
  <si>
    <t>Compared to the 1970s, the edge of the Ecology Glacier on King George Island, maritime Antarctica, is positioned more than 500 m inwards, exposing a large area of new terrain to soil-forming processes and periglacial climate for more than 40 years. To gain information on the state of soil formation and its interplay with microbial activity, three hyperskeletic Cryosols (vegetation cover of 0-80%) deglaciated after 1979 in the foreland of the Ecology Glacier and a Cambic Cryosol (vegetation cover of 100%) distal to the lateral moraine deglaciated before 1956 were investigated by combining soil chemical and microbiological methods. In the upper part of all soils, a decrease in soil pH was observed, but only the Cambic Cryosol showed a clear direction of pedogenic and weathering processes, such as initial silicate weathering indicated by a decreasing Chemical Index of Alteration with depth. Differences in the development of these initial soils could be related to different microbial community compositions and vegetation coverage, despite the short distance among them. We observed-decreasing with depth-the highest bacterial abundances and microbial diversity at vegetated sites. Multiple clusters of abundant amplicon sequence variants were found depending on the site-specific characteristics as well as a distinct shift in the microbial community structure towards more similar communities at soil depths &gt;10 cm. In the foreland of the Ecology Glacier, the main soil-forming processes on a decadal timescale are acidification and accumulation of soil organic carbon and nitrogen, accompanied by changes in microbial abundances, microbial community compositions, and plant coverage, whereas quantifiable silicate weathering and the formation of pedogenic oxides occur on a centennial to a millennial timescale after deglaciation.</t>
  </si>
  <si>
    <t>[Krauze, Patryk; Wagner, Dirk; Yang, Sizhong] Helmholtz Ctr Potsdam, Sect Geomicrobiol, German Res Ctr Geosci, GFZ, D-14473 Potsdam, Germany; [Wagner, Dirk] Univ Potsdam, Inst Geosci, D-14476 Potsdam, Germany; [Spinola, Diogo; Kuehn, Peter] Eberhard Karls Univ Tubingen, Dept Geosci, Lab Soil Sci &amp; Geoecol, Res Area Geog, D-72070 Tubingen, Germany; [Spinola, Diogo] Univ Alaska Fairbanks, Dept Chem &amp; Biochem, Fairbanks, AK 99775 USA</t>
  </si>
  <si>
    <t>Helmholtz Association; Helmholtz-Center Potsdam GFZ German Research Center for Geosciences; University of Potsdam; Eberhard Karls University of Tubingen; University of Alaska System; University of Alaska Fairbanks</t>
  </si>
  <si>
    <t>Krauze, P (corresponding author), Helmholtz Ctr Potsdam, Sect Geomicrobiol, German Res Ctr Geosci, GFZ, D-14473 Potsdam, Germany.</t>
  </si>
  <si>
    <t>pkrauze@gfz-potsdam.de</t>
  </si>
  <si>
    <t>Wagner, Dirk/C-3932-2012; Kühn, Peter/A-9146-2009; Spinola, Diogo/V-8593-2018</t>
  </si>
  <si>
    <t>Wagner, Dirk/0000-0001-5064-497X; Kühn, Peter/0000-0002-4417-5633; Spinola, Diogo/0000-0003-3525-9461</t>
  </si>
  <si>
    <t>National Council of Technological and Scientific Development (CNPq), Brazil; Deutsche Forschungsgemeinschaft (DFG) [WA 1554/18, KU 1946/8-1]; Helmholtz Research Program Geosystem-The Changing Earth (GFZ German Research Center for Geosciences, Helmholtz Center Potsdam); NERC [NE/R017050/1] Funding Source: UKRI</t>
  </si>
  <si>
    <t>National Council of Technological and Scientific Development (CNPq), Brazil(Conselho Nacional de Desenvolvimento Cientifico e Tecnologico (CNPQ)); Deutsche Forschungsgemeinschaft (DFG)(German Research Foundation (DFG)); Helmholtz Research Program Geosystem-The Changing Earth (GFZ German Research Center for Geosciences, Helmholtz Center Potsdam); NERC(UK Research &amp; Innovation (UKRI)Natural Environment Research Council (NERC))</t>
  </si>
  <si>
    <t>The present work was possible with the financial support of the National Council of Technological and Scientific Development (CNPq), Brazil. We thank the Brazilian Navy, TERRANTAR led by Prof. Carlos E.G. Schaefer for all logistics and the colleagues (38. Polska Wyprawa Antarktyczna) from the Henryk Arctowski Polish Antarctic Station for additional support to realize the successful fieldwork during the Antarctic expedition in summer of 2013/2014. We thank Heiner Taubald (University of Tubingen) for XRF measurements. We thank Dr. Andreas Braun (Tubingen) for providing Fig3. The 16S rRNA gene amplicon (HiSeq) sequencing was financed through the Helmholtz Research Program Geosystem-The Changing Earth (GFZ German Research Center for Geosciences, Helmholtz Center Potsdam). We thank Dr. Fabian Horn (GFZ German Research Center for Geosciences) for the bioinformatic support. This study was further supported by the Deutsche Forschungsgemeinschaft (DFG) in the framework of the priority program Antarctic Research with Comparative Investigations in Arctic Ice Areas by a Grant to D.W. (WA 1554/18) and P.K. (KU 1946/8-1).</t>
  </si>
  <si>
    <t>10.1038/s41598-021-92205-z</t>
  </si>
  <si>
    <t>TE4QR</t>
  </si>
  <si>
    <t>WOS:000669996400003</t>
  </si>
  <si>
    <t>Kim, J; Lee, AH; Chang, W</t>
  </si>
  <si>
    <t>Kim, Jihun; Lee, Aslan Hwanhwi; Chang, Wonjae</t>
  </si>
  <si>
    <t>Manipulation of Unfrozen Water Retention for Enhancing Petroleum Hydrocarbon Biodegradation in Seasonally Freezing and Frozen Soil</t>
  </si>
  <si>
    <t>petroleum hydrocarbon; biodegradation; cold climate; contaminated frozen soil; unfrozen water; seasonal freezing; soil-freezing characteristic curve</t>
  </si>
  <si>
    <t>CONTAMINATED SOILS; MICROBIAL ACTIVITY; ANTARCTIC SOILS; ARCTIC SOILS; THAW CYCLES; COLD; BIOREMEDIATION; SOLUTE; MINERALIZATION; ENHANCEMENT</t>
  </si>
  <si>
    <t>Manipulating the retention of unfrozen water in freezing contaminated soil to achieve prolonged bioremediation in cold climates remains unformulated. This freezing-induced biodegradation experiment shows how nutrient and zeolite amendments affect unfrozen water retention and hydrocarbon biodegradation in field-aged, petroleum-contaminated soils undergoing seasonal freezing. During soil freezing at a site-specific rate (4 to -10 degrees C and -0.2 degrees C/d), the effect of nutrients was predominant during early freezing (4 to -5 degrees C), alleviating the abrupt soil-freezing stress near the freezing-point depressions, elevating alkB1 gene-harboring populations, and enhancing hydrocarbon biodegradation. Subsequently, the effect of increased unfrozen water retention associated with added zeolite surface areas was critical in extending hydrocarbon biodegradation to the frozen phase (-5 to -10 degrees C). A series of soil-freezing characteristic curves with empirical alpha-values (soil-freezing index) were constructed for the tested soils and shown alongside representative curves for clays to sands, indicating correlations between alpha-values and nutrient concentrations (soil electrical conductivity), zeolite addition (surface area), and hydrocarbon biodegradation. Heavier hydrocarbons (F3: C16-C34) notably biodegraded in all treated soils (22-37% removal), as confirmed by biomarker-based analyses (17 alpha(H),21 beta(H)-hopane), whereas lighter hydrocarbons were not biodegraded. Below 0 degrees C, finer-grained soils (high alpha-values) can be biostimulated more readily than coarser-grained soils (low alpha-values).</t>
  </si>
  <si>
    <t>[Kim, Jihun; Lee, Aslan Hwanhwi; Chang, Wonjae] Univ Saskatchewan, Dept Civil Geol &amp; Environm Engn, Saskatoon, SK S7N 5A9, Canada; [Lee, Aslan Hwanhwi] Honam Natl Inst Biol Resources, Mokpo 58762, South Korea</t>
  </si>
  <si>
    <t>University of Saskatchewan</t>
  </si>
  <si>
    <t>Chang, W (corresponding author), Univ Saskatchewan, Dept Civil Geol &amp; Environm Engn, Saskatoon, SK S7N 5A9, Canada.</t>
  </si>
  <si>
    <t>wonjae.chang@usask.ca</t>
  </si>
  <si>
    <t>Lee, Aslan Hwanhwi/GZN-1815-2022</t>
  </si>
  <si>
    <t>Chang, Wonjae/0000-0003-2573-672X</t>
  </si>
  <si>
    <t>Natural Sciences and Engineering Research Council of Canada [RGPIN 059022014]; Canada Foundation for Innovation [33982]</t>
  </si>
  <si>
    <t>Natural Sciences and Engineering Research Council of Canada(Natural Sciences and Engineering Research Council of Canada (NSERC)CGIAR); Canada Foundation for Innovation(Canada Foundation for InnovationCGIARSpanish Government)</t>
  </si>
  <si>
    <t>This research was funded by the Natural Sciences and Engineering Research Council of Canada (RGPIN 059022014) and the Canada Foundation for Innovation (JELF#33982). We also acknowledge PINTER &amp; Associates for the provision of contaminated soil and Mohammad Beiranvand for his assistance with the petroleum hydrocarbon analyses.</t>
  </si>
  <si>
    <t>10.1021/acs.est.0c07502</t>
  </si>
  <si>
    <t>TH1RL</t>
  </si>
  <si>
    <t>WOS:000671872100070</t>
  </si>
  <si>
    <t>Hörstmann, C; Raes, EJ; Buttigieg, PL; Lo Monaco, C; John, U; Waite, AM</t>
  </si>
  <si>
    <t>Hoerstmann, Cora; Raes, Eric J.; Buttigieg, Pier Luigi; Lo Monaco, Claire; John, Uwe; Waite, Anya M.</t>
  </si>
  <si>
    <t>Hydrographic fronts shape productivity, nitrogen fixation, and microbial community composition in the southern Indian Ocean and the Southern Ocean</t>
  </si>
  <si>
    <t>NATURAL IRON-FERTILIZATION; ANTARCTIC POLAR FRONT; PHYTOPLANKTON BLOOM; KERGUELEN PLATEAU; CLIMATE-CHANGE; CARBON; DATABASE; BIOMASS; WATERS; GROWTH</t>
  </si>
  <si>
    <t>Biogeochemical cycling of carbon (C) and nitrogen (N) in the ocean depends on both the composition and activity of underlying biological communities and on abiotic factors. The Southern Ocean is encircled by a series of strong currents and fronts, providing a barrier to microbial dispersion into adjacent oligotrophic gyres. Our study region straddles the boundary between the nutrient-rich Southern Ocean and the adjacent oligotrophic gyre of the southern Indian Ocean, providing an ideal region to study changes in microbial productivity. Here, we measured the impact of C and N uptake on microbial community diversity, contextualized by hydrographic factors and local physico-chemical conditions across the Southern Ocean and southern Indian Ocean. We observed that contrasting physico-chemical characteristics led to unique microbial diversity patterns, with significant correlations between microbial alpha diversity and primary productivity (PP). However, we detected no link between specific PP (PP normalized by chlorophyll-a concentration) and microbial alpha and beta diversity. Prokaryotic alpha and beta diversity were correlated with biological N-2 fixation, which is itself a prokaryotic process, and we detected measurable N-2 fixation to 60 degrees S. While regional water masses have distinct microbial genetic fingerprints in both the eukaryotic and prokaryotic fractions, PP and N-2 fixation vary more gradually and regionally. This suggests that microbial phylogenetic diversity is more strongly bounded by physical oceanographic features, while microbial activity responds more to chemical factors. We conclude that concomitant assessments of microbial diversity and activity are central to understanding the dynamics and complex responses of microorganisms to a changing ocean environment.</t>
  </si>
  <si>
    <t>[Hoerstmann, Cora; Raes, Eric J.; John, Uwe; Waite, Anya M.] Alfred Wegener Inst Polar &amp; Marine Sci, Bremerhaven, Germany; [Hoerstmann, Cora] Jacobs Univ, Dept Life Sci &amp; Chem, Bremen, Germany; [Raes, Eric J.; Waite, Anya M.] Dalhousie Univ, Ocean Frontier Inst, Halifax, NS, Canada; [Raes, Eric J.; Waite, Anya M.] Dalhousie Univ, Dept Oceanog, Halifax, NS, Canada; [Raes, Eric J.] CSIRO Oceans &amp; Atmosphere, Hobart, Tas, Australia; [Buttigieg, Pier Luigi] GEOMAR, Helmholtz Metadata Collaborat, Kiel, Germany; [Lo Monaco, Claire] Sorbonne Univ, LOCEAN IPSL, Paris, France; [John, Uwe] Helmholtz Inst Funct Marine Biodivers, Oldenburg, Germany</t>
  </si>
  <si>
    <t>Helmholtz Association; Alfred Wegener Institute, Helmholtz Centre for Polar &amp; Marine Research; Jacobs University; Dalhousie University; Dalhousie University; Commonwealth Scientific &amp; Industrial Research Organisation (CSIRO); Helmholtz Association; GEOMAR Helmholtz Center for Ocean Research Kiel; Sorbonne Universite; Museum National d'Histoire Naturelle (MNHN)</t>
  </si>
  <si>
    <t>Hörstmann, C (corresponding author), Alfred Wegener Inst Polar &amp; Marine Sci, Bremerhaven, Germany.;Hörstmann, C (corresponding author), Jacobs Univ, Dept Life Sci &amp; Chem, Bremen, Germany.</t>
  </si>
  <si>
    <t>cora.hoerstmann@awi.de</t>
  </si>
  <si>
    <t>Hoerstmann, Cora/ITT-8555-2023; Waite, Anya M/A-5492-2015; John, Uwe/S-3009-2016</t>
  </si>
  <si>
    <t>Hoerstmann, Cora/0000-0002-0097-2454; Buttigieg, Pier Luigi/0000-0002-4366-3088; John, Uwe/0000-0002-1297-4086</t>
  </si>
  <si>
    <t>JUN 22</t>
  </si>
  <si>
    <t>10.5194/bg-18-3733-2021</t>
  </si>
  <si>
    <t>SX9SC</t>
  </si>
  <si>
    <t>Green Submitted, Green Accepted, gold</t>
  </si>
  <si>
    <t>WOS:000665535800002</t>
  </si>
  <si>
    <t>Kreuzer, M; Reese, R; Huiskamp, WN; Petri, S; Albrecht, T; Feulner, G; Winkelmann, R</t>
  </si>
  <si>
    <t>Kreuzer, Moritz; Reese, Ronja; Huiskamp, Willem Nicholas; Petri, Stefan; Albrecht, Torsten; Feulner, Georg; Winkelmann, Ricarda</t>
  </si>
  <si>
    <t>Coupling framework (1.0) for the PISM (1.1.4) ice sheet model and the MOMS (5.1.0) ocean model via the PICO ice shelf cavity model in an Antarctic domain</t>
  </si>
  <si>
    <t>SURFACE MASS-BALANCE; BASAL MELT RATES; SOUTHERN-OCEAN; SEA-LEVEL; FRESH-WATER; PART 1; CLIMATE; RETREAT; AMUNDSEN; PERFORMANCE</t>
  </si>
  <si>
    <t>The past and future evolution of the Antarctic Ice Sheet is largely controlled by interactions between the ocean and floating ice shelves. To investigate these interactions, coupled ocean and ice sheet model configurations are required. Previous modelling studies have mostly relied on high-resolution configurations, limiting these studies to individual glaciers or regions over short timescales of decades to a few centuries. We present a framework to couple the dynamic ice sheet model PISM (Parallel Ice Sheet Model) with the global ocean general circulation model MOM5 (Modular Ocean Model) via the ice shelf cavity model PICO (Pots-dam Ice-shelf Cavity mOdel). As ice shelf cavities are not resolved by MOM5 but are parameterized with the PICO box model, the framework allows the ice sheet and ocean components to be run at resolutions of 16 km and 3 degrees respectively. This approach makes the coupled configuration a useful tool for the analysis of interactions between the Antarctic Ice Sheet and the global ocean over time spans of the order of centuries to millennia. In this study, we describe the technical implementation of this coupling framework: sub-shelf melting in the ice sheet component is calculated by PICO from modelled ocean temperatures and salinities at the depth of the continental shelf, and, vice versa, the resulting mass and energy fluxes from melting at the ice-ocean interface are transferred to the ocean component. Mass and energy fluxes are shown to be conserved to machine precision across the considered component domains. The implementation is computationally efficient as it introduces only minimal overhead. Furthermore, the coupled model is evaluated in a 4000 year simulation under constant present-day climate forcing and is found to be stable with respect to the ocean and ice sheet spin-up states. The framework deals with heterogeneous spatial grid geometries, varying grid resolutions, and timescales between the ice and ocean component in a generic way; thus, it can be adopted to a wide range of model set-ups.</t>
  </si>
  <si>
    <t>[Kreuzer, Moritz; Reese, Ronja; Huiskamp, Willem Nicholas; Petri, Stefan; Albrecht, Torsten; Feulner, Georg; Winkelmann, Ricarda] Potsdam Inst Climate Impact Res PIK, Earth Syst Anal, D-14412 Potsdam, Germany; [Kreuzer, Moritz; Reese, Ronja; Huiskamp, Willem Nicholas; Petri, Stefan; Albrecht, Torsten; Feulner, Georg; Winkelmann, Ricarda] Leibniz Assoc, D-14412 Potsdam, Germany; [Kreuzer, Moritz; Winkelmann, Ricarda] Univ Potsdam, Inst Phys &amp; Astron, D-14476 Potsdam, Germany</t>
  </si>
  <si>
    <t>Potsdam Institut fur Klimafolgenforschung; University of Potsdam</t>
  </si>
  <si>
    <t>Kreuzer, M; Winkelmann, R (corresponding author), Potsdam Inst Climate Impact Res PIK, Earth Syst Anal, D-14412 Potsdam, Germany.;Kreuzer, M; Winkelmann, R (corresponding author), Leibniz Assoc, D-14412 Potsdam, Germany.;Kreuzer, M; Winkelmann, R (corresponding author), Univ Potsdam, Inst Phys &amp; Astron, D-14476 Potsdam, Germany.</t>
  </si>
  <si>
    <t>kreuzer@pik-potsdam.de; ricarda.winkelmann@pik-potsdam.de</t>
  </si>
  <si>
    <t>Feulner, Georg/A-1933-2011; albrecht, torsten/J-8259-2019</t>
  </si>
  <si>
    <t>Feulner, Georg/0000-0001-9215-5517; albrecht, torsten/0000-0001-7459-2860; Reese, Ronja/0000-0001-7625-040X; Huiskamp, Willem/0000-0001-6615-6348; Kreuzer, Moritz/0000-0002-8622-6638; Petri, Stefan/0000-0002-4379-4643</t>
  </si>
  <si>
    <t>Deutsche Forschungsgemeinschaft (DFG) [WI4556/4-1, WI4556/3-1, WI4556/2-1]; Horizon 2020 programme [TiPACCs 820575]; German Federal Ministry of Education and Research (BMBF, FONA) [FKZ:01LP1502C, FKZ:01LP1925D, FKZ:01LP1504D]; NASA [NNX17AG65G]; NSF [PLR-1603799, PLR-1644277]; European Regional Development Fund (ERDF); German Federal Ministry of Education and Research (BMBF); Land Brandenburg</t>
  </si>
  <si>
    <t>Deutsche Forschungsgemeinschaft (DFG)(German Research Foundation (DFG)); Horizon 2020 programme(Horizon 2020); German Federal Ministry of Education and Research (BMBF, FONA)(Federal Ministry of Education &amp; Research (BMBF)); NASA(National Aeronautics &amp; Space Administration (NASA)); NSF(National Science Foundation (NSF)); European Regional Development Fund (ERDF)(European Union (EU)); German Federal Ministry of Education and Research (BMBF)(Federal Ministry of Education &amp; Research (BMBF)); Land Brandenburg</t>
  </si>
  <si>
    <t>This research has been supported by the Deutsche Forschungsgemeinschaft (DFG; grant nos. WI4556/41, WI4556/3-1, and WI4556/2-1), the Horizon 2020 programme (grant no. TiPACCs 820575), the German Federal Ministry of Education and Research (BMBF, FONA; grant nos. FKZ:01LP1925D, FKZ:01LP1504D, and FKZ:01LP1502C), NASA (grant no. NNX17AG65G), NSF (grant nos. PLR-1603799 and PLR-1644277), the European Regional Development Fund (ERDF), the German Federal Ministry of Education and Research (BMBF), and the Land Brandenburg.</t>
  </si>
  <si>
    <t>10.5194/gmd-14-3697-2021</t>
  </si>
  <si>
    <t>SX9TF</t>
  </si>
  <si>
    <t>WOS:000665538700003</t>
  </si>
  <si>
    <t>Machado, HE; Bergland, AO; Taylor, R; Tilk, S; Behrman, E; Dyer, K; Fabian, DK; Flatt, T; González, J; Karasov, TL; Kim, B; Kozeretska, I; Lazzaro, BP; Merritt, TJS; Pool, JE; O'Brien, K; Rajpurohit, S; Roy, PR; Schaeffer, SW; Serga, S; Schmidt, P; Petrov, DA</t>
  </si>
  <si>
    <t>Machado, Heather E.; Bergland, Alan O.; Taylor, Ryan; Tilk, Susanne; Behrman, Emily; Dyer, Kelly; Fabian, Daniel K.; Flatt, Thomas; Gonzalez, Josefa; Karasov, Talia L.; Kim, Bernard; Kozeretska, Iryna; Lazzaro, Brian P.; Merritt, Thomas J. S.; Pool, John E.; O'Brien, Katherine; Rajpurohit, Subhash; Roy, Paula R.; Schaeffer, Stephen W.; Serga, Svitlana; Schmidt, Paul; Petrov, Dmitri A.</t>
  </si>
  <si>
    <t>Broad geographic sampling reveals the shared basis and environmental correlates of seasonal adaptation in Drosophila</t>
  </si>
  <si>
    <t>ELIFE</t>
  </si>
  <si>
    <t>GENETIC-VARIATION; PHENOTYPIC PLASTICITY; MELANOGASTER POPULATIONS; FLUCTUATING SELECTION; HETEROGENEOUS ENVIRONMENT; WILD POPULATIONS; GENOMIC ANALYSIS; RAPID EVOLUTION; POLYMORPHISM; DIVERGENCE</t>
  </si>
  <si>
    <t>To advance our understanding of adaptation to temporally varying selection pressures, we identified signatures of seasonal adaptation occurring in parallel among Drosophila melanogaster populations. Specifically, we estimated allele frequencies genome-wide from flies sampled early and late in the growing season from 20 widely dispersed populations. We identified parallel seasonal allele frequency shifts across North America and Europe, demonstrating that seasonal adaptation is a general phenomenon of temperate fly populations. Seasonally fluctuating polymorphisms are enriched in large chromosomal inversions, and we find a broad concordance between seasonal and spatial allele frequency change. The direction of allele frequency change at seasonally variable polymorphisms can be predicted by weather conditions in the weeks prior to sampling, linking the environment and the genomic response to selection. Our results suggest that fluctuating selection is an important evolutionary force affecting patterns of genetic variation in Drosophila.</t>
  </si>
  <si>
    <t>[Machado, Heather E.; Bergland, Alan O.; Taylor, Ryan; Tilk, Susanne; Kim, Bernard; Petrov, Dmitri A.] Stanford Univ, Dept Biol, Stanford, CA 94305 USA; [Machado, Heather E.] Wellcome Sanger Inst, Hinxton, England; [Bergland, Alan O.] Univ Virginia, Dept Biol, Charlottesville, VA 22903 USA; [Behrman, Emily; O'Brien, Katherine; Rajpurohit, Subhash; Schmidt, Paul] Univ Penn, Dept Biol, Philadelphia, PA 19104 USA; [Dyer, Kelly] Univ Georgia, Dept Genet, Athens, GA 30602 USA; [Fabian, Daniel K.; Flatt, Thomas] Vetmeduni Vienna, Inst Populat Genet, Vienna, Austria; [Fabian, Daniel K.] Univ Cambridge, Ctr Pathogen Evolut, Dept Zool, Cambridge, England; [Flatt, Thomas] Univ Fribourg, Dept Biol, Fribourg, Switzerland; [Gonzalez, Josefa] Univ Pompeu Fabra, CSIC, Inst Evolutionary Biol, Barcelona, Spain; [Karasov, Talia L.] Univ Utah, Dept Biol, Salt Lake City, UT 84112 USA; [Kozeretska, Iryna; Serga, Svitlana] Taras Shevchenko Natl Univ Kyiv, Kiev, Ukraine; [Kozeretska, Iryna; Serga, Svitlana] Natl Antarctic Sci Ctr Ukraine, Taras Shevchenko Blvd, Kiev, Ukraine; [Lazzaro, Brian P.] Cornell Univ, Dept Entomol, Ithaca, NY 14853 USA; [Merritt, Thomas J. S.] Laurentian Univ, Dept Chem &amp; Biochem, Sudbury, ON, Canada; [Pool, John E.] Univ Wisconsin, Lab Genet, Madison, WI 53706 USA; [Roy, Paula R.] Univ Kansas, Dept Ecol &amp; Evolutionary Biol, Lawrence, KS 66045 USA; [Schaeffer, Stephen W.] Penn State Univ, Dept Biol, University Pk, PA 16802 USA</t>
  </si>
  <si>
    <t>Stanford University; Wellcome Trust Sanger Institute; University of Virginia; University of Pennsylvania; University System of Georgia; University of Georgia; University of Veterinary Medicine Vienna; University of Cambridge; University of Fribourg; Pompeu Fabra University; Consejo Superior de Investigaciones Cientificas (CSIC); Utah System of Higher Education; University of Utah; Ministry of Education &amp; Science of Ukraine; Taras Shevchenko National University of Kyiv; Ministry of Education &amp; Science of Ukraine; State Institution National Antarctic Scientific Center; Cornell University; Laurentian University; University of Wisconsin System; University of Wisconsin Madison; University of Kansas; Pennsylvania Commonwealth System of Higher Education (PCSHE); Pennsylvania State University; Pennsylvania State University - University Park</t>
  </si>
  <si>
    <t>Machado, HE; Bergland, AO; Petrov, DA (corresponding author), Stanford Univ, Dept Biol, Stanford, CA 94305 USA.;Machado, HE (corresponding author), Wellcome Sanger Inst, Hinxton, England.;Bergland, AO (corresponding author), Univ Virginia, Dept Biol, Charlottesville, VA 22903 USA.;Schmidt, P (corresponding author), Univ Penn, Dept Biol, Philadelphia, PA 19104 USA.</t>
  </si>
  <si>
    <t>heather.machado@sanger.ac.uk; aob2x@virginia.edu; schmidtp@upenn.edu; dpetrov@stanford.edu</t>
  </si>
  <si>
    <t>Kozeretska, Iryna A/F-1383-2010; Schaeffer, Stephen/AAA-2303-2021</t>
  </si>
  <si>
    <t>Schaeffer, Stephen/0000-0003-2070-5342; Tilk, Susanne/0000-0002-9156-9360; Schmidt, Paul/0000-0002-8076-6705; Karasov, Talia/0000-0002-3592-6597; Pool, John/0000-0003-2968-9545; Behrman, Emily/0000-0002-2472-9635; Flatt, Thomas/0000-0002-5990-1503; Taylor, Ryan/0000-0002-9003-6378</t>
  </si>
  <si>
    <t>National Evolutionary Synthesis Center (NESCent)</t>
  </si>
  <si>
    <t>National Evolutionary Synthesis Center (NESCent)(National Science Foundation (NSF)NSF - Directorate for Biological Sciences (BIO))</t>
  </si>
  <si>
    <t>We thank the National Evolutionary Synthesis Center (NESCent) for sponsoring the 2012 Catalysis meeting that initiated the Drosophila Real Time Evolution Consortium. The meeting was attended by Alan Bergland, Alisa Sedghifar, Brian Helmuth, Brian Lazzarro, Chau-Ti Ting, David Kidd, Dmitri Petrov, Fabian Staubach, Hannah Burrack, Jim Fry, John Lessard, John Coulbourne, John Pool, Josefa Gonzalez, Julien Ayroles, Kelly Dyer, Kim Hughes, Maaria Kankare, Nadia Singh, Paul Schmidt, Regan Early, Stephen Porder, Subhash Rajpurohit, Sui Fai Lee, and Thomas Flatt, and we kindly thank all participants for their participation. We also thank Jamie Blundell and all members of the Schmidt and Petrov labs who provided exceptionally valuable feedback.</t>
  </si>
  <si>
    <t>ELIFE SCIENCES PUBLICATIONS LTD</t>
  </si>
  <si>
    <t>SHERATON HOUSE, CASTLE PARK, CAMBRIDGE, CB3 0AX, ENGLAND</t>
  </si>
  <si>
    <t>2050-084X</t>
  </si>
  <si>
    <t>eLife</t>
  </si>
  <si>
    <t>e67577</t>
  </si>
  <si>
    <t>10.7554/eLife.67577</t>
  </si>
  <si>
    <t>TF1LE</t>
  </si>
  <si>
    <t>WOS:000670473900001</t>
  </si>
  <si>
    <t>Dara, M; Giulianini, PG; Manfrin, C; Parisi, MG; Parrinello, D; La Corte, C; Vasta, GR; Cammarata, M</t>
  </si>
  <si>
    <t>Dara, Mariano; Giulianini, Piero Giulio; Manfrin, Chiara; Parisi, Maria Giovanna; Parrinello, Daniela; La Corte, Claudia; Vasta, Gerardo R.; Cammarata, Matteo</t>
  </si>
  <si>
    <t>F-type lectin from serum of the Antarctic teleost fish Trematomus bernacchii (Boulenger, 1902): Purification, structural characterization, and bacterial agglutinating activity</t>
  </si>
  <si>
    <t>COMPARATIVE BIOCHEMISTRY AND PHYSIOLOGY B-BIOCHEMISTRY &amp; MOLECULAR BIOLOGY</t>
  </si>
  <si>
    <t>Lectins; F-type lectin; Antarctic fish; Trematomus bemacchii; Bacterial agglutination</t>
  </si>
  <si>
    <t>FUNCTIONAL DIVERSITY; FUCOSE; INNATE; HEAD; IMMUNOGLOBULINS; PROTEINS</t>
  </si>
  <si>
    <t>The increasing availability of sequenced genomes has enabled a deeper understanding of the complexity of fish lectin repertoires involved in early development and immune recognition. The teleost fucose-type lectin (FTL) family includes proteins that preferentially bind fucose and display tandemly arrayed carbohydrate-recognition domains (CRDs) or are found in mosaic combinations with other domains. They function as opsonins, promoting phagocytosis and the clearance of microbial pathogens. The Antarctic fish Trematomus bernacchii is a Perciforme living at extremely low temperatures (-1.68 degrees C) which is considered a model for studying adaptability to the variability of environmental waters. Here, we isolated a Ca++-independent fucose-binding protein from the serum of T. bernacchii by affinity chromatography with apparent molecular weights of 32 and 30 kDa under reducing and non-reducing conditions, respectively. We have characterized its carbohydrate binding properties, thermal stability and potential ability to recognize bacterial pathogens. In western blot analysis, the protein showed intense cross-reactivity with antibodies specific for a sea bass (Dicentrarchus labrax) fucose-binding lectin. In addition, its molecular and structural aspects, showing that it contains two CRD-FTLs confirmed that T. bernacchii FTL (TbFTL) is a bona fide member of the FTL family, with binding activity at low temperatures and the ability to agglutinate bacteria, thereby suggesting it participates in host-pathogen interactions in low temperature environments.</t>
  </si>
  <si>
    <t>[Dara, Mariano; Parisi, Maria Giovanna; Parrinello, Daniela; La Corte, Claudia; Cammarata, Matteo] Univ Palermo, Dept Earth &amp; Marine Sci, Marine Irumunobiol Lab, Palermo, Italy; [Giulianini, Piero Giulio; Manfrin, Chiara] Univ Trieste, Dept Life Sci, Bldg Q Room 306, Trieste, Italy; [Vasta, Gerardo R.] Univ Maryland, Dept Microbiol &amp; Immunol, Sch Med, UMB,IMET, Suite 236,701 East Pratt St, Baltimore, MD 21202 USA</t>
  </si>
  <si>
    <t>University of Palermo; University of Trieste; University System of Maryland; University of Maryland Baltimore</t>
  </si>
  <si>
    <t>Parisi, MG; Cammarata, M (corresponding author), Univ Palermo, Dept Earth &amp; Marine Sci, Marine Irumunobiol Lab, Palermo, Italy.</t>
  </si>
  <si>
    <t>mariano.dara@unipa.it; giuliani@units.it; cmanfrin@units.it; mariagiovanna.parisi@unipa.it; daniela.parrinello@unipa.it; claudia.laCorte@unipa.it; gvasta@som.umarylannd.edu; matteo.cammarata@unipa.it</t>
  </si>
  <si>
    <t>parisi, maria giovanna/ABW-1289-2022</t>
  </si>
  <si>
    <t>parisi, maria giovanna/0000-0001-5462-0596; CAMMARATA, Matteo/0000-0002-5497-1246; Dara, Mariano/0000-0002-1122-6131; La Corte, Claudia/0000-0002-5816-2657</t>
  </si>
  <si>
    <t>University of Palermo, Italy [PJ_RIC_FFABR_2017_004312 MC, PJ_RIC_F-FABR_2017_161753 MGP]</t>
  </si>
  <si>
    <t>University of Palermo, Italy</t>
  </si>
  <si>
    <t>We would like to thank Dr. Umberto Oreste for his critical reading and helpful suggestions. This study was funded by the FFR-Cammarata (PJ_RIC_FFABR_2017_004312 MC) and FFR-Parisi (PJ_RIC_F-FABR_2017_161753 MGP) for Scientific Research from the University of Palermo, Italy.</t>
  </si>
  <si>
    <t>1096-4959</t>
  </si>
  <si>
    <t>1879-1107</t>
  </si>
  <si>
    <t>COMP BIOCHEM PHYS B</t>
  </si>
  <si>
    <t>Comp. Biochem. Physiol. B-Biochem. Mol. Biol.</t>
  </si>
  <si>
    <t>OCT-DEC</t>
  </si>
  <si>
    <t>10.1016/j.cbpb.2021.110633</t>
  </si>
  <si>
    <t>Biochemistry &amp; Molecular Biology; Zoology</t>
  </si>
  <si>
    <t>UA0JS</t>
  </si>
  <si>
    <t>WOS:000684852500016</t>
  </si>
  <si>
    <t>Chen, BW; Shi, S; Chen, BW; Xu, Q; Gong, W; Li, F</t>
  </si>
  <si>
    <t>Chen, Bowen; Shi, Shuo; Chen, Biwu; Xu, Qian; Gong, Wei; Li, Fei</t>
  </si>
  <si>
    <t>True color 3D imaging optimization with missing spectral bands based on hyperspectral LiDAR</t>
  </si>
  <si>
    <t>CLASSIFICATION; CALIBRATION</t>
  </si>
  <si>
    <t>True color 3D imaging plays an essential role in expressing target characteristics and 3D scene reconstruction. It can express the colors, and spatial position of targets and is beneficial for classification and identification to investigate the target material. As a special case of target imaging, true color 3D imaging is important in understanding and reconstructing real scenes. The fusion of 3D point clouds with RGB images can achieve object reconstructions, yet varying illumination conditions and registration problems still exist. As a new active imaging technique, hyperspectral LiDAR (HSL) system, can avoid these problems through hardware configuration, and provide technical support for reconstructing 3D scenes. The spectral range of the HSL system is 431-751nm. However, spectral information obtained with HSL measurements may be influenced by various factors, that further impinge on the true color 3D imaging. This study aims to propose a new color reconstruction method to improve color reconstruction challenges with missing spectral bands. Two indoor experiments and five color reconstruction schemes were utilized to evaluate the feasibility and repeatability of the method. Compared with the traditional method of color reconstruction, color reconstruction effect and color similarity were considerably improved. The similarity of color components was improved from 0.324 to 0.762. Imaging results demonstrated the reliability of improving color reconstruction effect with missing spectral bands through the new method, thereby expanded the application scopes of HSL measurements. (C) 2021 Optical Society of America under the terms of the OSA Open Access Publishing Agreement</t>
  </si>
  <si>
    <t>[Chen, Bowen; Li, Fei] Wuhan Univ, Chinese Antarctic Ctr Surveying &amp; Mapping, Wuhan 430079, Hubei, Peoples R China; [Shi, Shuo; Chen, Biwu; Gong, Wei; Li, Fei] Wuhan Univ, State Key Lab Informat Engn Surveying Mapping &amp; R, Wuhan 430079, Hubei, Peoples R China; [Xu, Qian] China Univ Geosci, Sch Geog &amp; Informat Engn, Wuhan 430074, Hubei, Peoples R China</t>
  </si>
  <si>
    <t>Wuhan University; Wuhan University; China University of Geosciences</t>
  </si>
  <si>
    <t>Shi, S (corresponding author), Wuhan Univ, State Key Lab Informat Engn Surveying Mapping &amp; R, Wuhan 430079, Hubei, Peoples R China.</t>
  </si>
  <si>
    <t>shishuo@whu.edu.cn</t>
  </si>
  <si>
    <t>National Key Research and Development Program of China [2018YFB0504500]; National Natural Science Foundation of China [41971307]; China Postdoctoral Science Foundation [2017T100582]; Natural Science Foundation of Hubei Province [2019CFB532]; LIESMARS Special Funding</t>
  </si>
  <si>
    <t>National Key Research and Development Program of China; National Natural Science Foundation of China(National Natural Science Foundation of China (NSFC)); China Postdoctoral Science Foundation(China Postdoctoral Science Foundation); Natural Science Foundation of Hubei Province(Natural Science Foundation of Hubei Province); LIESMARS Special Funding</t>
  </si>
  <si>
    <t>National Key Research and Development Program of China (2018YFB0504500); National Natural Science Foundation of China (41971307); China Postdoctoral Science Foundation (2017T100582); Natural Science Foundation of Hubei Province (2019CFB532); LIESMARS Special Funding.</t>
  </si>
  <si>
    <t>JUN 21</t>
  </si>
  <si>
    <t>10.1364/OE.426055</t>
  </si>
  <si>
    <t>SV7VD</t>
  </si>
  <si>
    <t>WOS:000664025900096</t>
  </si>
  <si>
    <t>Kellman, SG</t>
  </si>
  <si>
    <t>Kellman, Steven G.</t>
  </si>
  <si>
    <t>Translingual delirium: Aleksandra Lun's Los palimpsestos</t>
  </si>
  <si>
    <t>ORBIS LITTERARUM</t>
  </si>
  <si>
    <t>language; novel; palimpsest; Polish; Spanish; translingual</t>
  </si>
  <si>
    <t>Though literary translingualism-the phenomenon of writing in an adopted language-has a long history, it is only within the past three decades that it has received focused scholarly attention. Translingual writers have begun to see themselves as part of a tradition. More than isolinguals, they tend to be acutely and explicitly conscious of language as not only their medium but also their matter. Los palimpsestos, a comic novel by Aleksandra Lun, a native Polish speaker who writes in Spanish but lives in Belgium, interrogates the translingual tradition. Narrated in Spanish by a Pole confined to a psychiatric ward in Liege, where he undergoes la terapia bartlebiana (Bartlebyan therapy) designed to cure him of exophony, it is a screwball account of his unhappy career writing novels in the fictional language Antarctic. With cameo appearances by Samuel Beckett, Karen Blixen, E. M. Cioran, Joseph Conrad, Jerzy Kosinski, agota Kristof, and Vladimir Nabokov, the novel situates its protagonist within the community of modern literary language-switchers. It interrogates their varied motivations, their relations with their readers, and the complicated connections among language, nationality, and identity. It extends the tradition of literary translingualism by constituting metacommentary on a phenomenon that is already self-conscious about language.</t>
  </si>
  <si>
    <t>[Kellman, Steven G.] Univ Texas San Antonio, Comparat Literature, San Antonio, TX USA</t>
  </si>
  <si>
    <t>University of Texas System; University of Texas at San Antonio (UTSA)</t>
  </si>
  <si>
    <t>Kellman, SG (corresponding author), Univ Texas San Antonio, San Antonio, TX 78249 USA.</t>
  </si>
  <si>
    <t>Steven.Kellman@utsa.edu</t>
  </si>
  <si>
    <t>Kellman, Steven G./0000-0002-4707-1258</t>
  </si>
  <si>
    <t>0105-7510</t>
  </si>
  <si>
    <t>1600-0730</t>
  </si>
  <si>
    <t>ORBIS LIT</t>
  </si>
  <si>
    <t>Orb. Litt.</t>
  </si>
  <si>
    <t>10.1111/oli.12298</t>
  </si>
  <si>
    <t>Literature</t>
  </si>
  <si>
    <t>Arts &amp; Humanities Citation Index (A&amp;HCI)</t>
  </si>
  <si>
    <t>ZN4SA</t>
  </si>
  <si>
    <t>WOS:000664543400001</t>
  </si>
  <si>
    <t>Yanik, LK; Karaoguz, HE</t>
  </si>
  <si>
    <t>Yanik, Lerna K.; Karaoguz, H. Emrah</t>
  </si>
  <si>
    <t>Science and flags: deconstructing Turkey's Antarctic strategy</t>
  </si>
  <si>
    <t>THIRD WORLD QUARTERLY</t>
  </si>
  <si>
    <t>Antarctic nationalism; gender in the Antarctic; Turkey and Antarctica; banal nationalism; assemblage nationalism; international status</t>
  </si>
  <si>
    <t>BANAL NATIONALISM</t>
  </si>
  <si>
    <t>This article explores Turkey's recent increased interest in the Antarctic by deconstructing how this interest contributes to the making of Antarctic nationalism(s). It makes two arguments. First, Turkey's status-seeking by being present in the Antarctic contributes to Antarctic nationalism(s) by invoking three distinct yet overlapping strands of nationalisms - banal, pragmatic-techno and Kemalist nationalisms, or what we term assemblage nationalism. Second, we argue that it was this nationalist trope that became the mutual language between Turkey's ruling elite and scientists, and one of the factors that prompted a change of strategy in Turkey's Antarctic policy. Turkey's status-seeking combined with this nationalist trope, which highlighted compatibility with the former's broader discourse on technological upgrading and economic development, helped the Turkish ruling elite and scientists frame and make sense of the country's presence in Antarctica. We conclude that when status-seeking involves collaboration with foreigners, a 'more benign' form of nationalism becomes possible.</t>
  </si>
  <si>
    <t>[Yanik, Lerna K.] Kadir Has Univ, Dept Polit Sci &amp; Publ Adm, Istanbul, Turkey; [Karaoguz, H. Emrah] Kadir Has Univ, Dept Int Relat, Istanbul, Turkey</t>
  </si>
  <si>
    <t>Kadir Has University; Kadir Has University</t>
  </si>
  <si>
    <t>Yanik, LK (corresponding author), Kadir Has Univ, Dept Polit Sci &amp; Publ Adm, Istanbul, Turkey.</t>
  </si>
  <si>
    <t>lerna.yanik@khas.edu.tr</t>
  </si>
  <si>
    <t>Yanik, Lerna K/E-2866-2019; Karaoğuz, Hüseyin Emrah/S-7126-2019</t>
  </si>
  <si>
    <t>Yanik, Lerna K/0000-0002-5234-2067; Karaoğuz, Hüseyin Emrah/0000-0003-4525-2626</t>
  </si>
  <si>
    <t>ROUTLEDGE JOURNALS, TAYLOR &amp; FRANCIS LTD</t>
  </si>
  <si>
    <t>2-4 PARK SQUARE, MILTON PARK, ABINGDON OX14 4RN, OXON, ENGLAND</t>
  </si>
  <si>
    <t>0143-6597</t>
  </si>
  <si>
    <t>1360-2241</t>
  </si>
  <si>
    <t>THIRD WORLD Q</t>
  </si>
  <si>
    <t>Third World Q.</t>
  </si>
  <si>
    <t>JUL 22</t>
  </si>
  <si>
    <t>10.1080/01436597.2021.1941847</t>
  </si>
  <si>
    <t>Development Studies</t>
  </si>
  <si>
    <t>TS3HI</t>
  </si>
  <si>
    <t>WOS:000669130300001</t>
  </si>
  <si>
    <t>Wunder, LC; Aromokeye, DA; Yin, XR; Richter-Heitmann, T; Willis-Poratti, G; Schnakenberg, A; Otersen, C; Dohrmann, I; Römer, M; Bohrmann, G; Kasten, S; Friedrich, MW</t>
  </si>
  <si>
    <t>Wunder, Lea C.; Aromokeye, David A.; Yin, Xiuran; Richter-Heitmann, Tim; Willis-Poratti, Graciana; Schnakenberg, Annika; Otersen, Carolin; Dohrmann, Ingrid; Roemer, Miriam; Bohrmann, Gerhard; Kasten, Sabine; Friedrich, Michael W.</t>
  </si>
  <si>
    <t>Iron and sulfate reduction structure microbial communities in (sub-)Antarctic sediments</t>
  </si>
  <si>
    <t>RICE PADDY SOIL; POTENTIALLY BIOAVAILABLE IRON; COASTAL MARINE SEDIMENT; ANOXIC FRESH-WATER; SP-NOV.; GEN. NOV.; ORGANIC-MATTER; REDUCING BACTERIUM; SOUTH-GEORGIA; SULFUR CYCLE</t>
  </si>
  <si>
    <t>Permanently cold marine sediments are heavily influenced by increased input of iron as a result of accelerated glacial melt, weathering, and erosion. The impact of such environmental changes on microbial communities in coastal sediments is poorly understood. We investigated geochemical parameters that shape microbial community compositions in anoxic surface sediments of four geochemically differing sites (Annenkov Trough, Church Trough, Cumberland Bay, Drygalski Trough) around South Georgia, Southern Ocean. Sulfate reduction prevails in Church Trough and iron reduction at the other sites, correlating with differing local microbial communities. Within the order Desulfuromonadales, the family Sva1033, not previously recognized for being capable of dissimilatory iron reduction, was detected at rather high relative abundances (up to 5%) while other members of Desulfuromonadales were less abundant (&lt;0.6%). We propose that Sva1033 is capable of performing dissimilatory iron reduction in sediment incubations based on RNA stable isotope probing. Sulfate reducers, who maintain a high relative abundance of up to 30% of bacterial 16S rRNA genes at the iron reduction sites, were also active during iron reduction in the incubations. Thus, concurrent sulfate reduction is possibly masked by cryptic sulfur cycling, i.e., reoxidation or precipitation of produced sulfide at a small or undetectable pool size. Our results show the importance of iron and sulfate reduction, indicated by ferrous iron and sulfide, as processes that shape microbial communities and provide evidence for one of Sva1033's metabolic capabilities in permanently cold marine sediments.</t>
  </si>
  <si>
    <t>[Wunder, Lea C.; Aromokeye, David A.; Yin, Xiuran; Richter-Heitmann, Tim; Willis-Poratti, Graciana; Schnakenberg, Annika; Otersen, Carolin; Friedrich, Michael W.] Univ Bremen, Microbial Ecophysiol Grp, Fac Biol Chem, Bremen, Germany; [Wunder, Lea C.; Schnakenberg, Annika] Max Planck Inst Marine Microbiol, Bremen, Germany; [Aromokeye, David A.; Yin, Xiuran; Roemer, Miriam; Bohrmann, Gerhard; Kasten, Sabine; Friedrich, Michael W.] Univ Bremen, MARUM Ctr Marine Environm Sci, Bremen, Germany; [Willis-Poratti, Graciana] Inst Antartico Argentino, Buenos Aires, DF, Argentina; [Willis-Poratti, Graciana] Univ Nacl La Plata, Fac Ciencias Exactas, Buenos Aires, DF, Argentina; [Dohrmann, Ingrid] Helmholtz Ctr Polar &amp; Marine Res, Alfred Wegener Inst, Bremerhaven, Germany; [Roemer, Miriam; Bohrmann, Gerhard; Kasten, Sabine] Univ Bremen, Fac Geosci, Bremen, Germany</t>
  </si>
  <si>
    <t>University of Bremen; Max Planck Society; University of Bremen; Instituto Antartico Argentino; National University of La Plata; Helmholtz Association; Alfred Wegener Institute, Helmholtz Centre for Polar &amp; Marine Research; University of Bremen</t>
  </si>
  <si>
    <t>Aromokeye, DA; Friedrich, MW (corresponding author), Univ Bremen, Microbial Ecophysiol Grp, Fac Biol Chem, Bremen, Germany.;Aromokeye, DA; Friedrich, MW (corresponding author), Univ Bremen, MARUM Ctr Marine Environm Sci, Bremen, Germany.</t>
  </si>
  <si>
    <t>david.aromokeye@uni-bremen.de; michael.friedrich@uni-bremen.de</t>
  </si>
  <si>
    <t>Poratti, Graciana Willis/AAJ-1662-2020; Friedrich, Michael W./B-3151-2013; Richter-Heitmann, Tim/AAO-9411-2020; Bohrmann, Gerhard/D-4474-2017</t>
  </si>
  <si>
    <t>Poratti, Graciana Willis/0000-0002-1397-9778; Friedrich, Michael W./0000-0002-8055-3232; Richter-Heitmann, Tim/0000-0002-2791-7252; Yin, Xiuran/0000-0001-9234-6276; Wunder, Lea/0000-0001-8018-9867; Schnakenberg, Annika/0000-0003-0838-446X; Aromokeye, David Adeyemi/0000-0003-4166-8085; Bohrmann, Gerhard/0000-0001-9976-4948</t>
  </si>
  <si>
    <t>Deutsche Forschungsgemeinschaft (DFG) Research Center/Cluster of Excellence EXC 309 [49926684, 404648014]; University of Bremen; MARUM - Center for Marine Environmental Sciences, Research Faculty University of Bremen; Helmholtz Association (Alfred Wegener Institute Helmholtz Centre for Polar and Marine Research, Bremerhaven); German Research Foundation (DFG); Federal Ministry of Education and Research (BMBF); Projekt DEAL</t>
  </si>
  <si>
    <t>Deutsche Forschungsgemeinschaft (DFG) Research Center/Cluster of Excellence EXC 309(German Research Foundation (DFG)); University of Bremen; MARUM - Center for Marine Environmental Sciences, Research Faculty University of Bremen; Helmholtz Association (Alfred Wegener Institute Helmholtz Centre for Polar and Marine Research, Bremerhaven); German Research Foundation (DFG)(German Research Foundation (DFG)); Federal Ministry of Education and Research (BMBF)(Federal Ministry of Education &amp; Research (BMBF)); Projekt DEAL</t>
  </si>
  <si>
    <t>This project was funded by the Deutsche Forschungsgemeinschaft (DFG) Research Center/Cluster of Excellence EXC 309 (project-ID 49926684) The Ocean in the Earth System, and within the DFG infrastructure priority program 1158 Antarctic Research with Comparative Investigations in Arctic Ice Areas (project-ID 404648014), and the University of Bremen. The expedition under the title Emissions of free gas around South Georgia: distribution, quantification, and sources for methane ebullition sites in sub-Antarctic waters was carried out with the support of MARUM -Center for Marine Environmental Sciences, Research Faculty University of Bremen. We also acknowledge additional funding from the Helmholtz Association (Alfred Wegener Institute Helmholtz Centre for Polar and Marine Research, Bremerhaven). The cruise was sponsored by the German Research Foundation (DFG) and by the Federal Ministry of Education and Research (BMBF). Open Access funding enabled and organized by Projekt DEAL.</t>
  </si>
  <si>
    <t>10.1038/s41396-021-01014-9</t>
  </si>
  <si>
    <t>XE9EZ</t>
  </si>
  <si>
    <t>WOS:000664556700004</t>
  </si>
  <si>
    <t>Biggs, TEG; Huisman, J; Brussaard, CPD</t>
  </si>
  <si>
    <t>Biggs, Tristan E. G.; Huisman, Jef; Brussaard, Corina P. D.</t>
  </si>
  <si>
    <t>Viral lysis modifies seasonal phytoplankton dynamics and carbon flow in the Southern Ocean</t>
  </si>
  <si>
    <t>ZOOPLANKTON FECAL PELLETS; NORTHERN MARGUERITE BAY; POPULATION-DYNAMICS; ANTARCTIC PENINSULA; PHAEOCYSTIS-GLOBOSA; MICROMONAS-PUSILLA; INDUCED MORTALITY; FOOD-WEB; SEA-ICE; INTERANNUAL VARIABILITY</t>
  </si>
  <si>
    <t>Phytoplankton form the base of marine food webs and are a primary means for carbon export in the Southern Ocean, a key area for global pCO(2) drawdown. Viral lysis and grazing have very different effects on microbial community dynamics and carbon export, yet, very little is known about the relative magnitude and ecological impact of viral lysis on natural phytoplankton communities, especially in Antarctic waters. Here, we report on the temporal dynamics and relative importance of viral lysis rates, in comparison to grazing, for Antarctic nano- and pico-sized phytoplankton of varied taxonomy and size over a full productive season. Our results show that viral lysis was a major loss factor throughout the season, responsible for roughly half (58%) of seasonal phytoplankton carbon losses. Viral lysis appeared critically important for explaining temporal dynamics and for obtaining a complete seasonal mass balance of Antarctic phytoplankton. Group-specific responses indicated a negative correlation between grazing and viral losses in Phaeocystis and picoeukaryotes, while for other phytoplankton groups losses were more evenly spread throughout the season. Cryptophyte mortality was dominated by viral lysis, whereas small diatoms were mostly grazed. Larger diatoms dominated algal carbon flow and a single 'lysis event' directed &gt;100% of daily carbon production away from higher trophic levels. This study highlights the need to consider viral lysis of key Antarctic phytoplankton for a better understanding of microbial community interactions and more accurate predictions of organic matter flux in this climate-sensitive region.</t>
  </si>
  <si>
    <t>[Biggs, Tristan E. G.; Brussaard, Corina P. D.] NIOZ Royal Netherlands Inst Sea Res, Dept Marine Microbiol &amp; Biogeochem, Texel, Netherlands; [Biggs, Tristan E. G.; Huisman, Jef; Brussaard, Corina P. D.] Univ Amsterdam, Inst Biodivers &amp; Ecosyst Dynam IBED, Dept Freshwater &amp; Marine Ecol, Amsterdam, Netherlands</t>
  </si>
  <si>
    <t>Utrecht University; Royal Netherlands Institute for Sea Research (NIOZ); University of Amsterdam</t>
  </si>
  <si>
    <t>Brussaard, CPD (corresponding author), NIOZ Royal Netherlands Inst Sea Res, Dept Marine Microbiol &amp; Biogeochem, Texel, Netherlands.;Biggs, TEG; Brussaard, CPD (corresponding author), Univ Amsterdam, Inst Biodivers &amp; Ecosyst Dynam IBED, Dept Freshwater &amp; Marine Ecol, Amsterdam, Netherlands.</t>
  </si>
  <si>
    <t>tristan.biggs@nioz.nl; corina.brussaard@nioz.nl</t>
  </si>
  <si>
    <t>Huisman, Jef/A-1089-2013</t>
  </si>
  <si>
    <t>Huisman, Jef/0000-0001-9598-3211</t>
  </si>
  <si>
    <t>Netherlands Polar Programme [866.10.102]; Dutch Research Council (NWO)</t>
  </si>
  <si>
    <t>Netherlands Polar Programme; Dutch Research Council (NWO)(Netherlands Organization for Scientific Research (NWO))</t>
  </si>
  <si>
    <t>We thank the British Antarctic Survey for their logistical support and cooperation during the field campaign as well as Zoi Farenzena for field assistance. We thank the anonymous reviewers for their constructive comments on the paper. This work was part of the ANTPHIRCO project (grant 866.10.102 awarded to CPDB) which was supported by the Netherlands Polar Programme and with financial aid from the Dutch Research Council (NWO).</t>
  </si>
  <si>
    <t>10.1038/s41396-021-01033-6</t>
  </si>
  <si>
    <t>WOS:000664556700003</t>
  </si>
  <si>
    <t>van Putten, I; Kelly, R; Cavanagh, RD; Murphy, EJ; Breckwoldt, A; Brodie, S; Cvitanovic, C; Dickey-Collas, M; Maddison, L; Melbourne-Thomas, J; Arrizabalaga, H; Azetsu-Scott, K; Beckley, LE; Bellerby, R; Constable, AJ; Cowie, G; Evans, K; Glaser, M; Hall, J; Hobday, AJ; Johnston, NM; Llopiz, JK; Mueter, F; Muller-Karger, FE; Weng, KC; Wolf-Gladrow, D; Xavier, JC</t>
  </si>
  <si>
    <t>van Putten, Ingrid; Kelly, Rachel; Cavanagh, Rachel D.; Murphy, Eugene J.; Breckwoldt, Annette; Brodie, Stephanie; Cvitanovic, Christopher; Dickey-Collas, Mark; Maddison, Lisa; Melbourne-Thomas, Jess; Arrizabalaga, Haritz; Azetsu-Scott, Kumiko; Beckley, Lynnath E.; Bellerby, Richard; Constable, Andrew J.; Cowie, Greg; Evans, Karen; Glaser, Marion; Hall, Julie; Hobday, Alistair J.; Johnston, Nadine M.; Llopiz, Joel K.; Mueter, Franz; Muller-Karger, Frank E.; Weng, Kevin C.; Wolf-Gladrow, Dieter; Xavier, Jose C.</t>
  </si>
  <si>
    <t>A Decade of Incorporating Social Sciences in the Integrated Marine Biosphere Research Project (IMBeR) Much Done, Much to Do?</t>
  </si>
  <si>
    <t>marine science; research networks; disciplines; global; regional programmes</t>
  </si>
  <si>
    <t>CLIMATE-CHANGE; OCEAN; GOVERNANCE; SUSTAINABILITY; COLLABORATION; ECOSYSTEMS; INTERDISCIPLINARITY; COMMUNITIES; MANAGEMENT; FRAMEWORK</t>
  </si>
  <si>
    <t>Successful management and mitigation of marine challenges depends on cooperation and knowledge sharing which often occurs across culturally diverse geographic regions. Global ocean science collaboration is therefore essential for developing global solutions. Building effective global research networks that can enable collaboration also need to ensure inter-and transdisciplinary research approaches to tackle complex marine socio-ecological challenges. To understand the contribution of interdisciplinary global research networks to solving these complex challenges, we use the Integrated Marine Biosphere Research (IMBeR) project as a case study. We investigated the diversity and characteristics of 1,827 scientists from 11 global regions who were attendees at different IMBeR global science engagement opportunities since 2009. We also determined the role of social science engagement in natural science based regional programmes (using key informants) and identified the potential for enhanced collaboration in the future. Event attendees were predominantly from western Europe, North America, and East Asia. But overall, in the global network, there was growing participation by females, students and early career researchers, and social scientists, thus assisting in moving toward interdisciplinarity in IMBeR research. The mainly natural science oriented regional programmes showed mixed success in engaging and collaborating with social scientists. This was mostly attributed to the largely natural science (i.e., biological, physical) goals and agendas of the programmes, and the lack of institutional support and push to initiate connections with social science. Recognising that social science research may not be relevant to all the aims and activities of all regional programmes, all researchers however, recognised the (potential) benefits of interdisciplinarity, which included broadening scientists' understanding and perspectives, developing connections and interlinkages, and making science more useful. Pathways to achieve progress in regional programmes fell into four groups: specific funding, events to come together, within-programme-reflections, and social science champions. Future research programmes should have a strategic plan to be truly interdisciplinary, engaging natural and social sciences, as well as aiding early career professionals to actively engage in such programmes.</t>
  </si>
  <si>
    <t>[van Putten, Ingrid; Melbourne-Thomas, Jess; Evans, Karen; Hobday, Alistair J.] CSIRO Oceans &amp; Atmosphere, Hobart, Tas, Australia; [van Putten, Ingrid; Kelly, Rachel; Cvitanovic, Christopher; Melbourne-Thomas, Jess; Constable, Andrew J.; Hobday, Alistair J.] Univ Tasmania, Ctr Marine Socioecol, Hobart, Tas, Australia; [Cavanagh, Rachel D.; Murphy, Eugene J.; Johnston, Nadine M.; Xavier, Jose C.] British Antarctic Survey, Cambridge, England; [Breckwoldt, Annette; Glaser, Marion] Leibniz Ctr Trop Marine Res ZMT, Bremen, Germany; [Brodie, Stephanie] Univ Calif Santa Cruz, Inst Marine Sci, Monterey, CA USA; [Cvitanovic, Christopher] Australian Natl Univ, Australian Natl Ctr Publ Awareness Sci, Canberra, ACT, Australia; [Dickey-Collas, Mark] Int Council Explorat Sea ICES, Copenhagen, Denmark; [Dickey-Collas, Mark] Tech Univ Denmark, Natl Inst Aquat Resources, Lyngby, Denmark; [Maddison, Lisa] Integrated Marine Biosphere Res IMBeR, Halifax, NS, Canada; [Arrizabalaga, Haritz] Basque Res &amp; Technol Alliance BRTA, Marine Res, AZTI, Pasaia, Spain; [Azetsu-Scott, Kumiko] Bedford Inst Oceanog, Dept Fisheries &amp; Oceans, Dartmouth, NS, Canada; [Beckley, Lynnath E.] Murdoch Univ, Environm &amp; Conservat Sci, Perth, WA, Australia; [Bellerby, Richard] Norwegian Inst Water Res, Bergen, Norway; [Bellerby, Richard] East China Normal Univ, State Key Lab Estuarine &amp; Coastal Res, Shanghai, Peoples R China; [Constable, Andrew J.] Antarctic Climate &amp; Ecosyst Cooperat Res Ctr, Hobart, Tas, Australia; [Cowie, Greg] Univ Edinburgh, Sch GeoSci, Edinburgh, Midlothian, Scotland; [Hall, Julie] NIWA, Wellington, New Zealand; [Llopiz, Joel K.] Woods Hole Oceanog Inst, Woods Hole, MA 02543 USA; [Mueter, Franz] Univ Alaska Fairbanks, Coll Fisheries &amp; Ocean Sci, Juneau, AK USA; [Muller-Karger, Frank E.] Univ S Florida, St Petersburg, FL USA; [Weng, Kevin C.] Virginia Inst Marine Sci, Coll William &amp; Mary, Gloucester Point, VA 23062 USA; [Wolf-Gladrow, Dieter] Helmholtz Ctr Polar &amp; Marine Res, Alfred Wegener Inst, Bremerhaven, Germany; [Xavier, Jose C.] Univ Coimbra, Dept Life Sci, MARE, Coimbra, Portugal</t>
  </si>
  <si>
    <t>Commonwealth Scientific &amp; Industrial Research Organisation (CSIRO); University of Tasmania; UK Research &amp; Innovation (UKRI); Natural Environment Research Council (NERC); NERC British Antarctic Survey; Leibniz Zentrum fur Marine Tropenforschung (ZMT); University of California System; University of California Santa Cruz; Australian National University; Technical University of Denmark; AZTI; Fisheries &amp; Oceans Canada; Bedford Institute of Oceanography; Murdoch University; Norwegian Institute for Water Research (NIVA); East China Normal University; Antarctic Climate &amp; Ecosystems Cooperative Research Centre (ACE CRC); University of Edinburgh; National Institute of Water &amp; Atmospheric Research (NIWA) - New Zealand; Woods Hole Oceanographic Institution; University of Alaska System; University of Alaska Fairbanks; State University System of Florida; University of South Florida; William &amp; Mary; Virginia Institute of Marine Science; Helmholtz Association; Alfred Wegener Institute, Helmholtz Centre for Polar &amp; Marine Research; Universidade de Coimbra</t>
  </si>
  <si>
    <t>van Putten, I (corresponding author), CSIRO Oceans &amp; Atmosphere, Hobart, Tas, Australia.;van Putten, I (corresponding author), Univ Tasmania, Ctr Marine Socioecol, Hobart, Tas, Australia.</t>
  </si>
  <si>
    <t>Ingrid.vanputten@csiro.au</t>
  </si>
  <si>
    <t>murphy, eugene/GZL-1620-2022; Xavier, José/KFB-6739-2024; Dickey-Collas, Mark/A-8036-2008; Melbourne-Thomas, Jess/N-2437-2019; Bellerby, Richard/ABD-6590-2021; van putten, ingrid/AAV-1301-2021; Hobday, Alistair/A-1460-2012; Arrizabalaga, Haritz/B-8238-2009; Weng, Kevin Chi-Ming/C-4709-2013</t>
  </si>
  <si>
    <t>Dickey-Collas, Mark/0000-0003-3154-8039; Melbourne-Thomas, Jess/0000-0001-6585-876X; Bellerby, Richard/0000-0003-3598-4006; van putten, ingrid/0000-0001-8397-9768; Arrizabalaga, Haritz/0000-0002-3861-6316; Weng, Kevin Chi-Ming/0000-0002-7069-7152; /0000-0002-9621-6660; Cvitanovic, Christopher/0000-0002-2565-3396; Breckwoldt, Annette/0000-0002-5976-4537; Brodie, Stephanie/0000-0003-0869-9939; Johnston, Nadine M/0000-0003-2211-1492; Kelly, Rachel/0000-0002-8364-1836</t>
  </si>
  <si>
    <t>U.S. National Science Foundation [OCE-1840868]; Scientific Committee on Oceanic Research (SCOR); NERC [bas0100035] Funding Source: UKRI</t>
  </si>
  <si>
    <t>U.S. National Science Foundation(National Science Foundation (NSF)); Scientific Committee on Oceanic Research (SCOR); NERC(UK Research &amp; Innovation (UKRI)Natural Environment Research Council (NERC))</t>
  </si>
  <si>
    <t>This publication resulted in part from support from the U.S. National Science Foundation (Grant OCE-1840868) to the Scientific Committee on Oceanic Research (SCOR) .</t>
  </si>
  <si>
    <t>10.3389/fmars.2021.662350</t>
  </si>
  <si>
    <t>SY4IX</t>
  </si>
  <si>
    <t>WOS:000665854900001</t>
  </si>
  <si>
    <t>Downie, AT; Leis, JM; Cowman, PF; McCormick, MI; Rummer, JL</t>
  </si>
  <si>
    <t>Downie, Adam T.; Leis, Jeffrey M.; Cowman, Peter F.; McCormick, Mark, I; Rummer, Jodie L.</t>
  </si>
  <si>
    <t>The influence of habitat association on swimming performance in marine teleost fish larvae</t>
  </si>
  <si>
    <t>early life history; fish evolution; fish exercise physiology; ontogeny; phylogenetic comparative methods; recruitment strategies</t>
  </si>
  <si>
    <t>CORAL-REEF FISH; VERTICAL-DISTRIBUTION; GROWTH-RATE; R PACKAGE; HORIZONTAL DISTRIBUTION; ENERGY ACQUISITION; SELF-RECRUITMENT; INTRINSIC GROWTH; PELAGIC STAGES; LIZARD-ISLAND</t>
  </si>
  <si>
    <t>Latitude and body size are generally considered key drivers of swimming performance for larval marine fishes, but evidence suggests that evolutionary relationships and habitat may also be important. We used a comparative phylogenetic framework, data synthesis and case study approach to investigate how swimming performance differs among larvae of fish species across latitude. First, we investigated how swimming performance changed with body length, and we found that temperate reef fishes have the greatest increases in swimming performance with length. Secondly, we compared differences in three swimming performance metrics (critical swimming speed, in situ swimming, and endurance) among post-flexion larvae, whilst considering phylogenetic relationships and morphology, and we found that reef fishes have higher swimming capacity than non-reef (pelagic and non-reef demersal) fishes, which is likely due to larger, more robust body sizes. Thirdly, we compared swimming performance of late-stage larvae of tropical fishes with oceanographic data to better understand the ecological relevance of their high-capacity swimming. We found that reef fishes have high swimming performance and grow larger than non-reef fish larvae, which we suggest is due to the pressures to find a specific, patchily distributed habitat upon which to settle. Given the current bias towards studies on percomorph fishes at low latitudes, we highlight that there is a need for more research on temperate reef fish larvae and other percomorph lineages from high latitudes. Overall, our findings provide valuable context to understand how swimming and morphological traits that are important for dispersal and recruitment processes are selected for among teleost fish larvae.</t>
  </si>
  <si>
    <t>[Downie, Adam T.; Cowman, Peter F.; McCormick, Mark, I; Rummer, Jodie L.] James Cook Univ, ARC Ctr Excellence Coral Reef Studies, Townsville, Qld, Australia; [Leis, Jeffrey M.] Univ Tasmania, Inst Marine &amp; Antarctic Studies, Hobart, Tas, Australia; [Leis, Jeffrey M.] Australian Museum Res Inst, Ichthyol, Sydney, NSW, Australia; [Cowman, Peter F.] Queensland Museum, Museum Trop Queensland, Biodivers &amp; Geosci Program, Townsville, Qld, Australia; [Cowman, Peter F.] James Cook Univ, Ctr Trop Bioinformat &amp; Mol Biol, Townsville, Qld, Australia; [Rummer, Jodie L.] James Cook Univ, Coll Sci &amp; Engn, Townsville, Qld, Australia</t>
  </si>
  <si>
    <t>James Cook University; University of Tasmania; Australian Museum; Queensland Museum; James Cook University; James Cook University</t>
  </si>
  <si>
    <t>Downie, AT (corresponding author), James Cook Univ, ARC CoE, 1 James Cook Dr, Townsville, Qld 4811, Australia.</t>
  </si>
  <si>
    <t>adam.downie@my.jcu.edu.au</t>
  </si>
  <si>
    <t>Leis, Jeffrey M/JCE-0397-2023; McCormick, Mark I/J-8301-2014; Leis, Jeffrey M/E-7502-2012; Rummer, Jodie/A-6524-2015; Cowman, Peter/G-9998-2017; Downie, Adam/E-1817-2017</t>
  </si>
  <si>
    <t>Leis, Jeffrey M/0000-0003-0603-3447; McCormick, Mark I/0000-0001-9289-1645; Leis, Jeffrey M/0000-0003-0603-3447; Rummer, Jodie/0000-0001-6067-5892; Cowman, Peter/0000-0001-5977-5327; Downie, Adam/0000-0001-7981-0724</t>
  </si>
  <si>
    <t>10.1111/faf.12580</t>
  </si>
  <si>
    <t>WOS:000663901900001</t>
  </si>
  <si>
    <t>Lee, B; Arkhipkin, A; Randhawa, HS</t>
  </si>
  <si>
    <t>Lee, Brendon; Arkhipkin, Alexander; Randhawa, Haseeb S.</t>
  </si>
  <si>
    <t>Environmental drivers of Patagonian toothfish (Dissostichus eleginoides) spatial-temporal patterns during an ontogenetic migration on the Patagonian Shelf</t>
  </si>
  <si>
    <t>ESTUARINE COASTAL AND SHELF SCIENCE</t>
  </si>
  <si>
    <t>Species distribution modelling; Dissostichus eleginoides; INLA; Recruitment; Ontogenetic migration</t>
  </si>
  <si>
    <t>SPECIES DISTRIBUTION MODELS; EARLY-LIFE HISTORY; FISH; SEA; FISHERIES; RECRUITMENT; ECOSYSTEM; AGE; CONNECTIVITY; TEMPERATURE</t>
  </si>
  <si>
    <t>Understanding the spatial and temporal dynamics in marine fish populations is essential for the development of effective adaptive management strategies. Many marine fish species undergo ontogenetic shifts in abundance, with the utilization of productive shelf-based habitats during early life-history stages. For instance, in the shelf ecosystem around the Falkland Islands, a dynamic Patagonian toothfish population undertakes an early life history ontogenetic migration after recruitment from spawning areas off southern Chile and the Burdwood Bank. To better understand the spatial-temporal dynamics for this species, Bayesian species distribution models were used to (1) identify oceanographic drivers of recruitment success; (2) assess the spatial-temporal distribution patterns; and (3) describe the habitat preferences and ecological interactions during a six-year study period (2015-2020) on the Patagonian Shelf. The presence of seasonal mesoscale eddies linking the Sub Antarctic Front with the Falkland Current appear to be of primary importance for the survival of toothfish eggs and larvae on the shelf after transport from offshore spawning areas over the Burdwood Bank and southern Chile. Results indicate persistent recruitment hotspots for newly-settled Patagonian toothfish to the north-east, along with opportunistic areas to the south and west of the Falkland Islands, coinciding with the main areas of upwelling and high productivity. During years of low recruitment, juveniles are largely constrained to sheltered inshore regions to the north-west of the Falkland Islands. Spatial distribution patterns during post settlement ontogenetic migrations are progressive, characterised by age-structured hotspots that differ according to depth, current velocity, oxygen, mixed-layer thickness, the abundance of competitors (icefish - Champsocephalus esox) and prey (rock cod - Patagonotothen ramsayi). The temporal shift in the range and intensity of hotspots is linked to levels of recruitment and subsequent cohort strength, which in turn appears to be driven by oceanographic processes. Understanding the environmental influences on recruitment dynamics is a key step in assessing connectivity within these discrete spatial groups on the Patagonian Shelf, and how their variability can influence the adult population over time.</t>
  </si>
  <si>
    <t>[Lee, Brendon; Arkhipkin, Alexander; Randhawa, Haseeb S.] Falkland Isl Govt, Fisheries Dept, POB 598, Stanley FIQQ 1ZZ, Falkland Island; [Lee, Brendon] Rhodes Univ, Dept Ichthyol &amp; Fisheries Sci, POB 94, ZA-6140 Grahamstown, South Africa; [Randhawa, Haseeb S.] South Atlantic Environm Res Inst, POB 609, Stanley FIQQ 1ZZ, Falkland Island; [Randhawa, Haseeb S.] New Brunswick Museum, 277 Douglas Ave, St John, NB E2K 1E5, Canada</t>
  </si>
  <si>
    <t>Rhodes University</t>
  </si>
  <si>
    <t>Lee, B (corresponding author), Falkland Isl Govt, Fisheries Dept, POB 598, Stanley FIQQ 1ZZ, Falkland Island.</t>
  </si>
  <si>
    <t>blee@naturalresources.gov.fk</t>
  </si>
  <si>
    <t>Randhawa, Haseeb/AAC-3272-2019</t>
  </si>
  <si>
    <t>Randhawa, Haseeb/0000-0001-6262-970X; Lee, Brendon/0000-0003-1682-8905</t>
  </si>
  <si>
    <t>Falkland Islands Government Department of Natural Resources; Consolidated Fisheries Ltd.</t>
  </si>
  <si>
    <t>We are grateful to all the FIG staff and associates that contributed to data collection during the demersal biomass and Patagonian squid preseason surveys. Thanks to Alex Blake for assisting with data extraction and processing. This work was financially supported by the Falkland Islands Government Department of Natural Resources and Consolidated Fisheries Ltd.</t>
  </si>
  <si>
    <t>0272-7714</t>
  </si>
  <si>
    <t>1096-0015</t>
  </si>
  <si>
    <t>ESTUAR COAST SHELF S</t>
  </si>
  <si>
    <t>Estuar. Coast. Shelf Sci.</t>
  </si>
  <si>
    <t>SEP 30</t>
  </si>
  <si>
    <t>10.1016/j.ecss.2021.107473</t>
  </si>
  <si>
    <t>UA7RR</t>
  </si>
  <si>
    <t>WOS:000685355700001</t>
  </si>
  <si>
    <t>Frame, B; Yermakova, Y; Flamm, P; Nicklin, G; De Paula, G; Badhe, R; Tuñez, F</t>
  </si>
  <si>
    <t>Frame, Bob; Yermakova, Yelena; Flamm, Patrick; Nicklin, Germana; De Paula, Gabriel; Badhe, Renuka; Tunez, Francisco</t>
  </si>
  <si>
    <t>Antarctica's Gateways and Gatekeepers: Polar scenarios in a polarising Anthropocene</t>
  </si>
  <si>
    <t>ANTHROPOCENE REVIEW</t>
  </si>
  <si>
    <t>Article; Early Access</t>
  </si>
  <si>
    <t>Antarctica; Antarctic futures; Antarctic governance; Anthropocene; COVID-19; Gateway cities; geopolitics; international cooperation; scenarios</t>
  </si>
  <si>
    <t>KNOWLEDGE; COVID-19; SYSTEMS</t>
  </si>
  <si>
    <t>As the short to medium-term social and economic impacts of the COVID-19 pandemic dominate world issues, longer-term environmental and geopolitical concerns remain of great concern. However, the appetite for tackling complex transdisciplinary anthropogenic change processes may be receding rather than accelerating. In this essay, we propose that Antarctica, the continent of peace and science, a place that assumes a role as the global imaginary Other, where short- and long-term horizons co-exist, is a site where signs of global regeneration in the Anthropocene should be clear. To provoke discussion, we imagine two scenarios set in the five Gateway Cities of Antarctica to 2050. In the 'Gatekeepers' scenario, there is a fragmented global order with minimal unregulated behaviour based on narrowly defined national interests; in the 'Gateways' scenario, values-based partnerships generate novel institutional arrangements. By contrasting these polar opposites as a performative act, we highlight the need for future-making at the interface between science and policy.</t>
  </si>
  <si>
    <t>[Frame, Bob] Univ Canterbury, Canterbury, New Zealand; [Yermakova, Yelena] Univ Oslo, Oslo, Norway; [Flamm, Patrick] Te Herenga Waka Victoria Univ Wellington, Wellington, New Zealand; [Nicklin, Germana] Massey Univ, Palmerston North, New Zealand; [De Paula, Gabriel; Tunez, Francisco] Univ Salvador, Buenos Aires, DF, Argentina; [Badhe, Renuka] Women Polar Sci, Amsterdam, Netherlands</t>
  </si>
  <si>
    <t>University of Canterbury; University of Oslo; Massey University</t>
  </si>
  <si>
    <t>Frame, B (corresponding author), Univ Canterbury, Gateway Antarctica, Private Bag 4800, Christchurch 8140, New Zealand.</t>
  </si>
  <si>
    <t>research@frameworks.nz</t>
  </si>
  <si>
    <t>Nicklin, Germana/AAP-1179-2020; Frame, Bob I/A-2876-2008</t>
  </si>
  <si>
    <t>Nicklin, Germana/0000-0003-4899-9039; Yermakova, Yelena/0000-0002-4676-1003; Flamm, Patrick/0000-0003-4471-688X; Frame, Bob/0000-0003-2447-4174; Badhe, Renuka/0000-0001-5255-744X</t>
  </si>
  <si>
    <t>Antarctic and Southern Ocean Coalition (ASOC)</t>
  </si>
  <si>
    <t>The author(s) disclosed receipt of the following financial support for the research, authorship, and/or publication of this article: Yelena Yermakova received an Early Career Researcher Grant from the Antarctic and Southern Ocean Coalition (ASOC). The research received no other specific grant from any funding agency in the public, commercial, or not-for-profit sectors.</t>
  </si>
  <si>
    <t>SAGE PUBLICATIONS INC</t>
  </si>
  <si>
    <t>THOUSAND OAKS</t>
  </si>
  <si>
    <t>2455 TELLER RD, THOUSAND OAKS, CA 91320 USA</t>
  </si>
  <si>
    <t>2053-0196</t>
  </si>
  <si>
    <t>2053-020X</t>
  </si>
  <si>
    <t>ANTHROPOCENE REV</t>
  </si>
  <si>
    <t>Anthr. Rev.</t>
  </si>
  <si>
    <t>2021 JUN 20</t>
  </si>
  <si>
    <t>10.1177/20530196211026341</t>
  </si>
  <si>
    <t>Environmental Sciences; Environmental Studies; Geosciences, Multidisciplinary</t>
  </si>
  <si>
    <t>SX5BQ</t>
  </si>
  <si>
    <t>WOS:000665220800001</t>
  </si>
  <si>
    <t>Carlig, E; Christiansen, JS; Di Blasi, D; Ferrando, S; Pisano, E; Vacchi, M; O'Driscoll, RL; Ghigliotti, L</t>
  </si>
  <si>
    <t>Carlig, Erica; Christiansen, Jorgen S.; Di Blasi, Davide; Ferrando, Sara; Pisano, Eva; Vacchi, Marino; O'Driscoll, Richard L.; Ghigliotti, Laura</t>
  </si>
  <si>
    <t>Midtrophic fish feeding modes at the poles: an ecomorphological comparison of polar cod (Boreogadus saida) and Antarctic silverfish (Pleuragramma antarctica)</t>
  </si>
  <si>
    <t>Antarctic silverfish; Polar cod; Ecomorphology; Jaw mechanics; Gill rakers; Feeding strategy</t>
  </si>
  <si>
    <t>GILL RAKER MORPHOLOGY; DUMONT DURVILLE SEA; EARLY-LIFE STAGES; ARCTIC COD; ROSS SEA; DISSOSTICHUS-MAWSONI; SPATIAL-DISTRIBUTION; CLIMATE-CHANGE; BERING-SEA; ECOLOGY</t>
  </si>
  <si>
    <t>The polar cod (Boreogadus saida) and the Antarctic silverfish (Pleuragramma antarctica) are pelagic fish endemic to the Arctic and Antarctica sea, respectively. Both species are abundant and play a central role as midtrophic wasp-waist species in polar ecosystems. Due to their biological and ecological characteristics (small size, complex life histories, relatively short generation cycles, movement capability, planktivorous diet, and importance as prey), the polar cod and the Antarctic silverfish are potentially good sentinels of ecosystem change. Changes in polar zooplankton communities are well documented. How changes impact ecosystems as a whole largely depend on the degree of diet specialization and feeding flexibility of midtrophic species. Here, we provide the ecomorphological characterization of polar cod and Antarctic silverfish feeding performances. A comparative functional ecology approach, based on the analysis of morpho-anatomical traits, including calculation of suction index and mechanical advantage in jaw closing, was applied to profile the feeding modes and flexibility of the two species. Ecomorphological evidence supports differences in food acquisition: the polar cod appears able to alternate particulate ram-suction feeding to a pump filter feeding, and the Antarctic silverfish results be both a particulate ram and a tow-net filter feeder. Both species exhibit opportunistic feeding strategies and appear able to switch feeding mode according to the abundance and size of the available prey, which is a clue of potential resilience to a changing environment.</t>
  </si>
  <si>
    <t>[Carlig, Erica; Di Blasi, Davide; Pisano, Eva; Vacchi, Marino; Ghigliotti, Laura] Natl Res Council CNR Italy, Inst Study Anthrop Impacts &amp; Sustainabil Marine E, Via De Marini 6, I-16149 Genoa, Italy; [Christiansen, Jorgen S.] Univ Tromso, Dept Arctic &amp; Marine Biol, N-9037 Tromso, Norway; [Christiansen, Jorgen S.] Abo Akad Univ, Environm &amp; Marine Biol, Turku 20500, Finland; [Ferrando, Sara] Univ Genoa, Dept Earth Environm &amp; Life Sci DISTAV, Corso Europa 26, I-16132 Genoa, Italy; [O'Driscoll, Richard L.] Natl Inst Water &amp; Atmospher Res Ltd, Private Bag 14-901, Wellington, New Zealand</t>
  </si>
  <si>
    <t>UiT The Arctic University of Tromso; Abo Akademi University; University of Genoa; National Institute of Water &amp; Atmospheric Research (NIWA) - New Zealand</t>
  </si>
  <si>
    <t>Carlig, E (corresponding author), Natl Res Council CNR Italy, Inst Study Anthrop Impacts &amp; Sustainabil Marine E, Via De Marini 6, I-16149 Genoa, Italy.</t>
  </si>
  <si>
    <t>ericacarlig@virgilio.it</t>
  </si>
  <si>
    <t>Ghigliotti, Laura/AAN-6843-2021; Ferrando, Sara/AAC-9934-2022; Di Blasi, Davide/AAV-5937-2021</t>
  </si>
  <si>
    <t>Ghigliotti, Laura/0000-0003-2139-1381; Ferrando, Sara/0000-0002-5781-9709; Carlig, Erica/0000-0002-8537-8971</t>
  </si>
  <si>
    <t>Italian National Programme for Antarctic Research (PNRA) projects [16_00281, 2013/AZ1.18]</t>
  </si>
  <si>
    <t>Italian National Programme for Antarctic Research (PNRA) projects</t>
  </si>
  <si>
    <t>The study was supported by the Italian National Programme for Antarctic Research (PNRA) projects 16_00281 (POLICY) and 2013/AZ1.18 (RAISE), and contributes to the SCAR Scientific Research Program AnT-ERA (Antarctic sThresholds-Ecosystem Resilience and Adaptation).</t>
  </si>
  <si>
    <t>10.1007/s00300-021-02900-w</t>
  </si>
  <si>
    <t>WOS:000663687700001</t>
  </si>
  <si>
    <t>Leane, E; Lucas, C; Marx, K; Datta, D; Nielsen, H; Salazar, JF</t>
  </si>
  <si>
    <t>Leane, Elizabeth; Lucas, Chloe; Marx, Katie; Datta, Doita; Nielsen, Hanne; Salazar, Juan Francisco</t>
  </si>
  <si>
    <t>From gateway to custodian city: Understanding urban residents' sense of connectedness to Antarctica</t>
  </si>
  <si>
    <t>GEOGRAPHICAL RESEARCH</t>
  </si>
  <si>
    <t>Antarctic policy; connectedness to place; custodian cities; gateway cities; Hobart; Tasmania; urban relations</t>
  </si>
  <si>
    <t>Antarctic gateway cities have been characterised primarily as portals through which goods and services from around the world can be transported to the frozen continent. However, recent research suggests that this concept should be expanded to address other forms of connectivity, including those felt by people living in these cities rather than simply passing through them. In this article, we explore the meaning of urban relations to Antarctica in the 21st century, focusing on the Australian city of Hobart. We outline evolving understandings of gateway cities, and of Antarctic gateways particularly; examine Hobart's diverse connections to the far south; and analyse current public policy related to the city's gateway status. We then report the results of a survey (n = 300) conducted in 2018 to investigate how citizens understand their city's relationship with Antarctica. Survey results show that residents prioritised ecological concerns over economic or political issues and felt strongly that the city should play a custodian role in the future of Antarctica. Hobartians' strong sense of environmental and cultural connectedness with Antarctica suggests a need to rethink the concept of Antarctic gateways if policy is to reflect adequately the meaning of this identity to residents of the cities that circle the southern continent.</t>
  </si>
  <si>
    <t>[Leane, Elizabeth; Marx, Katie; Datta, Doita] Univ Tasmania, Coll Arts Law &amp; Educ, Sch Humanities, Private Bag 41, Hobart, Tas 7001, Australia; [Lucas, Chloe] Univ Tasmania, Coll Sci &amp; Engn, Sch Geog Planning &amp; Spatial Sci, Hobart, Tas, Australia; [Nielsen, Hanne] Univ Tasmania, Coll Sci &amp; Engn, Inst Marine &amp; Antarctic Studies, Hobart, Tas, Australia; [Salazar, Juan Francisco] Western Sydney Univ, Inst Culture &amp; Soc, Penrith, NSW, Australia</t>
  </si>
  <si>
    <t>University of Tasmania; University of Tasmania; University of Tasmania; Western Sydney University</t>
  </si>
  <si>
    <t>Leane, E (corresponding author), Univ Tasmania, Coll Arts Law &amp; Educ, Sch Humanities, Private Bag 41, Hobart, Tas 7001, Australia.</t>
  </si>
  <si>
    <t>elizabeth.leane@utas.edu.au</t>
  </si>
  <si>
    <t>Lucas, Chloe/E-7835-2019; Nielsen, Hanne E F/I-4472-2014</t>
  </si>
  <si>
    <t>Lucas, Chloe/0000-0002-0834-1622; Marx, Katie/0000-0001-6630-4988; Leane, Elizabeth/0000-0002-7954-6529; Nielsen, Hanne E F/0000-0002-2761-7727</t>
  </si>
  <si>
    <t>Australian Government through the Australian Research Council [LP160100210]; Australian Research Council [LP160100210] Funding Source: Australian Research Council</t>
  </si>
  <si>
    <t>Australian Government through the Australian Research Council(Australian Research Council); Australian Research Council(Australian Research Council)</t>
  </si>
  <si>
    <t>This research was supported by the Australian Government through the Australian Research Council's Linkage Projects funding scheme (project LP160100210).</t>
  </si>
  <si>
    <t>1745-5863</t>
  </si>
  <si>
    <t>1745-5871</t>
  </si>
  <si>
    <t>GEOGR RES-AUST</t>
  </si>
  <si>
    <t>Geogr. Res.</t>
  </si>
  <si>
    <t>10.1111/1745-5871.12490</t>
  </si>
  <si>
    <t>Geography</t>
  </si>
  <si>
    <t>WQ4MZ</t>
  </si>
  <si>
    <t>WOS:000663849900001</t>
  </si>
  <si>
    <t>Fadida, Y; Malan, N; Cronin, MF; Hermes, J</t>
  </si>
  <si>
    <t>Fadida, Yotam; Malan, Neil; Cronin, Meghan F.; Hermes, Juliet</t>
  </si>
  <si>
    <t>Trends in the Agulhas Return Current</t>
  </si>
  <si>
    <t>Agulhas Return Current; Eddy kinetic energy; Western boundary extension</t>
  </si>
  <si>
    <t>ANTARCTIC CIRCUMPOLAR CURRENT; SATELLITE MEASUREMENTS; VARIABILITY; EXTENSION; IMPACT; CIRCULATION; TOPOGRAPHY; LEAKAGE; JETS</t>
  </si>
  <si>
    <t>Recent observations report a poleward shift in several of the world's western boundary current extensions in response to a warming climate. However, the nature and variability of the Agulhas Return Current (ARC) is still relatively unknown, leading to uncertainty in its response to gyre intensification. The objective of this work is to investigate meridional migration and eddy kinetic energy (EKE) trends in the ARC over the past 27 years using satellite-derived altimetry products. A difference is seen between the western and eastern regions of the ARC, the former exhibiting a predominantly equatorward migration and the latter moving predominantly poleward. The ARC is shown to be a region highly influenced by its bathymetry. Additionally, we show that the regional EKE peaks during austral summer months and that there has been a significant rise in summertime EKE levels between 1994-2011.</t>
  </si>
  <si>
    <t>[Fadida, Yotam; Malan, Neil; Hermes, Juliet] Univ Cape Town, Rondebosch, South Africa; [Fadida, Yotam] Israel Oceanog &amp; Limnol Res, Haifa, Israel; [Malan, Neil; Hermes, Juliet] South African Environm Observat Network, Pretoria, South Africa; [Malan, Neil] Univ Cape Town, Nansen Tutu Ctr Marine Environm Res, Rondebosch, South Africa; [Malan, Neil] UNSW, Coastal &amp; Reg Oceanog Lab, Sch Math &amp; Stat, Sydney, NSW 2052, Australia; [Cronin, Meghan F.] NOAA, Pacific Marine Environm Lab, 7600 Sand Point Way Ne, Seattle, WA 98115 USA</t>
  </si>
  <si>
    <t>University of Cape Town; Israel Oceanographic &amp; Limnological Research Institute; National Research Foundation - South Africa; South African Environmental Observation Network (SAEON); University of Cape Town; University of New South Wales Sydney; National Oceanic Atmospheric Admin (NOAA) - USA</t>
  </si>
  <si>
    <t>Fadida, Y (corresponding author), Israel Oceanog &amp; Limnol Res, Haifa, Israel.</t>
  </si>
  <si>
    <t>yotamfadida@ocean.org.il; neilcmalan@gmail.com; Meghan.F.Cronin@noaa.gov; juliet@saeon.ac.za</t>
  </si>
  <si>
    <t>Cronin, Meghan F./M-3155-2018; Hermes, Juliet/IRZ-6210-2023</t>
  </si>
  <si>
    <t>Cronin, Meghan F./0000-0002-4703-8132; Hermes, Juliet/0000-0001-7858-514X; Malan, Neil/0000-0001-7568-3908; Fadida, Yotam/0000-0003-0947-7289</t>
  </si>
  <si>
    <t>South African Environmental Obser-vation Network</t>
  </si>
  <si>
    <t>South African Environmental Obser-vation Network(National Research Foundation - South Africa)</t>
  </si>
  <si>
    <t>Fadida, Y was funded by the South African Environmental Obser-vation Network and their contribution toward this research is hereby acknowledged. Opinions expressed and conclusions arrived at are those of the authors and are not necessarily to be attributed to SAEON. The main product used in this study was the GLOBAL OCEAN GRIDDED L4 SEA SURFACE HEIGHTS AND DERIVED VARIABLES REPROCESSED (1993-ONGOING) reprocessed dataset which was obtained by merg-ing the measurements from the different altimeter missions and was procured via Copernicus marine environment monitoring service, with details of its configuration and access to data available at http://marine.copernicus.eu. The SST product used for further analysis and method verification is the MULTI OBSERVATION GLOBAL OCEAN 3D TEMPERATURE SALINITY HEIGHT GEOSTROPHIC CURRENT AND MLD, procured via Copernicus marine environment monitoring service, with details of its configuration and access to data available at http://marine.copernicus.eu. The wind stress product procured through Cop-urnicus was the GLOBAL OCEAN WIND L4 REPROCESSED 6 HOURLY OBSERVATIONS , details of its configuration and access to data avail-able at http://marine.copernicus.eu. Bathymetry data used was the 2014 GEBCO Gridded Bathymetry Data, with details of its configuration and access to data available at https:// www.gebco.net This is PMEL publication number 4989.</t>
  </si>
  <si>
    <t>10.1016/j.dsr.2021.103573</t>
  </si>
  <si>
    <t>UC6AR</t>
  </si>
  <si>
    <t>WOS:000686607200003</t>
  </si>
  <si>
    <t>Janc, A; Guinet, C; Pinaud, D; Richard, G; Monestiez, P; Tixier, P</t>
  </si>
  <si>
    <t>Janc, Anais; Guinet, Christophe; Pinaud, David; Richard, Gaetan; Monestiez, Pascal; Tixier, Paul</t>
  </si>
  <si>
    <t>Fishing behaviours and fisher effect in decision-making processes when facing depredation by marine predators</t>
  </si>
  <si>
    <t>FISHERIES MANAGEMENT AND ECOLOGY</t>
  </si>
  <si>
    <t>experience; individual perceptions; optimal foraging theory; skipper behaviour; sustainability of fish stocks; whale-fisheries interactions</t>
  </si>
  <si>
    <t>LONGLINE FISHERIES; KILLER WHALES; DEMOGRAPHIC CONSEQUENCES; SPATIAL-DISTRIBUTION; DYNAMICS; MAMMALS; STRATEGIES; MANAGEMENT; TOOTHFISH; NETWORKS</t>
  </si>
  <si>
    <t>Fishers aim to optimise cost-benefit ratios of their behaviour when exploiting resources. Avoidance of interactions with marine predators (i.e. their feeding on catches in fishing gear, known as depredation) has recently become an important component of their decisions. How fishers minimise these interactions whilst maximising fishing success is poorly understood. This issue is addressed in a sub-Antarctic, long-line fishery confronted with extensive depredation by sperm whales Physeter macrocephalus and killer whales Orcinus orca by examining a 15-year data set. Whereas a broad range of behaviours was identified from spatio-temporal and operational descriptors, none combined high fishing success with low frequency of interactions. With experience, fishers favoured exploitation of productive patches with high frequencies of interactions over avoidance behaviours. Such decisions, although potentially optimal in the short term, are likely to intensify pressures on fish stocks and impact depredating whales. Therefore, the present study provides additional evidence to inform management decisions pertaining to the coexistence between fisheries and marine predators.</t>
  </si>
  <si>
    <t>[Janc, Anais; Guinet, Christophe; Pinaud, David] CNRS, UMR 7372, Ctr Etud Biol Chize CEBC, F-79360 Villiers En Bois, France; [Janc, Anais; Guinet, Christophe; Pinaud, David] La Rochelle Univ, F-79360 Villiers En Bois, France; [Richard, Gaetan] ENSTA Bretagne, Lab STICC UMR 6285, Brest 9, France; [Monestiez, Pascal] INRAE, Biostat &amp; Proc Spatiaux BioSP, Avignon, France; [Tixier, Paul] Deakin Univ, Sch Life &amp; Environm Sci, Burwood Campus, Burwood, Vic, Australia; [Tixier, Paul] Univ Montpellier, CNRS IFREMER IRD, MARBEC, Sete, France</t>
  </si>
  <si>
    <t>Centre National de la Recherche Scientifique (CNRS); CNRS - Institute of Ecology &amp; Environment (INEE); ENSTA Bretagne; Universite de Bretagne Occidentale; INRAE; Deakin University; Universite de Montpellier; Ifremer</t>
  </si>
  <si>
    <t>Janc, A (corresponding author), CNRS, UMR 7372, Ctr Etud Biol Chize CEBC, F-79360 Villiers En Bois, France.;Janc, A (corresponding author), La Rochelle Univ, F-79360 Villiers En Bois, France.</t>
  </si>
  <si>
    <t>anais.janc@gmail.com</t>
  </si>
  <si>
    <t>Tixier, Paul/AFU-7272-2022; Pinaud, David/B-6326-2008</t>
  </si>
  <si>
    <t>Pinaud, David/0000-0003-0815-9668; Richard, Gaetan/0000-0003-3709-2909; Tixier, Paul/0000-0002-7325-3573</t>
  </si>
  <si>
    <t>Institut Polaire Francais Paul Emile Victor; Australian Research Council [160100329]; Reserve Naturelle Nationale des TAAF; Ministere de l'Agriculture et de l'Alimentation; Agence National de la Recherche (ANR); Fondation d'Entreprises des Mers Australes; Ministere de l'Education Nationale, de l'Enseignement Superieur et de la Recherche (M.E.N. E.S. R) [2015-5286]; French Ministry of Environment; TAAF; Syndicat des Armements Reunionnais des Palangriers Congelateurs (SARPC)</t>
  </si>
  <si>
    <t>Institut Polaire Francais Paul Emile Victor; Australian Research Council(Australian Research Council); Reserve Naturelle Nationale des TAAF; Ministere de l'Agriculture et de l'Alimentation; Agence National de la Recherche (ANR)(Agence Nationale de la Recherche (ANR)); Fondation d'Entreprises des Mers Australes; Ministere de l'Education Nationale, de l'Enseignement Superieur et de la Recherche (M.E.N. E.S. R); French Ministry of Environment; TAAF; Syndicat des Armements Reunionnais des Palangriers Congelateurs (SARPC)</t>
  </si>
  <si>
    <t>Institut Polaire Francais Paul Emile Victor; Australian Research Council, Grant/Award Number: 160100329; Reserve Naturelle Nationale des TAAF; Ministere de l'Agriculture et de l'Alimentation; Agence National de la Recherche (ANR); Fondation d'Entreprises des Mers Australes; Ministere de l'Education Nationale, de l'Enseignement Superieur et de la Recherche (M.E.N. E.S. R), Grant/Award Number: Contract n degrees 2015--5286; French Ministry of Environment; TAAF; Syndicat des Armements Reunionnais des Palangriers Congelateurs (SARPC)</t>
  </si>
  <si>
    <t>0969-997X</t>
  </si>
  <si>
    <t>1365-2400</t>
  </si>
  <si>
    <t>FISHERIES MANAG ECOL</t>
  </si>
  <si>
    <t>Fisheries Manag. Ecol.</t>
  </si>
  <si>
    <t>10.1111/fme.12503</t>
  </si>
  <si>
    <t>WV8KF</t>
  </si>
  <si>
    <t>WOS:000663427100001</t>
  </si>
  <si>
    <t>Hingley, R</t>
  </si>
  <si>
    <t>Hingley, Rebecca</t>
  </si>
  <si>
    <t>Diverging Antarctic heritage discourses: The geopolitical ramifications of non-state actor engagement with the state-sanctioned version of Antarctic heritage</t>
  </si>
  <si>
    <t>GEOGRAPHICAL JOURNAL</t>
  </si>
  <si>
    <t>Antarctic Treaty System; ENGOs; geopolitics; heritage; non-state action; tourism industry</t>
  </si>
  <si>
    <t>TOURISM</t>
  </si>
  <si>
    <t>The governance of heritage in Antarctica has always been centred on the nation-state and the dissemination of its Antarctic narrative both within the state and between states. However, non-state actors outside of the state offer alternative conceptions of Antarctic heritage. What are the geopolitical consequences of their engagement with objects and places of heritage on and around the frozen continent? Are non-state actors accounted for within the current, official, and dominant discourse on heritage under the Antarctic Treaty System? These questions align with a broader enquiry into the System's capacity to adequately account for non-state actors and their increasing presence in the polar region 60 years on from the signing of the 1959 Antarctic Treaty. To better understand the nature of non-state actors' interaction with Antarctic heritage and the conditions under which it occurs, this paper will investigate how three non-state actors conceive of and engage with Antarctic heritage: the tourism industry, environmental activists, and individuals. It will then consider the implications of their engagement with Antarctic heritage under the current framework for heritage management, before considering the potential obstacles the System may encounter within this governing space in the future.</t>
  </si>
  <si>
    <t>[Hingley, Rebecca] Univ Tasmania, Sch Humanities, Inst Marine &amp; Antarctic Studies, Hobart, Tas, Australia</t>
  </si>
  <si>
    <t>Hingley, R (corresponding author), Univ Tasmania, Sch Humanities, Inst Marine &amp; Antarctic Studies, Hobart, Tas, Australia.</t>
  </si>
  <si>
    <t>rebecca.hingley@mas.edu.au</t>
  </si>
  <si>
    <t>Australian Research Council -Research Training Program</t>
  </si>
  <si>
    <t>Australian Research Council -Research Training Program(Australian Research Council)</t>
  </si>
  <si>
    <t>Australian Research Council -Research Training Program.</t>
  </si>
  <si>
    <t>0016-7398</t>
  </si>
  <si>
    <t>1475-4959</t>
  </si>
  <si>
    <t>GEOGR J</t>
  </si>
  <si>
    <t>Geogr. J.</t>
  </si>
  <si>
    <t>10.1111/geoj.12383</t>
  </si>
  <si>
    <t>9A6IV</t>
  </si>
  <si>
    <t>WOS:000663385200001</t>
  </si>
  <si>
    <t>Ford, MP; Ray, WJ; DiLuca, EM; Patek, SN; Santhanakrishnan, A</t>
  </si>
  <si>
    <t>Ford, Mitchell P.; Ray, William J.; DiLuca, Erika M.; Patek, S. N.; Santhanakrishnan, Arvind</t>
  </si>
  <si>
    <t>Hybrid Metachronal Rowing Augments Swimming Speed and Acceleration via Increased Stroke Amplitude</t>
  </si>
  <si>
    <t>INTEGRATIVE AND COMPARATIVE BIOLOGY</t>
  </si>
  <si>
    <t>Article; Proceedings Paper</t>
  </si>
  <si>
    <t>Symposium on Metachronal Coordination of Multiple Appendages for Swimming and Pumping / Virtual Annual Meeting of the Society-for-Integrative-and-Comparative-Biology (SICB)</t>
  </si>
  <si>
    <t>JAN 03-FEB 28, 2021</t>
  </si>
  <si>
    <t>ELECTR NETWORK</t>
  </si>
  <si>
    <t>FORCE PRODUCTION; ESCAPE RESPONSE; KINEMATICS; KRILL; LOCOMOTION; HYDRODYNAMICS; COORDINATION; PERFORMANCE; ENERGETICS; MECHANICS</t>
  </si>
  <si>
    <t>Numerous aquatic invertebrates use drag-based metachronal rowing for swimming, in which closely spaced appendages are oscillated starting from the posterior, with each appendage phase-shifted in time relative to its neighbor. Continuously swimming species such as Antarctic krill generally use pure metachronal rowing consisting of a metachronal power stroke and a metachronal recovery stroke, while burst swimming species such as many copepods and mantis shrimp typically use hybrid metachronal rowing consisting of a metachronal power stroke followed by a synchronous or nearly synchronous recovery stroke. Burst swimming organisms need to rapidly accelerate in order to capture prey and/or escape predation, and it is unknown whether hybrid metachronal rowing can augment acceleration and swimming speed compared to pure metachronal rowing. Simulations of rigid paddles undergoing simple harmonic motion showed that collisions between adjacent paddles restrict the maximum stroke amplitude for pure metachronal rowing. Hybrid metachronal rowing similar to that observed in mantis shrimp (Neogonodactylus bredini) permits oscillation at larger stroke amplitude while avoiding these collisions. We comparatively examined swimming speed, acceleration, and wake structure of pure and hybrid metachronal rowing strategies by using a self-propelling robot. Both swimming speed and peak acceleration of the robot increased with increasing stroke amplitude. Hybrid metachronal rowing permitted operation at larger stroke amplitude without collision of adjacent paddles on the robot, augmenting swimming speed and peak acceleration. Hybrid metachronal rowing generated a dispersed wake unlike narrower, downward-angled jets generated by pure metachronal rowing. Our findings suggest that burst swimming animals with small appendage spacing, such as copepods and mantis shrimp, can use hybrid metachronal rowing to generate large accelerations via increasing stroke amplitude without concern of appendage collision.</t>
  </si>
  <si>
    <t>[Ford, Mitchell P.; DiLuca, Erika M.; Santhanakrishnan, Arvind] Oklahoma State Univ, Sch Mech &amp; Aerosp Engn, Stillwater, OK 74078 USA; [Ray, William J.; Patek, S. N.] Duke Univ, Dept Biol, Durham, NC 27708 USA</t>
  </si>
  <si>
    <t>Oklahoma State University System; Oklahoma State University - Stillwater; Duke University</t>
  </si>
  <si>
    <t>Santhanakrishnan, A (corresponding author), Oklahoma State Univ, Sch Mech &amp; Aerosp Engn, Stillwater, OK 74078 USA.</t>
  </si>
  <si>
    <t>askrish@okstate.edu</t>
  </si>
  <si>
    <t>Ford, Mitchell/0000-0001-9746-0238; Santhanakrishnan, Arvind/0000-0003-1800-8361; Patek, S. N./0000-0001-9738-882X</t>
  </si>
  <si>
    <t>National Science Foundation [CBET 1706762]; U.S. Army Research Laboratory; U.S. Army Research Office [W911NF-15-1-0358]; LewWentz Foundation at Oklahoma State University</t>
  </si>
  <si>
    <t>National Science Foundation(National Science Foundation (NSF)); U.S. Army Research Laboratory(United States Department of DefenseUS Army Research Laboratory (ARL)); U.S. Army Research Office; LewWentz Foundation at Oklahoma State University</t>
  </si>
  <si>
    <t>This workwas supported by theNational Science Foundation [CBET 1706762 to A.S.]; by the U.S. Army Research Laboratory and the U.S. Army Research Office [contract/grant number W911NF-15-1-0358 to S.N.P.]; and by the LewWentz Foundation at Oklahoma State University [Wentz Research Grant to E.M.D.].</t>
  </si>
  <si>
    <t>1540-7063</t>
  </si>
  <si>
    <t>1557-7023</t>
  </si>
  <si>
    <t>INTEGR COMP BIOL</t>
  </si>
  <si>
    <t>Integr. Comp. Biol.</t>
  </si>
  <si>
    <t>10.1093/icb/icab141</t>
  </si>
  <si>
    <t>XX2IL</t>
  </si>
  <si>
    <t>WOS:000736126200006</t>
  </si>
  <si>
    <t>Goncalves, R; Lund, I; Gesto, M</t>
  </si>
  <si>
    <t>Goncalves, Renata; Lund, Ivar; Gesto, Manuel</t>
  </si>
  <si>
    <t>Interactions of temperature and dietary composition on juvenile European lobster (Homarus gammarus, L.) energy metabolism and performance</t>
  </si>
  <si>
    <t>Extruded feeds; Carbohydrate; Protein; Glycogen; Glucose</t>
  </si>
  <si>
    <t>SOUTHERN ROCK LOBSTER; FORMULATED DIETS; HIGH-PROTEIN; GROWTH; CARBOHYDRATE; STARVATION; HEPATOPANCREAS; SURVIVAL; NUTRITION; SALINITY</t>
  </si>
  <si>
    <t>Optimal rearing temperatures for European lobster Homarus gammarus in aquaculture differ from those prevalent in their aquatic ecosystems and acclimating juveniles to the prevailing temperatures before release may aid in the success of re-stocking programs. As the dietary nutritional composition is important for optimal performance of H. gammarus, in this study we aimed to investigate whether juvenile growth and energy metabolism responses to temperature variation could be modulated by the diet. Prior to the trial start, the juveniles were divided into two groups. One was maintained at 19 degrees C and the other gradually adapted to 13 degrees C. From this point and for a 24-day period, juveniles (similar to 100 mg) within each temperature group were assigned one of two experimental diets: a carbohydrate-rich (HC) or a protein-rich (HP) extruded feed. Antarctic krill (AK) was used as a control diet within each temperature group. Feed intake, growth, glycogen, glucose, lactate, and protein concentrations of H. gammarus in each group were evaluated. Regardless the dietary treatment, feed intake, cephalothorax protein and glucose, and abdominal glycogen and glucose levels decreased at colder temperature. The effect of lower temperature on growth (SGR and moulting rate declines) and energy metabolism (reduction on cephalothorax glycogen and protein) was more severe in HC-fed lobsters. Results showed that the impact of lower temperature on juvenile H. gammarus can be modulated by diet highlighting the importance of designing optimized diets not only for growth and feed efficiency but also for resilience to environmental variation.</t>
  </si>
  <si>
    <t>[Goncalves, Renata; Lund, Ivar; Gesto, Manuel] Tech Univ Denmark, DTU Aqua, Sect Aquaculture, North Sea Res Ctr, DK-9850 Hirtshals, Denmark</t>
  </si>
  <si>
    <t>Goncalves, R (corresponding author), DTU Aqua, North Sea Sci Pk, Willemoesvej 2, DK-9850 Hirtshals, Denmark.</t>
  </si>
  <si>
    <t>rego@aqua.dtu.dk</t>
  </si>
  <si>
    <t>lund, ivar/W-4180-2019; Gesto, Manuel/G-1032-2018; Goncalves, Renata/ABR-0469-2022</t>
  </si>
  <si>
    <t>Gesto, Manuel/0000-0002-9136-7857; Lund, Ivar/0000-0003-2419-2185; Goncalves, Renata/0000-0003-4163-9479</t>
  </si>
  <si>
    <t>Fisheries local action group (FiskeriLAG NORD, Denmark); ENV Foundation (Nord Energi, Denmark); Ph.D. school at DTU Aqua</t>
  </si>
  <si>
    <t>The authors would like to thank Joao Branco for his assistance in taking care of the lobster system and final sampling at the end of the trial. This study was financed by a Fisheries local action group (FiskeriLAG NORD, Denmark), and the ENV Foundation (Nord Energi, Denmark) with support from the Ph.D. school at DTU Aqua.</t>
  </si>
  <si>
    <t>10.1016/j.cbpa.2021.111019</t>
  </si>
  <si>
    <t>WOS:000682522100004</t>
  </si>
  <si>
    <t>Golledge, NR; Lowry, DP</t>
  </si>
  <si>
    <t>Golledge, Nicholas R.; Lowry, Daniel P.</t>
  </si>
  <si>
    <t>Is the marine ice cliff hypothesis collapsing?</t>
  </si>
  <si>
    <t>CALVING GLACIERS</t>
  </si>
  <si>
    <t>[Golledge, Nicholas R.] Victoria Univ Wellington, Antarctic Res Ctr, Wellington 6140, New Zealand; [Lowry, Daniel P.] GNS Sci, Lower Hutt 5011, New Zealand</t>
  </si>
  <si>
    <t>Victoria University Wellington; GNS Science - New Zealand</t>
  </si>
  <si>
    <t>Golledge, NR (corresponding author), Victoria Univ Wellington, Antarctic Res Ctr, Wellington 6140, New Zealand.</t>
  </si>
  <si>
    <t>nicholas.golledge@vuw.ac.nz</t>
  </si>
  <si>
    <t>Golledge, Nicholas/0000-0001-7676-8970</t>
  </si>
  <si>
    <t>Royal Society Te Aparangi [RDFVUW1501]; New Zealand Ministry for Business,Innovation and Employment [RTUV1705, ANTA1801]</t>
  </si>
  <si>
    <t>Royal Society Te Aparangi(Royal Society of New Zealand); New Zealand Ministry for Business,Innovation and Employment(New Zealand Ministry of Business, Innovation and Employment (MBIE))</t>
  </si>
  <si>
    <t>This work was funded by the Royal Society Te Aparangi contract RDFVUW1501; New Zealand Ministry for Business,Innovation and Employment contracts RTUV1705 (NZSeaRise); and ANTA1801 (Antarctic Science Platform).</t>
  </si>
  <si>
    <t>0036-8075</t>
  </si>
  <si>
    <t>1095-9203</t>
  </si>
  <si>
    <t>Science</t>
  </si>
  <si>
    <t>JUN 18</t>
  </si>
  <si>
    <t>10.1126/science.abj3266</t>
  </si>
  <si>
    <t>SY0WR</t>
  </si>
  <si>
    <t>WOS:000665616000013</t>
  </si>
  <si>
    <t>Bassis, JN; Berg, B; Crawford, AJ; Benn, DI</t>
  </si>
  <si>
    <t>Bassis, J. N.; Berg, B.; Crawford, A. J.; Benn, D., I</t>
  </si>
  <si>
    <t>Transition to marine ice cliff instability controlled by ice thickness gradients and velocity</t>
  </si>
  <si>
    <t>CALVING GLACIERS; STABILITY; GREENLAND; MELANGE</t>
  </si>
  <si>
    <t>Portions of ice sheets grounded deep beneath sea level can disintegrate if tall ice cliffs at the ice-ocean boundary start to collapse under their own weight. This process, called marine ice cliff instability, could lead to catastrophic retreat of sections of West Antarctica on decadal-to-century time scales. Here we use a model that resolves flow and failure of ice to show that dynamic thinning can slow or stabilize cliff retreat, but when ice thickness increases rapidly upstream from the ice cliff, there is a transition to catastrophic collapse. However, even if vulnerable locations like Thwaites Glacier start to collapse, small resistive forces from sea-ice and calved debris can slow down or arrest retreat, reducing the potential for sustained ice sheet collapse.</t>
  </si>
  <si>
    <t>[Bassis, J. N.; Berg, B.] Univ Michigan, Dept Climate &amp; Space Sci &amp; Engn, Ann Arbor, MI 48109 USA; [Berg, B.] Univ Michigan, Dept Phys, Ann Arbor, MI 48109 USA; [Crawford, A. J.; Benn, D., I] Univ St Andrews, Sch Geog &amp; Sustainable Dev, St Andrews KY16 9AL, Fife, Scotland</t>
  </si>
  <si>
    <t>University of Michigan System; University of Michigan; University of Michigan System; University of Michigan; University of St Andrews</t>
  </si>
  <si>
    <t>Bassis, JN (corresponding author), Univ Michigan, Dept Climate &amp; Space Sci &amp; Engn, Ann Arbor, MI 48109 USA.</t>
  </si>
  <si>
    <t>jbassis@umich.edu</t>
  </si>
  <si>
    <t>Bassis, Jeremy/0000-0003-2946-7176; Berg, Brandon/0000-0002-2760-6112; Benn, Douglas/0000-0002-3604-0886</t>
  </si>
  <si>
    <t>NSF [1738896]; Natural Environment Research Council (NERC) [NE/S006605/1]; NERC [NE/S006605/1] Funding Source: UKRI; Directorate For Geosciences; Office of Polar Programs (OPP) [1738896] Funding Source: National Science Foundation</t>
  </si>
  <si>
    <t>NSF(National Science Foundation (NSF)); Natural Environment Research Council (NERC)(UK Research &amp; Innovation (UKRI)Natural Environment Research Council (NERC)); NERC(UK Research &amp; Innovation (UKRI)Natural Environment Research Council (NERC)); Directorate For Geosciences; Office of Polar Programs (OPP)(National Science Foundation (NSF)NSF - Directorate for Geosciences (GEO))</t>
  </si>
  <si>
    <t>This work is from the DOMINOS project, a component of the International Thwaites Glacier Collaboration (ITGC). Support came from NSF grant 1738896 and Natural Environment Research Council (NERC) grant NE/S006605/1. Logistics were provided by NSF-U.S. Antarctic Program and NERC-British Antarctic Survey. This study is ITGC contribution no. ITGC-044.</t>
  </si>
  <si>
    <t>10.1126/science.abf6271</t>
  </si>
  <si>
    <t>WOS:000665616000035</t>
  </si>
  <si>
    <t>Shang, K; Kong, WQ; Qu, T; Hu, ZJ; Wu, JJ; Pedrycz, W</t>
  </si>
  <si>
    <t>Shang, Kun; Kong, Wanqiu; Qu, Tan; Hu, Zejun; Wu, Jiaji; Pedrycz, Witold</t>
  </si>
  <si>
    <t>A generic, cluster-centred lossless compression framework for joint auroral data</t>
  </si>
  <si>
    <t>JOURNAL OF VISUAL COMMUNICATION AND IMAGE REPRESENTATION</t>
  </si>
  <si>
    <t>Joint auroral observation; Lossless compression; Hierarchical clustering; Auroral spectral data; DMSP SSJ5; DMSP SSUSI</t>
  </si>
  <si>
    <t>EFFICIENT ALGORITHM; DECORRELATION</t>
  </si>
  <si>
    <t>Studying the well-known phenomenon auroraplays a pivotal role in investigating the solar-terrestrial coupling mechanism. A special auroral spectrograph in Antarctic Zhongshan Station constitutes a auroral observation joint system with satellite-borne sensors of the Defense Meteorological Satellite Program. Multipoint observation by this system provides more essential information for relevant studies than single observation by each instrument, but also results in a multifold increased volume of data that are difficult to be either stored or transmitted. To address this difficulty, we develop a clustering-based, generic lossless data compression framework that combines the usage of various ultimate compressors with a hierarchical clustering algorithm to exert the strength of all the compressors in data reduction. This framework achieves an always-best compression performance for different-sized datasets with a reasonable time consumption, which promises the design of pipelines using it for real-time data transmission.</t>
  </si>
  <si>
    <t>[Shang, Kun; Qu, Tan; Wu, Jiaji] Xidian Univ, Sch Elect Engn, Xian 710071, Peoples R China; [Kong, Wanqiu] Xidian Univ, State Key Lab Integrated Serv Network, Xian 710071, Peoples R China; [Kong, Wanqiu] Xidian Univ, Collaborat Innovat Ctr Informat Sensing &amp; Underst, Xian 710071, Peoples R China; [Hu, Zejun] Polar Res Inst China, MNR Key Lab Polar Sci, Shanghai 200136, Peoples R China; [Pedrycz, Witold] Univ Alberta, Dept Elect &amp; Comp Engn, Edmonton, AB T6G 1H9, Canada</t>
  </si>
  <si>
    <t>Xidian University; Xidian University; Xidian University; Polar Research Institute of China; University of Alberta</t>
  </si>
  <si>
    <t>Kong, WQ (corresponding author), Xidian Univ, State Key Lab Integrated Serv Network, Xian 710071, Peoples R China.</t>
  </si>
  <si>
    <t>kshang@xidian.edu.cn; wqkong@xidian.edu.cn; tqu@xidian.edu.cn; huzejun@pric.org.cn; wujj@mail.xidian.edu.cn; wpedrycz@ualberta.ca</t>
  </si>
  <si>
    <t>Hu, Ze-Jun/X-8090-2019; kong, wanqiu/E-4341-2016</t>
  </si>
  <si>
    <t>Hu, Ze-Jun/0000-0003-2448-2094; kong, wanqiu/0000-0002-9814-2028</t>
  </si>
  <si>
    <t>National Natural Science Foundation of China [61775175, 61601355, 41874195, 41831072]; National Key Research and Development Program of China [2018YFC 1407303]; Space Science Pilot Project of the Chinese Academy of Sciences [XDA15350202]; International Cooperation Advance Research on Key Scientific Issues of the International Meridian Project, China [A131901W14]; Meridian Space Weather Monitoring Project of China</t>
  </si>
  <si>
    <t>National Natural Science Foundation of China(National Natural Science Foundation of China (NSFC)); National Key Research and Development Program of China; Space Science Pilot Project of the Chinese Academy of Sciences; International Cooperation Advance Research on Key Scientific Issues of the International Meridian Project, China; Meridian Space Weather Monitoring Project of China</t>
  </si>
  <si>
    <t>This work was funded by the National Natural Science Foundation of China (No. 61775175, 61601355, 41874195, 41831072) , National Key Research and Development Program of China (No. 2018YFC 1407303) , Space Science Pilot Project of the Chinese Academy of Sciences (No. XDA15350202) , International Cooperation Advance Research on Key Scientific Issues of the International Meridian Project, China (No. A131901W14) . ASD used in this paper are acquired by ASG located at ZHS, aka the National Observation and Research Station in Ice and Space Environment, for Chinese National Antarctic Research Expeditions. ASG is funded by Meridian Space Weather Monitoring Project of China. Its relevant data products are available from the website of Chinese National Arctic and Antarctic Data Center (https:// www.chinare.org. cn) . On the other hand, the derivative data products of SSUSI and SSJ5 can be downloaded from the website of DMSP Space Environment Data Access (https://satdat.ngdc.noaa.gov/dmsp/data) .</t>
  </si>
  <si>
    <t>1047-3203</t>
  </si>
  <si>
    <t>1095-9076</t>
  </si>
  <si>
    <t>J VIS COMMUN IMAGE R</t>
  </si>
  <si>
    <t>J. Vis. Commun. Image Represent.</t>
  </si>
  <si>
    <t>10.1016/j.jvcir.2021.103185</t>
  </si>
  <si>
    <t>Computer Science, Information Systems; Computer Science, Software Engineering</t>
  </si>
  <si>
    <t>Computer Science</t>
  </si>
  <si>
    <t>TH4RC</t>
  </si>
  <si>
    <t>WOS:000672077500002</t>
  </si>
  <si>
    <t>Fogarty, HE; Cvitanovic, C; Hobday, AJ; Pecl, GT</t>
  </si>
  <si>
    <t>Fogarty, Hannah E.; Cvitanovic, Christopher; Hobday, Alistair J.; Pecl, Gretta T.</t>
  </si>
  <si>
    <t>Stakeholder perceptions on actions for marine fisheries adaptation to climate change</t>
  </si>
  <si>
    <t>climate adaptation; fisheries management; planning; recommendations; Tasmanian fisheries</t>
  </si>
  <si>
    <t>CHANGE IMPACTS; RAPID ASSESSMENT; MANAGEMENT; SCIENCE; FISH; AUSTRALIA; ECOSYSTEM; CHALLENGES; INTERFACE; FRAMEWORK</t>
  </si>
  <si>
    <t>Fisheries are under threat from climate change, with observed impacts greater in faster-warming regions. This research investigated current and future potential for climate adaptation to be integrated into fisheries management strategies using Tasmanian commercial wild-catch fisheries as a case study, and then identified obstacles and recommendations for fisheries management to better adapt to future climate changes. We conducted qualitative interviews with fisheries stakeholders and experts to identify their perceptions of the effects of climate change on commercial wild-catch fisheries and local marine ecosystems, as well as opportunities for enhanced management in the future. The results show that climate adaptation in Tasmania fisheries management has largely been passive or incidental to date, and suggested future improvements may incorporate: (1) more or different scientific information and better application; (2) government reviews, reforms and stronger action; (3) industry changes and taking responsibility for the issue; (4) gaining more funding and resources; and (5) increasing education, extension and interaction among stakeholder groups. Implementation of the recommendations suggested in this study would help create a more forward-thinking and proactive response to climate change for Tasmanian fisheries, as well as a more flexible and resilient fishing industry that is better able to absorb shocks related to climate change.</t>
  </si>
  <si>
    <t>[Fogarty, Hannah E.; Pecl, Gretta T.] Univ Tasmania, Inst Marine &amp; Antarctic Studies, Private Bag 49, Hobart, Tas 7001, Australia; [Fogarty, Hannah E.; Cvitanovic, Christopher; Hobday, Alistair J.; Pecl, Gretta T.] Univ Tasmania, Ctr Marine Socioecol, Private Bag 49, Hobart, Tas 7001, Australia; [Cvitanovic, Christopher] Australian Natl Univ, Australian Natl Ctr Publ Awareness Sci, Canberra, ACT 0200, Australia; [Hobday, Alistair J.] Commonwealth Sci &amp; Ind Res Org Oceans &amp; Atmospher, Hobart, Tas 7000, Australia</t>
  </si>
  <si>
    <t>University of Tasmania; University of Tasmania; Australian National University; Commonwealth Scientific &amp; Industrial Research Organisation (CSIRO)</t>
  </si>
  <si>
    <t>Hobday, AJ (corresponding author), Univ Tasmania, Ctr Marine Socioecol, Private Bag 49, Hobart, Tas 7001, Australia.;Hobday, AJ (corresponding author), Commonwealth Sci &amp; Ind Res Org Oceans &amp; Atmospher, Hobart, Tas 7000, Australia.</t>
  </si>
  <si>
    <t>alistair.hobday@csiro.au</t>
  </si>
  <si>
    <t>Pecl, Gretta/D-7267-2011; Hobday, Alistair/A-1460-2012</t>
  </si>
  <si>
    <t>Pecl, Gretta/0000-0003-0192-4339; Cvitanovic, Christopher/0000-0002-2565-3396</t>
  </si>
  <si>
    <t>Centre for Marine Socioecology [111518]; Australian Research Council Future Fellowship [FT140100596]; Australian Research Council [FT140100596] Funding Source: Australian Research Council</t>
  </si>
  <si>
    <t>Centre for Marine Socioecology; Australian Research Council Future Fellowship(Australian Research Council); Australian Research Council(Australian Research Council)</t>
  </si>
  <si>
    <t>Interview transcription was funded by the Centre for Marine Socioecology (Project 111518). G. T. Pecl was funded by an Australian Research Council Future Fellowship (FT140100596).</t>
  </si>
  <si>
    <t>10.1071/MF21055</t>
  </si>
  <si>
    <t>UY4CI</t>
  </si>
  <si>
    <t>hybrid, Green Submitted, Green Accepted</t>
  </si>
  <si>
    <t>WOS:000663001700001</t>
  </si>
  <si>
    <t>Wetterich, S; Rudaya, N; Nazarova, L; Syrykh, L; Pavlova, M; Palagushkina, O; Kizyakov, A; Wolter, J; Kuznetsova, T; Aksenov, A; Stoof-Leichsenring, KR; Schirrmeister, L; Fritz, M</t>
  </si>
  <si>
    <t>Wetterich, S.; Rudaya, N.; Nazarova, L.; Syrykh, L.; Pavlova, M.; Palagushkina, O.; Kizyakov, A.; Wolter, J.; Kuznetsova, T.; Aksenov, A.; Stoof-Leichsenring, K. R.; Schirrmeister, L.; Fritz, M.</t>
  </si>
  <si>
    <t>Paleo-Ecology of the Yedoma Ice Complex on Sobo-Sise Island (EasternLena Delta, Siberian Arctic)</t>
  </si>
  <si>
    <t>permafrost; Yedoma; paleo-ecology; pollen; chironomids; Mammoth fauna; late Pleistocene; Beringia</t>
  </si>
  <si>
    <t>LENA RIVER DELTA; QUATERNARY PERMAFROST DEPOSITS; LAPTEV SEA; BYKOVSKY PENINSULA; CENTRAL KAMCHATKA; RICH PERMAFROST; CENTRAL YAKUTIA; POLLEN SPECTRA; LAKE; HOLOCENE</t>
  </si>
  <si>
    <t>Late Pleistocene permafrost of the Yedoma type constitutes a valuable paleo-environmental archive due to the presence of numerous and well-preserved floral and faunal fossils. The study of the fossil Yedoma inventory allows for qualitative and quantitative reconstructions of past ecosystem and climate conditions and variations over time. Here, we present the results of combined paleo-proxy studies including pollen, chironomid, diatom and mammal fossil analyses from a prominent Yedoma cliff on Sobo-Sise Island in the eastern Lena Delta, NE Siberia to complement previous and ongoing paleo-ecological research in western Beringia. The Yedoma Ice Complex (IC) cliff on Sobo-Sise Island (up to 28 m high, 1.7 km long) was continuously sampled at 0.5 m resolution. The entire sequence covers the last about 52 cal kyr BP, but is not continuous as it shows substantial hiatuses at 36-29 cal kyr BP, at 20-17 cal kyr BP and at 15-7 cal kyr BP. The Marine Isotope Stage (MIS) 3 Yedoma IC (52-28 cal kyr BP) pollen spectra show typical features of tundra-steppe vegetation. Green algae remains indicate freshwater conditions. The chironomid assemblages vary considerably in abundance and diversity. Chironomid-based T-July reconstructions during MIS 3 reveal warmer-than-today T-July at about 51 cal kyr BP, 46-44 and 41 cal kyr BP. The MIS 2 Yedoma IC (28-15 cal kyr BP) pollen spectra represent tundra-steppe vegetation as during MIS 3, but higher abundance of Artemisia and lower abundances of algae remains indicate drier summer conditions. The chironomid records are poor. The MIS 1 (7-0 cal kyr BP) pollen spectra indicate shrub-tundra vegetation. The chironomid fauna is sparse and not diverse. The chironomid-based T-July reconstruction supports similar-as-today temperatures at 6.4-4.4 cal kyr BP. Diatoms were recorded only after about 6.4 cal kyr BP. The Sobo-Sise Yedoma record preserves traces of the West Beringian tundra-steppe that maintained the Mammoth fauna including rare evidence for woolly rhinoceros' presence. Chironomid-based T-July reconstructions complement previous plant-macrofossil based T-July of regional MIS 3 records. Our study from the eastern Lena Delta fits into and extends previous paleo-ecological Yedoma studies to characterize Beringian paleo-environments in the Laptev Sea coastal region.</t>
  </si>
  <si>
    <t>[Wetterich, S.; Nazarova, L.; Wolter, J.; Stoof-Leichsenring, K. R.; Schirrmeister, L.; Fritz, M.] Helmholtz Ctr Polar &amp; Marine Res, Alfred Wegener Inst, Potsdam, Germany; [Rudaya, N.] SB RAS, PaleoData Lab, Inst Archaeol &amp; Ethnog, Novosibirsk, Russia; [Rudaya, N.] Tomsk State Univ, Biol Inst, Tomsk, Russia; [Nazarova, L.] Univ Potsdam, Inst Geosci, Potsdam, Germany; [Nazarova, L.; Palagushkina, O.; Kuznetsova, T.] Kazan Volga Reg Fed Univ, Res Lab Palaeoclimatol, Palaeoecol, Palaeomagnetism, Kazan, Russia; [Syrykh, L.] Herzen State Pedag Univ Russia, Fac Geog, St Petersburg, Russia; [Pavlova, M.] Russian Acad Sci, Melnikov Permafrost Inst, Siberian Branch, Yakutsk, Russia; [Kizyakov, A.] Lomonosov Moscow State Univ, Fac Geog, Dept Cryolithol &amp; Glaciol, Moscow, Russia; [Wolter, J.] Univ Potsdam, Inst Biochem &amp; Biol, Potsdam, Germany; [Kuznetsova, T.] Lomonosov Moscow State Univ, Fac Geol, Dept Paleontol, Moscow, Russia; [Aksenov, A.] Arctic &amp; Antarctic Res Inst, Dept Polar Geog, St Petersburg, Russia; [Aksenov, A.] Petersburg State Univ, Inst Earth Sci, St Petersburg, Russia</t>
  </si>
  <si>
    <t>Helmholtz Association; Alfred Wegener Institute, Helmholtz Centre for Polar &amp; Marine Research; Russian Academy of Sciences; Institute of Archaeology &amp; Ethnography, Siberian Branch of Russian Academy of Sciences; Tomsk State University; University of Potsdam; Kazan Federal University; Herzen State Pedagogical University of Russia; Melnikov Permafrost Institute, Siberian Branch of the RAS; Russian Academy of Sciences; Lomonosov Moscow State University; University of Potsdam; Lomonosov Moscow State University; Arctic &amp; Antarctic Research Institute; Saint Petersburg State University</t>
  </si>
  <si>
    <t>Wetterich, S (corresponding author), Helmholtz Ctr Polar &amp; Marine Res, Alfred Wegener Inst, Potsdam, Germany.</t>
  </si>
  <si>
    <t>sebastian.wetterich@awi.de</t>
  </si>
  <si>
    <t>Kizyakov, Alexander I/L-6727-2015; Nazarova, Larisa/AAP-7185-2020; Fritz, Michael/AAS-4704-2020; Nazarova, Larisa/C-8926-2014; Schirrmeister, Lutz/O-5584-2015; Schirrmeister, Lutz/AGW-0545-2022; Аксенов, Алексей/T-5712-2017; Rudaya, Natalia/B-1622-2012; Wetterich, Sebastian/AAD-6569-2019</t>
  </si>
  <si>
    <t>Kizyakov, Alexander I/0000-0003-4912-1850; Fritz, Michael/0000-0003-4591-7325; Nazarova, Larisa/0000-0003-4145-9689; Schirrmeister, Lutz/0000-0001-9455-0596; Schirrmeister, Lutz/0000-0001-9455-0596; Аксенов, Алексей/0000-0002-4950-4571; Rudaya, Natalia/0000-0003-1536-6470; Wetterich, Sebastian/0000-0001-9234-1192</t>
  </si>
  <si>
    <t>Russian Foundation of Basic Research (RFBR) [18-05-60221]; Deutsche Forschungsgemeinschaft (DFG) [WE4390/7-1, NA760/8-1]; NUNATARYUK project [773421]; European Union's Horizon 2020 research and innovation program [0264-2019-0010]</t>
  </si>
  <si>
    <t>Russian Foundation of Basic Research (RFBR)(Russian Foundation for Basic Research (RFBR)); Deutsche Forschungsgemeinschaft (DFG)(German Research Foundation (DFG)); NUNATARYUK project; European Union's Horizon 2020 research and innovation program(Horizon 2020)</t>
  </si>
  <si>
    <t>This work has been supported by the by the Russian Foundation of Basic Research (RFBR grant No. 18-05-60221 to AK) and the Deutsche Forschungsgemeinschaft (DFG grants No. WE4390/7-1 to SW and NA760/8-1 to LN). NR worked in the frame of project NIR IAET SB RAS No. 0264-2019-0010. MF was supported by the NUNATARYUK project that has received funding from the European Union's Horizon 2020 research and innovation program under grant agreement No. 773421.</t>
  </si>
  <si>
    <t>10.3389/feart.2021.681511</t>
  </si>
  <si>
    <t>TC5ZT</t>
  </si>
  <si>
    <t>WOS:000668722000001</t>
  </si>
  <si>
    <t>Dakwa, FE; Ryan, PG; Dyer, BM; Crawford, RJM; Pistorius, PA; Makhado, AB</t>
  </si>
  <si>
    <t>Dakwa, F. E.; Ryan, P. G.; Dyer, B. M.; Crawford, R. J. M.; Pistorius, P. A.; Makhado, A. B.</t>
  </si>
  <si>
    <t>Long-term variation in the breeding diets of macaroni and eastern rockhopper penguins at Marion Island (1994-2018)</t>
  </si>
  <si>
    <t>AFRICAN JOURNAL OF MARINE SCIENCE</t>
  </si>
  <si>
    <t>Eudyptes chrysolophus; Eudyptes filholi; euphausiids; fish prey; prey composition; Prince Edward Islands; sub-Antarctic</t>
  </si>
  <si>
    <t>PRINCE-EDWARD-ISLANDS; SHRIMP NAUTICARIS-MARIONIS; EUDYPTES-CHRYSOLOPHUS; REPRODUCTIVE-PERFORMANCE; CHRYSOCOME PENGUINS; FORAGING RANGE; SOUTHERN-OCEAN; CLIMATE-CHANGE; RECENT TRENDS; SEABIRD</t>
  </si>
  <si>
    <t>Populations of the macaroni penguin Eudyptes chrysolophus and the eastern rockhopper penguin E. filholi breeding at Marion Island (Prince Edward Islands) in the sub-Antarctic Indian Ocean decreased from 1994 to 2018. We examined their diets when rearing chicks during this period. There was substantial overlap in the diets of the two species, with crustaceans, dominated by the euphausiids Thysanoessa vicina and Euphausia vallentini, making up &gt;80% of the diets by number and &gt;60% by mass over the study period. The lanternfishes Krefftichthys anderssoni and Protomyctophum tenisoni were the most-commonly consumed fish in the diet of breeding macaroni penguins and dominated in their diet in three of the 25 years (1994, 1998 and 2014); they were also the most commonly consumed fish by eastern rockhopper penguins. Macaroni penguins consumed more of the amphipod crustacean Themisto gaudichaudii and the lanternfish Electrona carlsbergi as well as a greater diversity of and larger-sized fish than did eastern rockhopper penguins. The horsefish Zanclorhynchus spinifer was found in substantial amounts in the diet of eastern rockhopper penguins in 1996 and 1997. Despite annual variations in relative prey contributions to the diets, there were no significant long-term changes in the diet of either penguin species over the study period or when compared with an earlier assessment in 1982. We conclude that changes in the relative proportions of prey in the diets of these penguin species during breeding are unlikely to account for the recent declines in these penguin populations.</t>
  </si>
  <si>
    <t>[Dakwa, F. E.; Ryan, P. G.; Pistorius, P. A.; Makhado, A. B.] Univ Cape Town, DSI NRF Ctr Excellence, FitzPatrick Inst African Ornithol, Cape Town, South Africa; [Dakwa, F. E.; Dyer, B. M.; Crawford, R. J. M.; Makhado, A. B.] Dept Forestry Fisheries &amp; Environm DFFE, Cape Town, South Africa; [Pistorius, P. A.] Nelson Mandela Univ, Dept Zool, Port Elizabeth, South Africa</t>
  </si>
  <si>
    <t>University of Cape Town; Nelson Mandela University</t>
  </si>
  <si>
    <t>Dakwa, FE (corresponding author), Univ Cape Town, DSI NRF Ctr Excellence, FitzPatrick Inst African Ornithol, Cape Town, South Africa.;Dakwa, FE (corresponding author), Dept Forestry Fisheries &amp; Environm DFFE, Cape Town, South Africa.</t>
  </si>
  <si>
    <t>fariedakwa.fd@gmail.com</t>
  </si>
  <si>
    <t>Ryan, Peter/0000-0002-3356-2056; Dakwa, Farisayi/0000-0002-5524-8973</t>
  </si>
  <si>
    <t>National Research Foundation through the South African National Antarctic Programme (SANAP) [110720]</t>
  </si>
  <si>
    <t>National Research Foundation through the South African National Antarctic Programme (SANAP)</t>
  </si>
  <si>
    <t>We thank all the overwintering field assistants with the Department of Environment, Forestry and Fisheries (currently known as DFFE) involved in collecting the diet samples over the length of the study period at Marion Island. This project was supported by the National Research Foundation through the South African National Antarctic Programme (SANAP, 110720).</t>
  </si>
  <si>
    <t>1814-232X</t>
  </si>
  <si>
    <t>1814-2338</t>
  </si>
  <si>
    <t>AFR J MAR SCI</t>
  </si>
  <si>
    <t>Afr. J. Mar. Sci.</t>
  </si>
  <si>
    <t>APR 3</t>
  </si>
  <si>
    <t>10.2989/1814232X.2021.1901248</t>
  </si>
  <si>
    <t>TC1ZQ</t>
  </si>
  <si>
    <t>WOS:000662070900001</t>
  </si>
  <si>
    <t>Redfern, CPF</t>
  </si>
  <si>
    <t>Redfern, Chris P. F.</t>
  </si>
  <si>
    <t>Pair bonds during the annual cycle of a long-distance migrant, the Arctic Tern (Sterna paradisaea)</t>
  </si>
  <si>
    <t>AVIAN RESEARCH</t>
  </si>
  <si>
    <t>Arctic Tern; Migration; Pair-bond; Partner association</t>
  </si>
  <si>
    <t>RECONSTRUCTING ANIMAL PATHS; POSTFLEDGING PARENTAL CARE; COMMON TERNS; DIVORCE; MOVEMENTS; MIGRATION; ARRIVAL; BIRDS; MATES</t>
  </si>
  <si>
    <t>BackgroundThe extent to which pairs remain together during the annual cycle is a key question in the behavioural ecology of migratory birds. While a few species migrate and winter as family units, for most the extent to which breeding partners associate in the non-breeding season is unknown. The Arctic Tern (Sterna paradisaea) has one of the longest migrations of any species, and the aim of this study was to establish whether or not partners remain together after breeding.MethodsLeg-mounted geolocators were fitted to breeding pairs of Arctic Terns nesting on the Farne Islands, Northumberland, UK. The devices were recovered for analysis the following year.ResultsAnalysis of data for the six pairs which returned the following year showed that partners departed from the colony at different times after breeding and migrated independently to different Antarctic regions. Partners also departed from the Antarctic and turned to the breeding colony independently. One third of the pairs divorced on return.ConclusionsFor long-distance migrants reliant on unpredictable foraging opportunities, it may not be viable to remain as pairs away from the breeding colony. Synchrony in arrival times at the breeding colony may maximise the chance of retaining a familiar partner, but could be affected by environmental factors in wintering areas or along migration routes.</t>
  </si>
  <si>
    <t>[Redfern, Chris P. F.] Newcastle Univ, Sch Nat &amp; Environm Sci, Newcastle Upon Tyne NE2 4HH, Tyne &amp; Wear, England; [Redfern, Chris P. F.] Great North Museum Hancock, Nat Hist Soc Northumbria, Newcastle Upon Tyne NE2 4PT, Tyne &amp; Wear, England</t>
  </si>
  <si>
    <t>Newcastle University - UK</t>
  </si>
  <si>
    <t>Redfern, CPF (corresponding author), Newcastle Univ, Sch Nat &amp; Environm Sci, Newcastle Upon Tyne NE2 4HH, Tyne &amp; Wear, England.;Redfern, CPF (corresponding author), Great North Museum Hancock, Nat Hist Soc Northumbria, Newcastle Upon Tyne NE2 4PT, Tyne &amp; Wear, England.</t>
  </si>
  <si>
    <t>chris.redfern@newcastle.ac.uk</t>
  </si>
  <si>
    <t>Redfern, Christopher/0000-0002-1833-8048</t>
  </si>
  <si>
    <t>Natural History Society of Northumbria</t>
  </si>
  <si>
    <t>This study was supported by the Natural History Society of Northumbria and the Seabird Group.</t>
  </si>
  <si>
    <t>KEAI PUBLISHING LTD</t>
  </si>
  <si>
    <t>16 DONGHUANGCHENGGEN NORTH ST, Building 5, Room 411, BEIJING, DONGCHENG DISTRICT 100009, PEOPLES R CHINA</t>
  </si>
  <si>
    <t>2053-7166</t>
  </si>
  <si>
    <t>AVIAN RES</t>
  </si>
  <si>
    <t>Avian Res.</t>
  </si>
  <si>
    <t>10.1186/s40657-021-00268-3</t>
  </si>
  <si>
    <t>SW5BX</t>
  </si>
  <si>
    <t>WOS:000664531600002</t>
  </si>
  <si>
    <t>Thompson, AR</t>
  </si>
  <si>
    <t>Thompson, Andrew R.</t>
  </si>
  <si>
    <t>Phagotrophic protists (protozoa) in Antarctic terrestrial ecosystems: diversity, distribution, ecology, and best research practices</t>
  </si>
  <si>
    <t>Antarctic protozoa; Abiotic drivers of protist communities; Phagotrophic soil protists; Protist diversity; Corythion dubium</t>
  </si>
  <si>
    <t>SOIL CILIATES PROTOZOA; N. SP CILIOPHORA; BIOTIC INTERACTIONS; VICTORIA-LAND; EUKARYOTIC DIVERSITY; MOLECULAR PHYLOGENY; DRY VALLEY; COMMUNITIES; BIODIVERSITY; MORPHOLOGY</t>
  </si>
  <si>
    <t>Phagotrophic protists (formerly protozoa) are a highly diverse, polyphyletic grouping of generally unicellular, heterotrophic eukaryotes that are key regulators of the soil microbiome. The biodiversity and ecology of soil phagotrophic protists are still largely uncharacterized, especially in the Antarctic, which possesses some of the harshest terrestrial environments known and potentially many physiologically unique and scientifically interesting species. Antarctic soil systems are also highly limited in terms of moisture, temperature, and carbon, and the resulting reduced biological complexity can facilitate fine-tuned investigation of the drivers and functioning of microbial communities. To facilitate and encourage future research into protist biodiversity and ecology, especially in context of the broader functioning of Antarctic terrestrial communities, I review the biodiversity, distribution, and ecology of Antarctic soil phagotrophic protists. Biodiversity appears to be highly structured by region and taxonomic group, with the Antarctic Peninsula having the highest taxonomic diversity and ciliates (Ciliophora) being the most diverse taxonomic group. However, richness estimates are likely skewed by disproportionate sampling (over half of the studies are from the peninsula), habitat type bias (predominately moss-associated soils), investigator bias (toward ciliates and the testate amoeba morphogroup), and methodological approach (toward cultivation and morphological identification). To remedy these biases, a standardized methodology using both morphological and molecular identification and increased emphasis on microflagellate and naked amoeba morphogroups is needed. Additionally, future research should transition away from biodiversity survey studies to dedicated ecological studies that emphasize the function, ecophysiology, endemicity, dispersal, and impact of abiotic drivers beyond moisture and temperature.</t>
  </si>
  <si>
    <t>[Thompson, Andrew R.] Brigham Young Univ, Dept Biol, 4102 LSB, Provo, UT 84606 USA</t>
  </si>
  <si>
    <t>Brigham Young University</t>
  </si>
  <si>
    <t>Thompson, AR (corresponding author), Brigham Young Univ, Dept Biol, 4102 LSB, Provo, UT 84606 USA.</t>
  </si>
  <si>
    <t>andrew.thompson8956@gmail.com</t>
  </si>
  <si>
    <t>Thompson, Andrew/0000-0003-4523-9245</t>
  </si>
  <si>
    <t>National Science Foundation [OPP-1637708]</t>
  </si>
  <si>
    <t>This research was funded by the National Science Foundation Grant #OPP-1637708 and is a contribution to the McMurdo Dry Valleys Long Term Ecological Research (LTER) program. I would like to thank David Wilkinson, Leonardo D. Fernandez, and an anonymous reviewer for their comments and feedback which greatly improved the quality of this manuscript. I would also like to thank Stuart Bamforth for his introduction to working with Antarctic protists, and Byron Adams for his insight and advice at various stages of this manuscript's development.</t>
  </si>
  <si>
    <t>10.1007/s00300-021-02896-3</t>
  </si>
  <si>
    <t>WOS:000663234200002</t>
  </si>
  <si>
    <t>Glencross, JS; Lavers, JL; Woehler, EJ</t>
  </si>
  <si>
    <t>Glencross, Jacqueline S.; Lavers, Jennifer L.; Woehler, Eric J.</t>
  </si>
  <si>
    <t>A proposed framework for reporting mass mortality (wreck) events of seabirds</t>
  </si>
  <si>
    <t>Ardenna; mortality event; quantitative; seabird; shearwater; standardized reporting; wreck</t>
  </si>
  <si>
    <t>SHORT-TAILED SHEARWATERS; NINO-SOUTHERN-OSCILLATION; EASTERN BERING-SEA; EL-NINO; COAST; MIGRATION; CLIMATE; PETRELS; THREATS</t>
  </si>
  <si>
    <t>There is an absence of quantitative criteria and definitions for unusual or anomalous mortality events involving birds, often referred to as wrecks. These events most commonly involve seabirds, although terrestrial bird wrecks have also been documented. Typically, the peerreviewed literature investigating wreck events lacks the details necessary to further our understanding of the circumstances and potential causes of these events. This study reviewed the peer-reviewed literature for wrecks involving Ardenna seabirds (shearwaters), and included grey literature and data collected by citizen science (community) groups. Our results showed a significant time-lag between wreck events and when the data was published in the peer-reviewed literature, which did not occur in the grey literature. Both the grey and peer-reviewed literature were often skewed towards reporting larger wreck events, with only the citizen science dataset capturing smaller wrecks. We outline a proposed framework for reporting mortality events, including the use of quantitative categories to document the numbers of birds involved and taxon-specific thresholds. In doing so, we aim to establish a framework to aid in the quantitative reporting and analyses of future seabird wrecks.</t>
  </si>
  <si>
    <t>[Glencross, Jacqueline S.; Lavers, Jennifer L.; Woehler, Eric J.] Univ Tasmania, Inst Marine &amp; Antarctic Studies, 20 Castray Esplanade, Battery Point, Tas 7004, Australia; [Woehler, Eric J.] BirdLife Tasmania, GPO Box 68, Hobart, Tas 7001, Australia</t>
  </si>
  <si>
    <t>Lavers, JL (corresponding author), Univ Tasmania, Inst Marine &amp; Antarctic Studies, 20 Castray Esplanade, Battery Point, Tas 7004, Australia.</t>
  </si>
  <si>
    <t>jennifer.lavers@utas.edu.au</t>
  </si>
  <si>
    <t>Glencross, Jacqueline/ABA-2343-2021; Lavers, Jennifer/IWM-5417-2023; Lavers, Jennifer/O-4831-2017</t>
  </si>
  <si>
    <t>Glencross, Jacqueline/0000-0001-8581-5417; Lavers, Jennifer/0000-0001-7596-6588; Woehler, Eric/0000-0002-1125-0748</t>
  </si>
  <si>
    <t>Pacific Seabird Group; BirdLife Tasmania</t>
  </si>
  <si>
    <t>We thank the Pacific Seabird Group and BirdLife Tasmania for funding this project. Comments from two anonymous reviewers improved this article.</t>
  </si>
  <si>
    <t>10.1093/icesjms/fsab046</t>
  </si>
  <si>
    <t>WE2LR</t>
  </si>
  <si>
    <t>WOS:000705457300001</t>
  </si>
  <si>
    <t>Rümmler, MC; Esefeld, J; Pfeifer, C; Mustafa, O</t>
  </si>
  <si>
    <t>Ruemmler, Marie-Charlott; Esefeld, Jan; Pfeifer, Christian; Mustafa, Osama</t>
  </si>
  <si>
    <t>Effects of UAV overflight height, UAV type, and season on the behaviour of emperor penguin adults and chicks</t>
  </si>
  <si>
    <t>REMOTE SENSING APPLICATIONS-SOCIETY AND ENVIRONMENT</t>
  </si>
  <si>
    <t>UAV; Drone; Emperor penguin; Disturbance; Behaviour; Antarctic</t>
  </si>
  <si>
    <t>UNMANNED AERIAL VEHICLES; DRONES; DISTURBANCE; WILDLIFE; ECOLOGY; SHOW</t>
  </si>
  <si>
    <t>The use of unmanned aerial vehicles (UAVs) increased during the last decade worldwide and in the pristine wilderness of the Antarctic continent. They are used by scientists from diverse fields, television and film crews, tourists, and station personnel. To protect Antarctic wildlife from potential disturbance, policy makers and national authorities require scientific information on the vulnerability of such species. Our study provides knowledge on the behavioural reaction to UAV overflights of emperor penguins (Aptenodytes forsteri) during creche and fledge phase. We investigated three main questions: what is the influence of flight height, do two different UAV models (a quadcopter and a fixed-wing UAV) have different effects, and what is the influence of different times during the season. For adult penguins we found no differences between flight heights of 70 m or higher and control situations when flying with the quadcopter. Such a flight height without significant change in reactions in comparison to control could not be found for neither chicks (with both UAV models tested) nor adults during fixed-wing flights. In general, the behavioural reaction to the quadcopter was higher than to the fixed-wing UAV regarding proportions of individuals. The comparison of two times revealed a stronger reaction on the later time (end of December) than on the earlier (mid of November). In general, the reaction was not very intense with only small proportions of individuals changing their behaviour.</t>
  </si>
  <si>
    <t>[Ruemmler, Marie-Charlott; Pfeifer, Christian; Mustafa, Osama] ThINK Thuringian Inst Sustainabil &amp; Climate Prote, Leutragraben 1, D-07743 Jena, Germany; [Esefeld, Jan] Friedrich Schiller Univ Jena, Inst Ecol &amp; Evolut, Jena, Germany</t>
  </si>
  <si>
    <t>Rümmler, MC (corresponding author), ThINK Thuringian Inst Sustainabil &amp; Climate Prote, Leutragraben 1, D-07743 Jena, Germany.</t>
  </si>
  <si>
    <t>marie-charlott.ruemmler@think-jena.de; jan.esefeld@uni-jena.de; christian.pfeifer@think-jena.de; osama.mustafa@think-jena.de</t>
  </si>
  <si>
    <t>Mustafa, Osama/0000-0002-1548-0647; Pfeifer, Christian/0000-0002-9003-5519</t>
  </si>
  <si>
    <t>German Environment Agency [FKZ 3719 18 202 0]; Federal Ministry for the Environment, Nature Conservation and Nuclear Safety</t>
  </si>
  <si>
    <t>German Environment Agency; Federal Ministry for the Environment, Nature Conservation and Nuclear Safety</t>
  </si>
  <si>
    <t>The study was commissioned by the German Environment Agency (FKZ 3719 18 202 0) and funded by the Federal Ministry for the Environment, Nature Conservation and Nuclear Safety. Logistics were provided by the Alfred Wegener Institute, Helmholtz Centre for Polar and Marine Research (AWI). We thank the station personnel of Neumayer Station III, and the members of SPOT and MARE research projects for support during field work. The text was edited during revision by Dr A. J. Davis of English Experience Language Services,Gottingen, Germany.</t>
  </si>
  <si>
    <t>2352-9385</t>
  </si>
  <si>
    <t>REMOTE SENS APPL</t>
  </si>
  <si>
    <t>Remote Sens. Appl.-Soc. Environ.</t>
  </si>
  <si>
    <t>10.1016/j.rsase.2021.100558</t>
  </si>
  <si>
    <t>UD6LM</t>
  </si>
  <si>
    <t>WOS:000687316700002</t>
  </si>
  <si>
    <t>Riera, R; Bourget, J; Håkansson, E; Paumard, V; Wilson, MEJ</t>
  </si>
  <si>
    <t>Riera, Rosine; Bourget, Julien; Hakansson, Eckart; Paumard, Victorien; Wilson, Moyra E. J.</t>
  </si>
  <si>
    <t>Middle Miocene tropical oligotrophic lagoon deposit sheds light on the origin of the Western Australian coral reef province</t>
  </si>
  <si>
    <t>Coral; Reef; Miocene; North West Shelf; Facies; Field Geology</t>
  </si>
  <si>
    <t>NORTHERN CARNARVON BASIN; LARGER BENTHIC FORAMINIFERA; CARBONATE BUILD-UPS; ANTARCTIC ICE-SHEET; SEA-LEVEL; BARRIER-REEF; SEISMIC GEOMORPHOLOGY; CONTINENTAL-MARGIN; NORTHWEST SHELF; LEEUWIN CURRENT</t>
  </si>
  <si>
    <t>The Western Australian margin is a unique coral reef province, with modern coral reef development occurring at latitudes as far south as 29 degrees S. The genesis of this coral reef province may go back to the Oligo-Miocene, since geological features similar to 30 million-year-old and younger interpreted as coral reefs are known from offshore seismic surveys. The nature of these seismic reefs is, however, uncertain, as they are only sparsely sampled, and as time-equivalent outcrops are only present in a few remote and understudied locations. This study investigates middle Miocene shallow-water limestones with tropical fauna formed along the North West Shelf (NWS) between similar to 13 Ma and similar to 15 Ma, when the southward extension of the seismic reefs was at its maximum. The outcrops and cores investigated are dominantly composed of peloidal packstones and micritic floatstones containing larger benthic foraminifera, Halimeda sp. and scleractinian corals, including reef-building genera, that accumulated in a protected and oligotrophic, warm-water lagoonal environment. Climate was therefore warm during the middle Miocene acme of seismic reefs development, despite the NWS being located similar to 7 degrees further south than its present position at that time. Results of this investigation also support the existence of a strong southward flowing Leeuwin-current-style oceanic circulation during the middle Miocene, which could have transported fauna from south-east Asia along the Western Australian margin. Development of the lagoon and seismic reefs may have also been promoted by middle Miocene aridification of the coast bordering the NWS, and by repeated eustatic-driven exposures of the NWS.</t>
  </si>
  <si>
    <t>[Riera, Rosine; Bourget, Julien; Hakansson, Eckart; Paumard, Victorien; Wilson, Moyra E. J.] Univ Western Australia, Ctr Energy Geosci, Sch Earth Sci, 35 Stirling Highway, Perth, WA 6009, Australia; [Riera, Rosine] Norwegian Geotech Inst, Level 7,40 St Georges Terrace, Perth, WA 6000, Australia</t>
  </si>
  <si>
    <t>University of Western Australia; Norwegian Geotechnical Institute, NGI</t>
  </si>
  <si>
    <t>Riera, R (corresponding author), Univ Western Australia, Ctr Energy Geosci, Sch Earth Sci, 35 Stirling Highway, Perth, WA 6009, Australia.;Riera, R (corresponding author), Norwegian Geotech Inst, Level 7,40 St Georges Terrace, Perth, WA 6000, Australia.</t>
  </si>
  <si>
    <t>rosine.riera@ngi.no; julien.bourget@uwa.edu.au; eckart.hakansson@uwa.edu.au; victorien.paumard@uwa.edu.au; moyra.wilson@uwa.edu.au</t>
  </si>
  <si>
    <t>; Wilson, Moyra/C-5151-2015</t>
  </si>
  <si>
    <t>Paumard, Victorien/0000-0001-7606-7293; Wilson, Moyra/0000-0001-5226-7952; Hakansson, Eckart/0000-0002-5045-5586; Riera, Rosine/0000-0002-9179-4330</t>
  </si>
  <si>
    <t>University of Western Australia (UWA); UWA:RM research consortium</t>
  </si>
  <si>
    <t>The authors would like to thank Prof. David Haig (The University of Western Australia), Prof. Gregor Eberli (University of Miami) and Prof. Noel James (Queen's University) for stimulating discussions and advice on palaeoenvironmental interpretations. Tom Wilson, Karl Bischoff and Ulysse Lebrec are thanked for their contribution to field missions, and Mick O'Leary and Josh Bonesso for their help with coral identification. The authors would also like to acknowledge the staff of the Perth Core Library and of the Department of Mines, Industry Regulation and Safety of Western Australia for providing access to stored cores and thin sections. We greatly appreciate the valuable input of two anonymous reviewers and Editor-in-chief Thomas Algeo. This work was carried out as part of RR's PhD and she gratefully acknowledges a Tuition Scholarship and Postgraduate Stipend from the University of Western Australia (UWA) and the Centre for Energy Geoscience (UWA), respectively. The authors would like to thank the industry sponsors of the UWA:RM research consortium for funding part of this research.</t>
  </si>
  <si>
    <t>10.1016/j.palaeo.2021.110501</t>
  </si>
  <si>
    <t>TC2FW</t>
  </si>
  <si>
    <t>WOS:000668458200005</t>
  </si>
  <si>
    <t>Fernandez-Fernandez, JM; Oliva, M; Palacios, D; Garcia-Oteyza, J; Navarro, FJ; Schimmelpfennig, I; Leanni, L</t>
  </si>
  <si>
    <t>Fernandez-Fernandez, Jose M.; Oliva, Marc; Palacios, David; Garcia-Oteyza, Julia; Navarro, Francisco J.; Schimmelpfennig, Irene; Leanni, Laetitia</t>
  </si>
  <si>
    <t>ASTER Team</t>
  </si>
  <si>
    <t>Ice thinning on nunataks during the glacial to interglacial transition in the Antarctic Peninsula region according to Cosmic-Ray Exposure dating: Evidence and uncertainties</t>
  </si>
  <si>
    <t>Antarctica; South Shetland Islands; Hurd Peninsula ice cap; Nunataks; Ice thinning; Nuclide inheritance</t>
  </si>
  <si>
    <t>SOUTH SHETLAND ISLANDS; NUCLIDE PRODUCTION-RATES; WEDDELL SEA EMBAYMENT; SOR-RONDANE MOUNTAINS; KING GEORGE ISLAND; JAMES-ROSS-ISLAND; MARIE-BYRD-LAND; LIVINGSTON ISLAND; DEGLACIAL HISTORY; GEOMORPHOLOGICAL EVIDENCE</t>
  </si>
  <si>
    <t>The small ice caps distributed across the Antarctic Peninsula region have undergone large ice volume changes since the Last Glacial Cycle, in line with most of the Antarctic continent. While the surface extent of glacial shrinking is relatively well known, the timing of glacial oscillations and the magnitude of ice thinning remain little investigated. Cosmic-Ray Exposure (CRE) dating applied on ice-free vertical sequences can provide insights about the temporal framework of glacial oscillations. However, the potential occurrence of nuclide inheritance may overestimate the real timing of the last glacial retreat. This problem has been observed in many areas in Continental Antarctica, but similar studies have not yet been conducted in environments of the Maritime Antarctica, such as the South Shetland Islands (SSI). This research focuses on the Hurd Peninsula ice cap (HPIC, ca. 60 degrees 22' W, 62 degrees 40' S), located in the SW of Livingston Island, SSI. Past climate oscillations since the Last Glacial Cycle have determined the amount of ice stored in the ice cap. Today, this polythermal ice cap is surrounded by several nunataks standing out above the ice. Three of them have been selected to explore their deglaciation history and to test the potential occurrence of nuclide inheritance in deglaciated bedrocks associated with polythermal glaciers. We present a new dataset with 10 Be-10 exposure dates. Some of them were found to be anomalously old, evidencing that nuclide inheritance is present in bedrocks associated with polythermal ice caps and suggesting complex glacial exposure histories. We attribute this to limited erosion, given the gentle slope of the nunatak margins and the cold-based character of the surrounding ice. The remaining samples allowed to approach local surface-elevation changes of the HPIC. Our results suggest that ice thinning started during the Last Glacial Maximum (LGM) at similar to 22 ka but intense glacial shrinking occurred from similar to 18 to similar to 13 ka, when the nunataks became exposed, being particularly intense at the end of this period (similar to 14-13 ka) coinciding with the time of the meltwater pulse 1a (MWP-1a) and the end of the Antarctic Cold Reversal (ACR). (C) 2021 The Authors. Published by Elsevier Ltd.</t>
  </si>
  <si>
    <t>[Fernandez-Fernandez, Jose M.; Oliva, Marc] Univ Lisbon, Inst Geog &amp; Ordenamento Terr IGOT, Rua Branca Edmee Marques, P-1600276 Lisbon, Portugal; [Oliva, Marc; Garcia-Oteyza, Julia] Univ Barcelona, Dept Geog, Barcelona, Spain; [Palacios, David] Univ Complutense Madrid, Dept Geog, Madrid, Spain; [Navarro, Francisco J.] Univ Politecn Madrid, Dept Matemat Aplicada TIC, Madrid, Spain; [Schimmelpfennig, Irene; Leanni, Laetitia] Aix Marseille Univ, CNRS, Coll France, IRD,INRAE,UM CEREGE 34, Aix En Provence, France; [ASTER Team] Consortium Georges Aumaitre, Didier Bourles, Karim Keddadouc, France</t>
  </si>
  <si>
    <t>Universidade de Lisboa; University of Barcelona; Complutense University of Madrid; Universidad Politecnica de Madrid; Centre National de la Recherche Scientifique (CNRS); Universite PSL; College de France; Institut de Recherche pour le Developpement (IRD); INRAE; Aix-Marseille Universite</t>
  </si>
  <si>
    <t>Fernandez-Fernandez, JM (corresponding author), Univ Lisbon, Inst Geog &amp; Ordenamento Terr IGOT, Rua Branca Edmee Marques, P-1600276 Lisbon, Portugal.</t>
  </si>
  <si>
    <t>jmfernandez@edu.ulisboa.pt</t>
  </si>
  <si>
    <t>PALACIOS, DAVID/H-3737-2015; Navarro, Francisco/L-2941-2014; Oliva, Marc/K-5423-2014; Fernández-Fernández, Jose M./H-5801-2017</t>
  </si>
  <si>
    <t>Navarro, Francisco/0000-0002-5147-0067;</t>
  </si>
  <si>
    <t>Fundacao para a Ciencia e a Tecnologia, Portugal [02/SAICT/2017-320 02]; Spanish Ministry of Economy and Competitiveness [CTM201677878P, CTM201784441R, CTM201787976P]; INSU/CNRS; ANR; NUNANTAR project; Ramon y Cajal Program [RYC-2015-17597]; Research Group ANTALP (Antarctic, Arctic, Alpine Environments) [2017SGR1102]</t>
  </si>
  <si>
    <t>Fundacao para a Ciencia e a Tecnologia, Portugal(Fundacao para a Ciencia e a Tecnologia (FCT)); Spanish Ministry of Economy and Competitiveness(Spanish Government); INSU/CNRS(Centre National de la Recherche Scientifique (CNRS)); ANR(Agence Nationale de la Recherche (ANR)); NUNANTAR project; Ramon y Cajal Program(Spanish Government); Research Group ANTALP (Antarctic, Arctic, Alpine Environments)</t>
  </si>
  <si>
    <t>This paper was supported by the projects NUNANTAR (02/SAICT/2017-320 02; Fundaca~o para a Cie&lt;^&gt;ncia e a Tecnologia, Portugal) and CRONOANTAR (CTM201677878P; Spanish Ministry of Economy and Competitiveness) , as well as partial support by project DINGLAC (CTM201784441R) , and complements the research topics examined in the project PALEOGREEN (CTM201787976P; Spanish Ministry of Economy and Competitiveness) . The 10Be measurements were performed at the ASTER AMS national facility (CEREGE, AixenProvence) , which is supported by the INSU/CNRS and the ANR through the Projets th?ematiques d'excellence program for the Equipements d'excellence ASTER-CEREGE action and IRD. Jos?e M. Fern?andezFern?andez coordinated this study funded by a postdoctoral grant supported by the NUNANTAR project. Marc Oliva is supported by the Ram?on y Cajal Program (RYC-2015-17597) and the Research Group ANTALP (Antarctic, Arctic, Alpine Environments; 2017SGR1102) . We also thank the Portuguese and Spanish Polar Committees for logistic support. This research is also framed within the College on Polar and Extreme Environments (Polar2E) of the University of Lisbon. Finally, we are deeply grateful to the two anonymous reviewers, whose comments greatly improved the quality of the earlier manuscript.</t>
  </si>
  <si>
    <t>10.1016/j.quascirev.2021.107029</t>
  </si>
  <si>
    <t>TL1MQ</t>
  </si>
  <si>
    <t>WOS:000674619500008</t>
  </si>
  <si>
    <t>de Almeida, JMB; Gaspar, MB; Castro, M; Rufino, MM</t>
  </si>
  <si>
    <t>de Almeida, Joana M. Bento; Gaspar, Miguel B.; Castro, Margarida; Rufino, Marta M.</t>
  </si>
  <si>
    <t>Influence of wind, rainfall, temperature, and primary productivity, on the biomass of the bivalves Spisula solida, Donax trunculus, Chamelea gallina and Ensis siliqua</t>
  </si>
  <si>
    <t>Bivalves; Biomass fluctuations; Environmental variables; Fisheries</t>
  </si>
  <si>
    <t>RUDITAPES-DECUSSATUS; ALGARVE COAST; RAZOR CLAM; SPATIAL-DISTRIBUTION; REPRODUCTIVE-CYCLE; SOUTHERN PORTUGAL; RECRUITMENT; GROWTH; OCEANOGRAPHY; CHLOROPHYLL</t>
  </si>
  <si>
    <t>Coastal bivalve populations are characterized by large temporal fluctuations, driven by recruitment success dependent on environmental conditions. The present study evaluated the relationship of rainfall, chlorophyll-alpha, sea surface temperature (SST) and wind, with the biomass of four commercial bivalve species (Spisula solida, Donax trunculus, Chamelea gallina and Ensis siliqua) that occur both along the Barlavento (western region), and the Sotavento (eastern region), along the South coast of Portugal, between 1999 and 2011. Multiple regression models were used to test two hypotheses: a) the association between environmental conditions three months prior to the spawning period and the biomass in the following year (response variable) and b) the association between environmental conditions during the spawning season plus one month and the biomass in the following year. Wind was not included in the model to test a). The environmental variables considered were not important for E. siliqua. In the period prior to spawning, temperature was significant for S. solida (both study areas), rain for D. trunculus and C. gallina (western area) and chlorophyll-alpha for C. gallina (western area). All the correlations were positive. During the spawning period, rain was significant for all three species but with different trends. The correlation with rain in months early in the spawning season was positive for S. solida (both areas) and D. trunculus (western area). The correlation with the rain in months towards the end of the spawning period was negative for D. trunculus, and C. gallina (western area). Chlorophyll-alpha in months at later stages of spawning was significant and positive for D. trunculus (both areas) and C. gallina (western area). The wind, expressed as an index developed to indicate the overall occurrence of winds blowing parallel to the coast (assumes to favour the retention of larvae in appropriate environments), was negatively correlated with biomass for mid to late spawning season for S. solida (eastern area) and D. trunculus (western area). For C. gallina there was a positive correlation with wind early in the spawning season. The SST was not an important variable during the spawning period with the exception of D. trunculus where the temperature at mid spawning season was significant with a negative correlation in the western coast and positive in the eastern coast. This study highlighted the annual spatial distribution of four commercially important bivalves and how environmental factors are likely to play an important role on both biomass and location of the fishing beds. Monitoring of the environmental variables could provide information to predict biomasses of bivalve species, an important tool for its management, as well as predict trends and plan strategies in response to global environmental changes.</t>
  </si>
  <si>
    <t>[de Almeida, Joana M. Bento] Univ Algarve, Campus Gambelas, P-8005139 Faro, Portugal; [Gaspar, Miguel B.] Inst Portugues Mar &amp; Atmosfera IPMA IP, Ave 5 Outubro S-N, P-8700305 Olhao, Portugal; [Gaspar, Miguel B.; Castro, Margarida] Univ Algarve, Ctr Ciencias Mar CCMAR, Campus Gambelas, P-8005139 Faro, Portugal; [Rufino, Marta M.] Inst Portugues Mar &amp; Atmosfera IPMA IP, Av Dr Alfredo Magalhaes Ramalho 6, P-1495165 Lisbon, Portugal; [Rufino, Marta M.] Univ Lisbon, CEAUL Ctr Estat &amp; Aplicacoes, Lisbon, Portugal; [de Almeida, Joana M. Bento] Univ Tasmania, IMAS Inst Marine &amp; Antarctic Studies, Hobart, Tas, Australia</t>
  </si>
  <si>
    <t>Universidade do Algarve; Instituto Portugues do Mar e da Atmosfera; Universidade do Algarve; Instituto Portugues do Mar e da Atmosfera; Universidade de Lisboa; University of Tasmania</t>
  </si>
  <si>
    <t>de Almeida, JMB (corresponding author), Univ Algarve, Campus Gambelas, P-8005139 Faro, Portugal.</t>
  </si>
  <si>
    <t>joanabentodealmeida@gmail.com</t>
  </si>
  <si>
    <t>Rufino, Marta M/A-9616-2013; Castro, Margarida/N-1091-2013; Gaspar, Miguel/F-5398-2011</t>
  </si>
  <si>
    <t>Rufino, Marta M/0000-0002-0734-7491; Castro, Margarida/0000-0002-7860-2074; Gaspar, Miguel/0000-0001-9245-8518; Bento de Almeida, Joana Maria/0000-0002-2743-0495</t>
  </si>
  <si>
    <t>10.1016/j.fishres.2021.106044</t>
  </si>
  <si>
    <t>TP2YO</t>
  </si>
  <si>
    <t>WOS:000677461300004</t>
  </si>
  <si>
    <t>Zúñiga, D; Sanchez-Vidal, A; Flexas, MM; Carroll, D; Rufino, MM; Spreen, G; Calafat, A; Abrantes, F</t>
  </si>
  <si>
    <t>Zuniga, D.; Sanchez-Vidal, A.; Flexas, M. M.; Carroll, D.; Rufino, M. M.; Spreen, G.; Calafat, A.; Abrantes, F.</t>
  </si>
  <si>
    <t>Sinking Diatom Assemblages as a Key Driver for Deep Carbon and Silicon Export in the Scotia Sea (Southern Ocean)</t>
  </si>
  <si>
    <t>diatoms; sea ice; marginal ice zone; carbon export; biogenic silicon; scotia sea; southern ocean; corethron pennatum</t>
  </si>
  <si>
    <t>POLAR FRONT REGION; BIOGENIC SILICA; WEDDELL SEA; ANTARCTIC PENINSULA; ATLANTIC SECTOR; SEDIMENT TRAP; DRAKE PASSAGE; ENRICHMENT EXPERIMENTS; PHYTOPLANKTON BLOOM; SEASONAL DYNAMICS</t>
  </si>
  <si>
    <t>Physical and biogeochemical processes in the Southern Ocean are fundamental for modulating global climate. In this context, a process-based understanding of how Antarctic diatoms control primary production and carbon export, and hence global-ocean carbon sequestration, has been identified as a scientific priority. Here we use novel sediment trap observations in combination with a data-assimilative ocean biogeochemistry model (ECCO-Darwin) to understand how environmental conditions trigger diatom ecology in the iron-fertilized southern Scotia Sea. We unravel the role of diatoms assemblage in controlling the biogeochemistry of sinking material escaping from the euphotic zone, and discuss the link between changes in upper-ocean environmental conditions and the composition of settling material exported from the surface to 1,000 m depth from March 2012 to January 2013. The combined analysis of in situ observations and model simulation suggests that an anomalous sea-ice episode in early summer 2012-2013 favored (via restratification due to sea-ice melt) an early massive bloom of Corethron pennatum that rapidly sank to depth. This event drove high biogenic silicon to organic carbon export ratios, while modulating the carbon and nitrogen isotopic signals of sinking organic matter reaching the deep ocean. Our findings highlight the role of diatom ecology in modulating silicon vs. carbon sequestration efficiency, a critical factor for determining the stoichiometric relationship of limiting nutrients in the Southern Ocean.</t>
  </si>
  <si>
    <t>[Zuniga, D.] CSIC, Inst Invest Marinas, Vigo, Spain; [Zuniga, D.; Rufino, M. M.; Abrantes, F.] Portuguese Inst Sea &amp; Atmosphere IPMA, Div Geol &amp; Georecursos Marinhos, Lisbon, Portugal; [Zuniga, D.; Spreen, G.; Abrantes, F.] Univ Algarve, CCMAR Ctr Marine Sci, Faro, Portugal; [Sanchez-Vidal, A.; Calafat, A.] Univ Barcelona, GRC Geociencies Marines, Barcelona, Spain; [Flexas, M. M.] CALTECH, Pasadena, CA 91125 USA; [Carroll, D.] San Jose State Univ, Moss Landing Marine Labs, Moss Landing, CA USA; [Rufino, M. M.] Univ Lisbon, Fac Sci, Ctr Stat &amp; Its Applicat, CEAUL, Lisbon, Portugal; [Spreen, G.] Univ Bremen, Inst Environm Phys, Bremen, Germany</t>
  </si>
  <si>
    <t>Consejo Superior de Investigaciones Cientificas (CSIC); CSIC - Instituto de Investigaciones Marinas (IIM); Instituto Portugues do Mar e da Atmosfera; Universidade do Algarve; University of Barcelona; California Institute of Technology; Moss Landing Marine Laboratories; California State University System; San Jose State University; Universidade de Lisboa; University of Bremen</t>
  </si>
  <si>
    <t>Zúñiga, D (corresponding author), CSIC, Inst Invest Marinas, Vigo, Spain.;Zúñiga, D (corresponding author), Portuguese Inst Sea &amp; Atmosphere IPMA, Div Geol &amp; Georecursos Marinhos, Lisbon, Portugal.;Zúñiga, D (corresponding author), Univ Algarve, CCMAR Ctr Marine Sci, Faro, Portugal.</t>
  </si>
  <si>
    <t>imissons@gmail.com</t>
  </si>
  <si>
    <t>Spreen, Gunnar/A-4533-2010; Flexas, Mar/GOV-3308-2022; Rufino, Marta M/A-9616-2013; Calafat, Antoni/J-5848-2017; Abrantes, Fatima/B-5985-2013; Sanchez-Vidal, Anna/B-6919-2016</t>
  </si>
  <si>
    <t>Spreen, Gunnar/0000-0003-0165-8448; Rufino, Marta M/0000-0002-0734-7491; Calafat, Antoni/0000-0001-7927-3105; Abrantes, Fatima/0000-0002-9110-0212; Sanchez-Vidal, Anna/0000-0002-8209-1959; Flexas, Mar/0000-0002-0617-3004</t>
  </si>
  <si>
    <t>Spanish Polar Program through the Spanish Research and Innovation (I+D+i) National Plan [CTM2009-08287-E/ANT, CTM2011-14056E/ANT]; Catalan Government Grups de Recerca Consolidats Grant [2017 SGR 315]; Jet Propulsion Laboratory; California Institute of Technology; Xunta de Galicia (Spain); FCT-Fundacao para a Ciencia e a Tecnologia [UIDB/04326/2020, PTDC/AAG-GLO/3737/2012]; Deutsche Forschungsgemeinschaft (DFG) [SPP 1158, 365778379]; Fundação para a Ciência e a Tecnologia [PTDC/AAG-GLO/3737/2012] Funding Source: FCT</t>
  </si>
  <si>
    <t>Spanish Polar Program through the Spanish Research and Innovation (I+D+i) National Plan; Catalan Government Grups de Recerca Consolidats Grant; Jet Propulsion Laboratory; California Institute of Technology; Xunta de Galicia (Spain)(Xunta de Galicia); FCT-Fundacao para a Ciencia e a Tecnologia(Fundacao para a Ciencia e a Tecnologia (FCT)); Deutsche Forschungsgemeinschaft (DFG)(German Research Foundation (DFG)); Fundação para a Ciência e a Tecnologia(Fundacao para a Ciencia e a Tecnologia (FCT))</t>
  </si>
  <si>
    <t>This work was funded by the Spanish Polar Program through the Spanish Research and Innovation (I+D+i) National Plan (grant numbers CTM2009-08287-E/ANT and CTM2011-14056E/ANT), and supported by the Catalan Government Grups de Recerca Consolidats Grant (2017 SGR 315) and the Internal Research and Technology Development program of the Jet Propulsion Laboratory, California Institute of Technology. DZ was funded by a postdoctoral fellowship (Plan I2C) from Xunta de Galicia (Spain) and performed diatom analysis during her stay at Instituto Portugu &lt;^&gt;es do Mar e da Atmosfera (IPMA), Lisbon, Portugal. Diatom analysis was sponsored by Portuguese national funding through FCT-Fundacao para a Ciencia e a Tecnologia (UIDB/04326/2020 and DiatBIo PTDC/AAG-GLO/3737/2012 projects). GS was supported by the Deutsche Forschungsgemeinschaft (DFG) in the framework of the priority programme Antarctic Research with comparative investigations in Arctic ice areas SPP 1158 by Grant SITAnt (365778379).</t>
  </si>
  <si>
    <t>JUN 17</t>
  </si>
  <si>
    <t>10.3389/feart.2021.579198</t>
  </si>
  <si>
    <t>TC0OH</t>
  </si>
  <si>
    <t>WOS:000668344200001</t>
  </si>
  <si>
    <t>Campanella, F; Collins, MA; Young, EF; Laptikhovsky, V; Whomersley, P; van der Kooij, J</t>
  </si>
  <si>
    <t>Campanella, Fabio; Collins, Martin A.; Young, Emma F.; Laptikhovsky, Vladimir; Whomersley, Paul; van der Kooij, Jeroen</t>
  </si>
  <si>
    <t>First Insight of Meso- and Bentho-Pelagic Fish Dynamics Around Remote Seamounts in the South Atlantic Ocean</t>
  </si>
  <si>
    <t>seamount; Tristan da Cunha; Maurolicus; bentho-pelagic fishes; Blue Belt; fisheries acoustics; UK Overseas Territories; oceanographic modelling</t>
  </si>
  <si>
    <t>MESOPELAGIC-BOUNDARY COMMUNITY; THUNNUS-ALBACARES; TARGET STRENGTH; YELLOWFIN TUNA; COBB SEAMOUNT; SCOTIA SEA; AGGREGATIONS; ZOOPLANKTON; MICRONEKTON; MIGRATION</t>
  </si>
  <si>
    <t>Seamounts have long been recognised as hotspots for pelagic productivity and diversity in the world's open ocean habitats. Recent studies have suggested that productivity may vary greatly between different seamounts, depending on complex interactions between the bathymetric features and local oceanography. These processes may enhance local primary production which support elevated biomass at higher trophic levels. In addition to enhancing local biomass, seamounts may also act as aggregative features, attracting pelagic species from the surrounding waters. Such characteristics make seamounts attractive targets for fisheries. However, as these unique habitats are localised and relatively small, they are vulnerable to overexploitation, which may have detrimental impact on the wider region. Mapping and quantitative assessments of the fish biomass at different seamounts are crucial prerequisites to identifying vulnerable seamounts and will aid toward understanding the dynamics of these important ecosystems and their vulnerability to fishing pressures. We used fisheries acoustics during two expeditions in 2018 and 2019, to investigate the distribution and abundance of fish and micronekton on and around five little studied seamounts of Tristan da Cunha, a remote archipelago in the South Atlantic Ocean. The results confirmed increased productivity at the seamounts, compared to the surrounding open ocean with higher acoustic backscatter values, a proxy for biomass, particularly at the shallower (200 m depth) seamounts. Fish largely dominated the backscatter on most of the seamounts especially over the plateau areas where large densities of prey fish, primarily the mesopelagic Maurolicus inventionis, were detected. Very large aggregations, thought to consist of benthopelagic fish, were also observed over the slope of McNish Seamount that resulted in very high biomass estimates. Aggregations of this size and magnitude, have, to our knowledge, never been mapped or quantified on seamounts, using acoustic methods. Specific physical processes, such as enhanced retention and vertical mixing that were identified by an oceanographic model, may be some of the drivers of the enhanced fish biomass detected at McNish. The characteristics of the seamounts observed in this work suggest that these habitats are highly suitable for the presence of large predatory fish that can utilise these areas as their primary habitat or as important foraging grounds. Superscript/Subscript Available</t>
  </si>
  <si>
    <t>[Campanella, Fabio; Laptikhovsky, Vladimir; Whomersley, Paul; van der Kooij, Jeroen] Ctr Environm Fisheries &amp; Aquaculture Sci, Lowestoft, Suffolk, England; [Collins, Martin A.; Young, Emma F.] British Antarctic Survey, Cambridge, England</t>
  </si>
  <si>
    <t>Centre for Environment Fisheries &amp; Aquaculture Science; UK Research &amp; Innovation (UKRI); Natural Environment Research Council (NERC); NERC British Antarctic Survey</t>
  </si>
  <si>
    <t>Campanella, F (corresponding author), Ctr Environm Fisheries &amp; Aquaculture Sci, Lowestoft, Suffolk, England.</t>
  </si>
  <si>
    <t>fabio.campanella@cefas.co.uk</t>
  </si>
  <si>
    <t>, Martin/ABE-6728-2020</t>
  </si>
  <si>
    <t>, Martin/0000-0001-7132-8650; Young, Emma/0000-0002-7069-6109</t>
  </si>
  <si>
    <t>UK Government; British Antarctic Survey through the Natural Environment Research Council [NE/R000107/1]; Natural Environment Research Council [NE/R000107/1]; NERC [NE/R000107/1] Funding Source: UKRI</t>
  </si>
  <si>
    <t>UK Government; British Antarctic Survey through the Natural Environment Research Council; Natural Environment Research Council(UK Research &amp; Innovation (UKRI)Natural Environment Research Council (NERC)); NERC(UK Research &amp; Innovation (UKRI)Natural Environment Research Council (NERC))</t>
  </si>
  <si>
    <t>The surveys were funded by the UK Government funded Blue Belt Programme and the British Antarctic Survey through the Natural Environment Research Council (RSS Discovery Survey: Grant NE/R000107/1) NC-ODA project. The participation of EY was funded by the Natural Environment Research Council through award NE/R000107/1. The oceanographic modelling used the ARCHER UK National Supercomputing Service (http://www.archer.ac.uk).</t>
  </si>
  <si>
    <t>10.3389/fmars.2021.663278</t>
  </si>
  <si>
    <t>SV9ZE</t>
  </si>
  <si>
    <t>WOS:000664175800001</t>
  </si>
  <si>
    <t>Fabri-Ruiz, S; Guillaumot, C; Agüera, A; Danis, B; Saucède, T</t>
  </si>
  <si>
    <t>Fabri-Ruiz, Salome; Guillaumot, Charlene; Aguera, Antonio; Danis, Bruno; Saucede, Thomas</t>
  </si>
  <si>
    <t>Using correlative and mechanistic niche models to assess the sensitivity of the Antarctic echinoid Sterechinus neumayeri to climate change</t>
  </si>
  <si>
    <t>Ecological niche model; Dynamic energy budget; Species distribution model</t>
  </si>
  <si>
    <t>SPECIES DISTRIBUTION MODELS; DYNAMIC ENERGY BUDGET; SOUTHERN-OCEAN PHYTOPLANKTON; BIVALVE YOLDIA-EIGHTSI; SEA-URCHIN; ECOLOGICAL NICHE; THERMAL TOLERANCE; SPATIAL AUTOCORRELATION; CONSERVATION PHYSIOLOGY; EMBRYONIC-DEVELOPMENT</t>
  </si>
  <si>
    <t>The Southern Ocean is undergoing rapid environmental changes that are likely to have a profound impact on marine life, as organisms are adapted to sub-zero temperatures and display specific adaptations to polar conditions. However, species ecological and physiological responses to environmental changes remain poorly understood at large spatial scale owing to sparse observation data. In this context, correlative ecological niche modeling (ENMc) can prove useful. This approach is based on the correlation between species occurrences and environmental parameters to predict the potential species occupied space. However, this approach suffers from a series of limitations amongst which extrapolation and poor transferability performances in space and time. Mechanistic ecological niche modeling (ENMm) is a process-based approach that describes species functional traits in a dynamic environmental context and can therefore represent a complementary tool to understand processes that shape species distribution in a changing environment. In this study, we used both ENMc and ENMm projections to model the distribution of the Antarctic echinoid Sterechinus neumayeri. Both models were projected according to present (2005-2012) and future IPCC scenarios RCP 4.5 and 8.5 for (2050-2099). ENMc and ENMm projections are congruent and predict suitable current conditions for the species on the Antarctic shelf, in the Ross Sea and Prydz Bay areas. Unsuitable conditions are predicted in the northern Kerguelen Plateau and South Campbell Plateau due to observed lower food availability and higher sea water temperatures compared to other areas. In contrast, the two models diverge under future RCP 4.5 and 8.5 scenarios. According to ENMm projections, the species would not be able to grow nor reach sexual maturity over the entire ocean, whereas the Antarctic shelf is still projected as suitable by the ENMc. This study highlights the complementarity and relevance of EMN approaches to model large scale distribution patterns and assess species sensitivity and potential response to future environmental conditions.</t>
  </si>
  <si>
    <t>[Fabri-Ruiz, Salome; Guillaumot, Charlene; Saucede, Thomas] Univ Bourgogne Franche Comte, Biogeosci, UMR CNRS 6282, Dijon, France; [Fabri-Ruiz, Salome; Guillaumot, Charlene; Danis, Bruno] Univ Libre Bruxelles, Lab Biol Marine, Brussels, Belgium; [Aguera, Antonio] Austevoll Stn, Inst Marine Res, Sauganeset 16, N-5392 Austevoll, Norway</t>
  </si>
  <si>
    <t>Universite de Bourgogne; Centre National de la Recherche Scientifique (CNRS); CNRS - Institute of Ecology &amp; Environment (INEE); Universite Libre de Bruxelles; Institute of Marine Research - Norway</t>
  </si>
  <si>
    <t>Fabri-Ruiz, S (corresponding author), Univ Bourgogne Franche Comte, Biogeosci, UMR CNRS 6282, Dijon, France.;Fabri-Ruiz, S (corresponding author), Univ Libre Bruxelles, Lab Biol Marine, Brussels, Belgium.</t>
  </si>
  <si>
    <t>salome.fabriruiz@gmail.com</t>
  </si>
  <si>
    <t>Agüera, Antonio/O-5498-2017</t>
  </si>
  <si>
    <t>Agüera, Antonio/0000-0003-0076-1849; Fabri-Ruiz, Salome/0000-0003-1861-8215</t>
  </si>
  <si>
    <t>Belgian Science Policy Office (BELSPO)</t>
  </si>
  <si>
    <t>Belgian Science Policy Office (BELSPO)(Belgian Federal Science Policy Office)</t>
  </si>
  <si>
    <t>This research is, respectively, contribution no. 44 and no. 19 to the vERSO and RECTO projects (http://www.rectoverso projects. be), funded by the Belgian Science Policy Office (BELSPO). We thank Dina Lika for her help for the DEB model validation. We are grateful to Rose Stainthorp and Simon Morley for providing physiological data on Sterechinus neumayeri. We thank the three anonymous reviewers for their thoughtful comments and efforts towards improving our manuscript.</t>
  </si>
  <si>
    <t>10.1007/s00300-021-02886-5</t>
  </si>
  <si>
    <t>WOS:000662865000002</t>
  </si>
  <si>
    <t>Milmann, L; Taguchi, M; Siciliano, S; Baumgarten, JE; Oliveira, LR; Valiati, VH; Goto, M; Ott, PH; Pastene, LA</t>
  </si>
  <si>
    <t>Milmann, Lucas; Taguchi, Mioko; Siciliano, Salvatore; Baumgarten, Julio E.; Oliveira, Larissa R.; Valiati, Victor Hugo; Goto, Mutsuo; Ott, Paulo H.; Pastene, Luis A.</t>
  </si>
  <si>
    <t>New genetic evidences for distinct populations of the common minke whale (Balaenoptera acutorostrata) in the Southern Hemisphere</t>
  </si>
  <si>
    <t>Baleen whales; Conservation biology; Southern oceans; Genetic diversity; 'Dwarf' minke whale; Management units</t>
  </si>
  <si>
    <t>EVOLUTIONARILY-SIGNIFICANT-UNITS; MICROSATELLITE LOCI; CONSERVATION; SOFTWARE; INFERENCE; REGION</t>
  </si>
  <si>
    <t>Two minke whale species are recognized, the Antarctic minke (Balaenoptera bonaerensis) and the cosmopolitan common minke (Balaenoptera acutorostrata) whales. The latter is divided into three subspecies: North Pacific (NP) B. a. scammoni, North Atlantic (NA) B. a. acutorostrata, and the Southern Hemisphere 'dwarf' minke whales B. a. unnamed subsp. Genetic variation of two populations of dwarf common minke whales from the Western South Atlantic (WSA) and Western South Pacific (WSP) was assessed through analysis of mitochondrial DNA (mtDNA) control region sequences (313 bp) and microsatellite DNA (msDNA) (11 loci). For comparative purposes, the mtDNA analysis involved samples of Antarctic minke whales, NP, and NA common minke whales. The msDNA analysis included individuals from the WSA, WSP, and NP. There was no shared mtDNA haplotype among common minke whales, and the mtDNA haplotype phylogeny analyses placed WSA in a different cluster from WSP and closer or within the NA clade. The WSA population exhibited the lowest estimates of diversity for both markers. The estimate of Nei's net nucleotide substitution (d(A)) between WSA and WSP (0.027) was larger than between WSA and NA (0.014) whales. Significant msDNA differences (based on F-ST and D-SW) were found among NP, WSA and WSP, and the pattern of differentiation was similar to that of the mtDNA. Results suggested that the taxonomical status of common minke whales in the Southern Hemisphere should be revised and that regardless of their taxonomical status, dwarf common minke whales from WSA and WSP are unique populations that require separate management for conservation.</t>
  </si>
  <si>
    <t>[Milmann, Lucas; Oliveira, Larissa R.; Ott, Paulo H.] Grp Estudos Mamiferos Aquat Rio Grande do Sul GEM, Rua Bento Got Waives 165,Sala 1002, BR-95560000 Torres, RS, Brazil; [Milmann, Lucas; Baumgarten, Julio E.] Univ Estadual Santa Cruz UESC, Appl Ecol &amp; Conservat Lab, Programa Posgrad Ecol Aplicada Conservacao, Dept Ciencias Biol, Rodovia Jorge Amado,Km 16, BR-45662900 Ilheus, BA, Brazil; [Taguchi, Mioko; Goto, Mutsuo; Pastene, Luis A.] Inst Cetacean Res, Chuo Ku, Toy Cho 4-5, Tokyo 1040055, Japan; [Siciliano, Salvatore] Fundacao Oswaldo Cruz Fiocruz, Av Brasil 4-365, BR-21040900 Manguinho, RJ, Brazil; [Oliveira, Larissa R.] Univ Vale Rio dos Sinos UNISINOS, Lab Ecol Mamiferos, Ave Unisinos 950, BR-93022000 Sao Leopoldo, RS, Brazil; [Valiati, Victor Hugo] Univ Vale Rio dos Sinos UNISINOS, Lab Genet &amp; Biol Mol, Ave Unisinos 950, BR-93022000 Sao Leopoldo, RS, Brazil; [Ott, Paulo H.] Univ Estadual Rio Grande do Sul UERGS, Lab Biodiversidade &amp; Conservacao LABeC, Rua Machado de Assis 1456, BR-95520000 Osorio, RS, Brazil; [Pastene, Luis A.] Ctr Estudios Cuaternario Fuego Patagonia &amp; Antart, Project Microbiomes Bioindicators Aquat Ecosyst H, Punta Arenas, Chile</t>
  </si>
  <si>
    <t>Universidade Estadual de Santa Cruz; Fundacao Oswaldo Cruz; Universidade Estadual do Rio Grande do Sul (UERGS)</t>
  </si>
  <si>
    <t>Milmann, L (corresponding author), Grp Estudos Mamiferos Aquat Rio Grande do Sul GEM, Rua Bento Got Waives 165,Sala 1002, BR-95560000 Torres, RS, Brazil.;Milmann, L (corresponding author), Univ Estadual Santa Cruz UESC, Appl Ecol &amp; Conservat Lab, Programa Posgrad Ecol Aplicada Conservacao, Dept Ciencias Biol, Rodovia Jorge Amado,Km 16, BR-45662900 Ilheus, BA, Brazil.</t>
  </si>
  <si>
    <t>lcmilmann@gmail.com</t>
  </si>
  <si>
    <t>Ott, Paulo Henrique/IWE-1400-2023; baumgarten, julio e/A-5630-2012; Valiati, Victor Hugo/I-4785-2012</t>
  </si>
  <si>
    <t>Milmann, Lucas/0000-0002-6496-6635; Valiati, Victor Hugo/0000-0002-4467-4547</t>
  </si>
  <si>
    <t>Cetacean Society International (CSI), Rufford [24023-1]; Fundacao de Apoio a Pesquisa da Bahia (Fapesb); CNPq (Produtividade em Pesquisa) [306076/2019-5]; INOVA Fiocruz</t>
  </si>
  <si>
    <t>Cetacean Society International (CSI), Rufford; Fundacao de Apoio a Pesquisa da Bahia (Fapesb); CNPq (Produtividade em Pesquisa)(Conselho Nacional de Desenvolvimento Cientifico e Tecnologico (CNPQ)); INOVA Fiocruz</t>
  </si>
  <si>
    <t>This research has been financially supported by Cetacean Society International (CSI), Rufford (Small grant No 24023-1), and Fundacao de Apoio a Pesquisa da Bahia (Fapesb) through a PhD scholarship to the first author. S. Siciliano is supported by CNPq (Produtividade em Pesquisa: 306076/2019-5) and INOVA Fiocruz.</t>
  </si>
  <si>
    <t>10.1007/s00300-021-02897-2</t>
  </si>
  <si>
    <t>WOS:000662865000001</t>
  </si>
  <si>
    <t>Moreira, E; Novillo, M; Mintenbeck, K; Alurralde, G; Barrera-Oro, E; De Troch, M</t>
  </si>
  <si>
    <t>Moreira, Eugenia; Novillo, Manuel; Mintenbeck, Katja; Alurralde, Gaston; Barrera-Oro, Esteban; De Troch, Marleen</t>
  </si>
  <si>
    <t>New insights into the autecology of the two sympatric fish species Notothenia coriiceps and N. rossii from western Antarctic Peninsula: A trophic biomarkers approach</t>
  </si>
  <si>
    <t>Nototheniid fish; Fatty acids; Stable isotopes; Diet; South Shetland Islands; Antarctica</t>
  </si>
  <si>
    <t>SOUTH-SHETLAND ISLANDS; FATTY-ACID COMPOSITION; FOOD-WEB; POTTER COVE; STABLE ISOTOPES; DIETARY OVERLAP; MARINE; ECOLOGY; CARBON; NICHE</t>
  </si>
  <si>
    <t>Biomarker analysis, especially fatty acids (FA) and stable isotopes (SI), has become a useful tool to elucidate the flow of energy and trophic interactions in an ecosystem and to analyse the diet of species that are hard to observe whilst feeding. Herein we compare FA profiles and SI composition (nitrogen, delta N-15 and carbon, delta C-13) of muscle tissue from two sympatric Antarctic fish species-Notothenia rossii and N. coriiceps-that are key components in the inshore ecosystem of the South Shetland Islands. For both nototheniids, potential benthic food sources (algae, amphipods, polychaetes and gastropods) were screened in order to re-evaluate their trophic position (TP) and the energy flow. Significant differences in FA and SI composition between the two fish species were found. Notothenia rossii showed a higher total FA concentration, with high levels of polyunsaturated FA. Conversely, the potential food sources tested showed low concentrations of these FAs. This could indicate that both nototheniids are feeding mainly on another food source or that FA bioconversion takes place. While the FA results might suggest a possible trophic niche segregation between N. rossii and N. coriiceps, both species occupy a similar trophic position. Furthermore, we found a 50-times higher total concentration of monounsaturated FA in N. rossii than in N. coriiceps that can be related to the higher buoyancy capacity of the former. Trophic biomarkers did not elucidate the main prey item as lipid source for N. rossii and N. coriiceps, suggesting that other food sources and potential fatty acid bioconversion should be further investigated.</t>
  </si>
  <si>
    <t>[Moreira, Eugenia; Barrera-Oro, Esteban] Inst Antert Argentino, Av 25 Mayo 1143, San Martin, Buenos Aires, Argentina; [Moreira, Eugenia] UNCPBA, Lab Biol Func &amp; Biotecnol BIOLAB UNCPBA CICBA INB, Fac Agron, Av Republ Italia 780, RA-7300 Buenos Aires, DF, Argentina; [Moreira, Eugenia; Novillo, Manuel; Barrera-Oro, Esteban] Consejo Nacl Invest Cient &amp; Tecn CONICET, RA-2290 Buenos Aires, DF, Argentina; [Novillo, Manuel; Barrera-Oro, Esteban] Museo Argentino Ciencias Nat Bernardino Rivadavia, Div Ictiol, Angel Gallardo 470, Buenos Aires, DF, Argentina; [Mintenbeck, Katja] Alfred Wegener Inst, Integrat Ecophysiol, Handelshafen 12, D-27570 Bremerhaven, Germany; [Alurralde, Gaston] Univ Nacl Cordoba, Dept Diversidad Biol &amp; Ecol, Fac Ciencias Exactas Fis &amp; Nat, Velez Sarsfield 299, Cordoba, Argentina; [Alurralde, Gaston] Consejo Nacl Invest Cient &amp; Tecn CONICET, Inst Diversidad &amp; Ecol Anim IDEA, Av Velez Sarsfield 299, Cordoba, Argentina; [De Troch, Marleen] Univ Ghent, Biol Dept, Marine Biol, Campus Sterre,Krijgslaan 281-S8, B-9000 Ghent, Belgium</t>
  </si>
  <si>
    <t>Consejo Nacional de Investigaciones Cientificas y Tecnicas (CONICET); Museo Argentino de Ciencias Naturales Bernardino Rivadavia (MACN); Helmholtz Association; Alfred Wegener Institute, Helmholtz Centre for Polar &amp; Marine Research; National University of Cordoba; Consejo Nacional de Investigaciones Cientificas y Tecnicas (CONICET); Ghent University</t>
  </si>
  <si>
    <t>Barrera-Oro, E (corresponding author), Inst Antert Argentino, Av 25 Mayo 1143, San Martin, Buenos Aires, Argentina.;Barrera-Oro, E (corresponding author), Consejo Nacl Invest Cient &amp; Tecn CONICET, RA-2290 Buenos Aires, DF, Argentina.;Barrera-Oro, E (corresponding author), Museo Argentino Ciencias Nat Bernardino Rivadavia, Div Ictiol, Angel Gallardo 470, Buenos Aires, DF, Argentina.</t>
  </si>
  <si>
    <t>ebarreraoro1@gmail.com</t>
  </si>
  <si>
    <t>Alurralde, Gastón/IVV-4732-2023</t>
  </si>
  <si>
    <t>Alurralde, Gastón/0000-0002-0332-3978; MOREIRA, EUGENIA/0000-0002-3704-1696; De Troch, Marleen/0000-0002-6800-0299</t>
  </si>
  <si>
    <t>Direccion Nacional del Antartico, Instituto Antartico Argentino [PICTA 0100]; Consejo Nacional de Investigaciones Cientificas y Tecnicas [PIP2017-2019: 11220170100219CO, 2018-8-APN-DIR]; Fondo para la Investigacion Cientifica y Tecnologica [PICT 2018:03310, 401/19]; Marie Curie Action International Research Staff Exchange Scheme (FP7 IRSES) [319718]; Antarctic Wildlife Research Fund: AWR Project 12</t>
  </si>
  <si>
    <t>Direccion Nacional del Antartico, Instituto Antartico Argentino; Consejo Nacional de Investigaciones Cientificas y Tecnicas(Consejo Nacional de Investigaciones Cientificas y Tecnicas (CONICET)); Fondo para la Investigacion Cientifica y Tecnologica; Marie Curie Action International Research Staff Exchange Scheme (FP7 IRSES)(Marie Curie ActionsEuropean Union (EU)); Antarctic Wildlife Research Fund: AWR Project 12</t>
  </si>
  <si>
    <t>This work was supported by grants from Direccion Nacional del Antartico, Instituto Antartico Argentino [Grant number PICTA 0100], Consejo Nacional de Investigaciones Cientificas y Tecnicas [Grant number PIP2017-2019: 11220170100219CO, Resolution 2018-8-APN-DIR#CONICET] and Fondo para la Investigacion Cientifica y Tecnologica [Grant number PICT 2018:03310, Resolution 401/19], Marie Curie Action International Research Staff Exchange Scheme (FP7 IRSES, Action No. 319718) and Antarctic Wildlife Research Fund: AWR Project 12.</t>
  </si>
  <si>
    <t>10.1007/s00300-021-02903-7</t>
  </si>
  <si>
    <t>WOS:000662865000003</t>
  </si>
  <si>
    <t>Gouws, CA; Haussmann, NS; le Roux, PC</t>
  </si>
  <si>
    <t>Gouws, Charne A.; Haussmann, Natalie S.; le Roux, Peter C.</t>
  </si>
  <si>
    <t>Seed trapping or a nurse effect? Disentangling the drivers of fine-scale plant species association patterns in a windy environment</t>
  </si>
  <si>
    <t>Co-occurrence patterns; Cushion plants; Nurse effect; Seed trapping; Wind</t>
  </si>
  <si>
    <t>CUSHION PLANTS; PRIMARY SUCCESSION; AZORELLA-MONANTHA; CLIMATE-CHANGE; HIGH-ANDES; FACILITATION; VEGETATION; SHIFTS; CONSEQUENCES; MICROHABITAT</t>
  </si>
  <si>
    <t>Plant co-occurrence patterns can be driven by both abiotic and biotic conditions. Biotic interactions can affect the co-occurrence of seedlings and adult plants through the nurse effect, a form of facilitation where adult plants create favourable conditions for seedlings. However, other mechanisms, including seed trapping, can also cause the aggregation of seedlings around adult plants, resulting in similar co-occurrence patterns as the nurse effect, but this is yet to be examined. This study, therefore, tests if seed trapping drives co-occurrence patterns of two dominant plant species on sub-Antarctic Marion Island; the grass Agrostismagellanica and the cushion plant Azorellaselago. We compared A.magellanica seed, seedling and reproductive plant densities around A.selago plants, around similarly sized rocks and on the adjacent substrate. The abundance of A.magellanica seeds and seedlings did not differ significantly between different substrate types or direction (reflecting differing wind exposure). The abundance of mature A. magellanica individuals was significantly related to both substrate and wind exposure, although only weakly so. This suggests that neither cushion plants nor rocks trap seeds and that the high densities of A. magellanica observed with A. selago reflect stage-specific facilitation (i.e. improving the growth and/or survival of established plants). However, this is not consistently the case since complementary seed density datasets demonstrated that under some conditions cushion plants do act as seed traps. This study, therefore, highlights the need to explicitly consider the role of both seed dispersal and biotic interactions in plant communities, particularly before inferring nurse effects based on spatial co-occurrence patterns.</t>
  </si>
  <si>
    <t>[Gouws, Charne A.; le Roux, Peter C.] Univ Pretoria, Dept Plant &amp; Soil Sci, Lynnwood Rd, ZA-0002 Hatfield, South Africa; [Haussmann, Natalie S.] Univ Pretoria, Dept Geog Geoinformat &amp; Meteorol, Lynnwood Rd, ZA-0002 Hatfield, South Africa</t>
  </si>
  <si>
    <t>University of Pretoria; University of Pretoria</t>
  </si>
  <si>
    <t>Gouws, CA (corresponding author), Univ Pretoria, Dept Plant &amp; Soil Sci, Lynnwood Rd, ZA-0002 Hatfield, South Africa.</t>
  </si>
  <si>
    <t>gouwscharne@gmail.com; Natalie.Haussmann@up.ac.za; peter.leroux@up.ac.za</t>
  </si>
  <si>
    <t>le Roux, Peter Christiaan/E-7784-2011; Haussmann, Natalie/AFK-4732-2022</t>
  </si>
  <si>
    <t>le Roux, Peter Christiaan/0000-0002-7941-7444; Haussmann, Natalie/0000-0002-0314-0266; Gouws, Charne/0000-0001-5689-1947</t>
  </si>
  <si>
    <t>National Research Foundation's South African National Antarctic Programme [110726]</t>
  </si>
  <si>
    <t>National Research Foundation's South African National Antarctic Programme</t>
  </si>
  <si>
    <t>We thank Morgan Raath-Kruger, Arend de Beer, Janine Schoombie, Jenna van Berkel and Dineo Mogashoa for assisting with data collection. This research was supported by the National Research Foundation's South African National Antarctic Programme (Grant No. 110726) and was conducted under a permit from the Prince Edward Islands Management Committee (PEIMC1/2013). We are especially thankful for the thoughtful comments of Jitka Klimesova and two anonymous reviewers for their comments on an earlier version of this manuscript.</t>
  </si>
  <si>
    <t>10.1007/s00300-021-02898-1</t>
  </si>
  <si>
    <t>WOS:000662865000004</t>
  </si>
  <si>
    <t>Wang, JN; Wang, F; Lu, YY; Ma, Q; Pratt, LJ; Zhang, ZX</t>
  </si>
  <si>
    <t>Wang, Jianing; Wang, Fan; Lu, Youyu; Ma, Qiang; Pratt, Larry J.; Zhang, Zhixiang</t>
  </si>
  <si>
    <t>Pathways, Volume Transport, and Seasonal Variability of the Lower Deep Limb of the Pacific Meridional Overturning Circulation at the Yap-Mariana Junction</t>
  </si>
  <si>
    <t>PMOC; mooring observations; seasonal variability; pathways; transport; Yap-Mariana Junction; Ekman pumping; Rossby waves</t>
  </si>
  <si>
    <t>WATER; WAVES; FLOW</t>
  </si>
  <si>
    <t>The lower deep branch of the Pacific Meridional Overturning Circulation (L-PMOC) is responsible for the deep-water transport from Antarctic to the North Pacific and is a key ingredient in the regulation of global climate through its influence on the storage and residence time of heat and carbon. At the Pacific Yap-Mariana Junction (YMJ), a major gateway for deep-water flowing into the Western Pacific Ocean, we deployed five moorings from 2018 to 2019 in the Eastern, Southern, and Northern Channels in order to explore the pathways and variability of L-PMOC. We have identified three main patterns for L-PMOC pathways. In Pattern 1, the L-PMOC intrudes into the YMJ from the East Mariana Basin (EMB) through the Eastern Channel and then flows northward into the West Mariana Basin (WMB) through the Northern Channel and southward into the West Caroline Basin (WCB) through the Southern Channel. In Pattern 2, the L-PMOC intrudes into the YMJ from both the WCB and the EMB and then flows into the WMB. In Pattern 3, the L-PMOC comes from the WCB and then flows into the EMB and WMB. The volume transports of L-PMOC through the Eastern, Southern, and Northern Channels all exhibit seasonality. During November-April (May-October), the flow pathway conforms to Pattern 1 (Patterns 2 and 3), and the mean and standard deviation of L-PMOC transports are &amp; minus;4.44 +/- 1.26 (&amp; minus;0.30 +/- 1.47), &amp; minus;0.96 +/- 1.13 (1.75 +/- 1.49), and 1.49 +/- 1.31 (1.07 +/- 1.10) Sv in the Eastern, Southern, and Northern Channels, respectively. Further analysis of numerical ocean modeling results demonstrates that L-PMOC transport at the YMJ is forced by a deep pressure gradient between two adjacent basins, which is mainly determined by the sea surface height (SSH) and water masses in the upper 2,000-m layer. The seasonal variability of L-PMOC transport is attributed to local Ekman pumping and westward-propagating Rossby waves. The L-PMOC transport greater than 3,500 m is closely linked to the wind forcing and the upper ocean processes.</t>
  </si>
  <si>
    <t>[Wang, Jianing; Wang, Fan; Ma, Qiang; Zhang, Zhixiang] Chinese Acad Sci, Ctr Ocean Mega Sci, Key Lab Ocean Circulat &amp; Waves, Inst Oceanol, Qingdao, Peoples R China; [Wang, Jianing; Wang, Fan; Ma, Qiang; Zhang, Zhixiang] Pilot Natl Lab Marine Sci &amp; Technol, Lab Ocean &amp; Climate Dynam, Qingdao, Peoples R China; [Wang, Jianing; Wang, Fan] Univ Chinese Acad Sci, Coll Marine Sci, Beijing, Peoples R China; [Lu, Youyu] Fisheries &amp; Oceans Canada, Bedford Inst Oceanog, Dartmouth, NS, Canada; [Pratt, Larry J.] Woods Hole Oceanog Inst, Woods Hole, MA 02543 USA</t>
  </si>
  <si>
    <t>Chinese Academy of Sciences; Institute of Oceanology, CAS; Laoshan Laboratory; Chinese Academy of Sciences; University of Chinese Academy of Sciences, CAS; Bedford Institute of Oceanography; Fisheries &amp; Oceans Canada; Woods Hole Oceanographic Institution</t>
  </si>
  <si>
    <t>Wang, F (corresponding author), Chinese Acad Sci, Ctr Ocean Mega Sci, Key Lab Ocean Circulat &amp; Waves, Inst Oceanol, Qingdao, Peoples R China.;Wang, F (corresponding author), Pilot Natl Lab Marine Sci &amp; Technol, Lab Ocean &amp; Climate Dynam, Qingdao, Peoples R China.;Wang, F (corresponding author), Univ Chinese Acad Sci, Coll Marine Sci, Beijing, Peoples R China.</t>
  </si>
  <si>
    <t>fwang@qdio.ac.cn</t>
  </si>
  <si>
    <t>Zhang, Zhixiang/JHS-8565-2023; Wang, Fan/J-5119-2012; Wang, Jianing/AAI-5661-2020</t>
  </si>
  <si>
    <t>Zhang, Zhixiang/0000-0003-4122-7167; Wang, Fan/0000-0001-5932-7567; Wang, Jianing/0000-0002-8064-8151</t>
  </si>
  <si>
    <t>Strategic Priority Research Program of the Chinese Academy of Sciences [XDA22000000]; National Natural Science Foundation of China [42006003]; Key ResearchProgram of Frontier Sciences, CAS [QYZDBSSWSYS034]; International Partnership Program of CAS [133137KYSB20180056]</t>
  </si>
  <si>
    <t>Strategic Priority Research Program of the Chinese Academy of Sciences(Chinese Academy of Sciences); National Natural Science Foundation of China(National Natural Science Foundation of China (NSFC)); Key ResearchProgram of Frontier Sciences, CAS; International Partnership Program of CAS</t>
  </si>
  <si>
    <t>This study was supported by the Strategic Priority Research Program of the Chinese Academy of Sciences (grant XDA22000000) , the National Natural Science Foundation of China (grants 91958204 and 41776022) , the Key ResearchProgram of Frontier Sciences, CAS (grant QYZDBSSWSYS034) , and the International Partnership Program of CAS (grant 133137KYSB20180056) . FW thanks the support from the National Natural Science Foundation of China (grants 41730534 and 41421005) . QM thanks the support by the National Natural Science Foundation of China (grant 42006003) .</t>
  </si>
  <si>
    <t>10.3389/fmars.2021.672199</t>
  </si>
  <si>
    <t>SW0AB</t>
  </si>
  <si>
    <t>WOS:000664178100001</t>
  </si>
  <si>
    <t>Gray, A; Krolikowski, M; Fretwell, P; Convey, P; Peck, LS; Mendelova, M; Smith, AG; Davey, MP</t>
  </si>
  <si>
    <t>Gray, Andrew; Krolikowski, Monika; Fretwell, Peter; Convey, Peter; Peck, Lloyd S.; Mendelova, Monika; Smith, Alison G.; Davey, Matthew P.</t>
  </si>
  <si>
    <t>Remote Sensing Phenology of Antarctic Green and Red Snow Algae Using WorldView Satellites</t>
  </si>
  <si>
    <t>FRONTIERS IN PLANT SCIENCE</t>
  </si>
  <si>
    <t>snow algae; Antarctica; remote sensing; snow; satellites; WorldView; ecology</t>
  </si>
  <si>
    <t>COMMUNITIES; ICE; CHLOROPHYTA; MICROBES; ISLANDS; IMPACT; MODEL</t>
  </si>
  <si>
    <t>Snow algae are an important group of terrestrial photosynthetic organisms in Antarctica, where they mostly grow in low lying coastal snow fields. Reliable observations of Antarctic snow algae are difficult owing to the transient nature of their blooms and the logistics involved to travel and work there. Previous studies have used Sentinel 2 satellite imagery to detect and monitor snow algal blooms remotely, but were limited by the coarse spatial resolution and difficulties detecting red blooms. Here, for the first time, we use high-resolution WorldView multispectral satellite imagery to study Antarctic snow algal blooms in detail, tracking the growth of red and green blooms throughout the summer. Our remote sensing approach was developed alongside two Antarctic field seasons, where field spectroscopy was used to build a detection model capable of estimating cell density. Global Positioning System (GPS) tagging of blooms and in situ life cycle analysis was used to validate and verify our model output. WorldView imagery was then used successfully to identify red and green snow algae on Anchorage Island (Ryder Bay, 67 degrees S), estimating peak coverage to be 9.48 x 10(4) and 6.26 x 10(4) m(2), respectively. Combined, this was greater than terrestrial vegetation area coverage for the island, measured using a normalized difference vegetation index. Green snow algae had greater cell density and average layer thickness than red blooms (6.0 x 10(4) vs. 4.3 x 10(4) cells ml(-1)) and so for Anchorage Island we estimated that green algae dry biomass was over three times that of red algae (567 vs. 180 kg, respectively). Because the high spatial resolution of the WorldView imagery and its ability to detect red blooms, calculated snow algal area was 17.5 times greater than estimated with Sentinel 2 imagery. This highlights a scaling problem of using coarse resolution imagery and suggests snow algal contribution to net primary productivity on Antarctica may be far greater than previously recognized.</t>
  </si>
  <si>
    <t>[Gray, Andrew; Krolikowski, Monika; Mendelova, Monika; Smith, Alison G.; Davey, Matthew P.] Univ Cambridge, Dept Plant Sci, Cambridge, England; [Gray, Andrew] Univ Edinburgh, Field Spect Environm Res Council, Edinburgh, Midlothian, Scotland; [Fretwell, Peter; Convey, Peter; Peck, Lloyd S.] NERC, British Antarct Survey, Cambridge, England; [Davey, Matthew P.] Scottish Assoc Marine Sci, Oban, Argyll, Scotland</t>
  </si>
  <si>
    <t>University of Cambridge; University of Edinburgh; UK Research &amp; Innovation (UKRI); Natural Environment Research Council (NERC); NERC British Antarctic Survey; UHI Millennium Institute</t>
  </si>
  <si>
    <t>Gray, A (corresponding author), Univ Cambridge, Dept Plant Sci, Cambridge, England.;Gray, A (corresponding author), Univ Edinburgh, Field Spect Environm Res Council, Edinburgh, Midlothian, Scotland.</t>
  </si>
  <si>
    <t>andrew.gray@ed.ac.uk</t>
  </si>
  <si>
    <t>Convey, Peter/AAV-5728-2020</t>
  </si>
  <si>
    <t>Convey, Peter/0000-0001-8497-9903; Davey, Matthew/0000-0002-5220-4174; Gray, Andrew/0000-0003-1145-9741</t>
  </si>
  <si>
    <t>Leverhulme Trust Research Grant [RPG-2017-077]; NERC British Antarctic Survey; Chilean Antarctic Institute INACH; NERC; MAGIC; NERC [NE/V000764/1]</t>
  </si>
  <si>
    <t>Leverhulme Trust Research Grant(Leverhulme Trust); NERC British Antarctic Survey(UK Research &amp; Innovation (UKRI)Natural Environment Research Council (NERC)); Chilean Antarctic Institute INACH; NERC(UK Research &amp; Innovation (UKRI)Natural Environment Research Council (NERC)); MAGIC; NERC(UK Research &amp; Innovation (UKRI)Natural Environment Research Council (NERC))</t>
  </si>
  <si>
    <t>The research expeditions were funded by a Leverhulme Trust Research Grant (RPG-2017-077) and supported by the NERC British Antarctic Survey and the Chilean Antarctic Institute INACH. MD, MK, and AG were supported by the Leverhulme Trust Research Grant (RPG-2017-077). LP, PC, and PF were supported by NERC core funding to the BAS Biodiversity, Evolution and Adaptation Team and MAGIC. This work was currently funded under a NERC Standard Grant (NE/V000764/1).</t>
  </si>
  <si>
    <t>1664-462X</t>
  </si>
  <si>
    <t>FRONT PLANT SCI</t>
  </si>
  <si>
    <t>Front. Plant Sci.</t>
  </si>
  <si>
    <t>JUN 16</t>
  </si>
  <si>
    <t>10.3389/fpls.2021.671981</t>
  </si>
  <si>
    <t>TD3MM</t>
  </si>
  <si>
    <t>Green Published, gold, Green Accepted, Green Submitted</t>
  </si>
  <si>
    <t>WOS:000669235000001</t>
  </si>
  <si>
    <t>Dong, TY; Zhao, SS; Mei, Y; Xie, XQ; Wan, SQ; He, WP</t>
  </si>
  <si>
    <t>Dong, Tianyun; Zhao, Shanshan; Mei, Ying; Xie, Xiaoqiang; Wan, Shiquan; He, Wenping</t>
  </si>
  <si>
    <t>Whether the CMIP5 Models Can Reproduce the Long-Range Correlation of Daily Precipitation?</t>
  </si>
  <si>
    <t>detrended fluctuation analysis; CMIP5; daily precipitation; scaling exponent; long-range correlation</t>
  </si>
  <si>
    <t>SURFACE AIR-TEMPERATURE; DETRENDED FLUCTUATION ANALYSIS; EXTREME PRECIPITATION; FUTURE TEMPERATURE; TERM PERSISTENCE; TIME-SERIES; PART I; CHINA; CLIMATE; 20TH-CENTURY</t>
  </si>
  <si>
    <t>In this study, we investigated the performance of nine CMIP5 models for global daily precipitation by comparing with NCEP data from 1960 to 2005 based on the detrended fluctuation analysis (DFA) method. We found that NCEP daily precipitation exhibits long-range correlation (LRC) characteristics in most regions of the world. The LRC of daily precipitation over the central of North American continent is the strongest in summer, while the LRC of precipitation is the weakest for the equatorial central Pacific Ocean. The zonal average scaling exponents of NCEP daily precipitation are smaller in middle and high latitudes than those in the tropics. The scaling exponents are above 0.9 over the tropical middle and east Pacific Ocean for the year and four seasons. Most CMIP5 models can capture the characteristic that zonal mean scaling exponents of daily precipitation reach the peak in the tropics, and then decrease rapidly with the latitude increasing. The zonal mean scaling exponents simulated by CMCC-CMS, GFDL-ESM2G and IPSL-CM5A-MR show consistencies with those of NCEP, while BCC_CSM1.1(m) and FGOALS-g2 cannot capture the seasonal variations of daily precipitation's LRC. The biases of scaling exponents between CMIP5 models and NCEP are smaller in the high latitudes, and even less than the absolute value of 0.05 in some regions, including Arctic Ocean, Siberian, Southern Ocean and Antarctic. However, for Western Africa, Eastern Africa, Tropical Eastern Pacific and Northern South America, the simulated biases of scaling exponents are greater than the absolute value of 0.05 for the year and all four seasons. In general, the spatial biases of LRC simulated by GFDL-ESM2G, HadGEM2-AO and INM-CM4 are relatively small, which indicating that the LRC characteristics of daily precipitation are well simulated by these models.</t>
  </si>
  <si>
    <t>[Dong, Tianyun; Mei, Ying; Xie, Xiaoqiang; He, Wenping] Sun Yat Sen Univ, Sch Atmospher Sci, Minist Educ, Zhuhai, Peoples R China; [Dong, Tianyun; Mei, Ying; Xie, Xiaoqiang; He, Wenping] Sun Yat Sen Univ, Key Lab Trop Atmosphere Ocean Syst, Minist Educ, Zhuhai, Peoples R China; [Dong, Tianyun; Mei, Ying; Xie, Xiaoqiang; He, Wenping] Southern Marine Sci &amp; Engn Guangdong Lab, Zhuhai, Peoples R China; [Zhao, Shanshan; He, Wenping] Nanjing Univ Informat Sci &amp; Technol, Collaborat Innovat Ctr Forecast &amp; Evaluat Meteoro, Nanjing, Peoples R China; [Zhao, Shanshan] China Meteorol Adm, Natl Climate Ctr, Beijing, Peoples R China; [Wan, Shiquan] Yangzhou Meteorol Off, Yangzhou, Jiangsu, Peoples R China</t>
  </si>
  <si>
    <t>Sun Yat Sen University; Sun Yat Sen University; Southern Marine Science &amp; Engineering Guangdong Laboratory; Nanjing University of Information Science &amp; Technology; China Meteorological Administration</t>
  </si>
  <si>
    <t>He, WP (corresponding author), Sun Yat Sen Univ, Sch Atmospher Sci, Minist Educ, Zhuhai, Peoples R China.;He, WP (corresponding author), Sun Yat Sen Univ, Key Lab Trop Atmosphere Ocean Syst, Minist Educ, Zhuhai, Peoples R China.;He, WP (corresponding author), Southern Marine Sci &amp; Engn Guangdong Lab, Zhuhai, Peoples R China.;He, WP (corresponding author), Nanjing Univ Informat Sci &amp; Technol, Collaborat Innovat Ctr Forecast &amp; Evaluat Meteoro, Nanjing, Peoples R China.</t>
  </si>
  <si>
    <t>wenping_he@163.com</t>
  </si>
  <si>
    <t>National Key R&amp;D Program of China [2016YFA0602703]; National Natural Science Foundation of China [41775092, 41975086, 41905063, 91644225]; Fundamental Research Funds for the Central Universities [20lgzd06]; Guangdong Basic and Applied Basic Research Foundation [2021A1515011428]</t>
  </si>
  <si>
    <t>National Key R&amp;D Program of China; National Natural Science Foundation of China(National Natural Science Foundation of China (NSFC)); Fundamental Research Funds for the Central Universities(Fundamental Research Funds for the Central Universities); Guangdong Basic and Applied Basic Research Foundation</t>
  </si>
  <si>
    <t>This work was funded by National Key R&amp;D Program of China (2016YFA0602703), the National Natural Science Foundation of China (Grant Nos. 41775092, 41975086, 41905063, and 91644225), the Fundamental Research Funds for the Central Universities (Grant No. 20lgzd06), and Guangdong Basic and Applied Basic Research Foundation (No. 2021A1515011428).</t>
  </si>
  <si>
    <t>10.3389/fenvs.2021.656639</t>
  </si>
  <si>
    <t>TB4XS</t>
  </si>
  <si>
    <t>WOS:000667952500001</t>
  </si>
  <si>
    <t>Lindsay, N; Yoon, HK</t>
  </si>
  <si>
    <t>Lindsay, Neil; Yoon, Hong-Key</t>
  </si>
  <si>
    <t>Toponyms on the ice: The symbolic and iconographical role of Antarctic research base names</t>
  </si>
  <si>
    <t>Place names; Antarctica; Research bases; Toponymy; Polar colonialism</t>
  </si>
  <si>
    <t>PLACE-NAMES; POLITICS; GEOPOLITICS; BRITAIN; NATION; MAPS</t>
  </si>
  <si>
    <t>Place names serve a symbolic function in enforcing colonial power over landscapes. Within colonial locales, place names reproduce and reflect the ideological goals of settlers to reinforce or claim space for an individual, group or nation. One toponymically understudied colonial region where place names play a prominent role is the Antarctic, where the names of research bases promote the cultural power of settler nations to symbolically claim the continental landscape. As Antarctica is a geopolitically contested space, Antarctic research base names serve as an ideological purpose in reinforcing claims to the Antarctic, contrasting the ostensibly scientific purpose of research bases. This paper examines Antarctic research base names by categorising and interpreting their naming sources through a critical toponymic lens. This paper discusses general Antarctic naming trends and establishes possible reasons and outcomes of their employment, using three primary arguments: (1) Antarctic research base names are often nationalistic and reflect the implicit geopolitical goals of settler nations, (2) Antarctic research base names reflect and reproduce ongoing polar colonialism and (3) contestation over the naming of Antarctic research bases exemplifies the iconographical and cultural conflict between Antarctic nations. This paper seeks to provoke a future toponymic investigation into Antarctica and study Antarctic cultural landscapes more generally.</t>
  </si>
  <si>
    <t>[Lindsay, Neil; Yoon, Hong-Key] Univ Auckland, Sch Environm, Auckland, New Zealand</t>
  </si>
  <si>
    <t>University of Auckland</t>
  </si>
  <si>
    <t>Lindsay, N (corresponding author), Univ Auckland, Sch Environm, Auckland, New Zealand.</t>
  </si>
  <si>
    <t>nlin064@aucklanduni.ac.nz</t>
  </si>
  <si>
    <t>Lindsay, Neil/0000-0001-8309-0678</t>
  </si>
  <si>
    <t>e22</t>
  </si>
  <si>
    <t>10.1017/S003224742100022X</t>
  </si>
  <si>
    <t>ST8TR</t>
  </si>
  <si>
    <t>WOS:000662711400001</t>
  </si>
  <si>
    <t>Jucker, M; Reichler, T; Waugh, DW</t>
  </si>
  <si>
    <t>Jucker, M.; Reichler, T.; Waugh, D. W.</t>
  </si>
  <si>
    <t>How Frequent Are Antarctic Sudden Stratospheric Warmings in Present and Future Climate?</t>
  </si>
  <si>
    <t>atmospheric dynamics; southern hemisphere; stratosphere-troposphere coupling; sudden stratospheric warming; GLOBAL CHANGE; Climate variability; Climate dynamics; ATMOSPHERIC PROCESSES; Climate change and variability; Stratosphere; troposphere interactions; Stratospheric dynamics; ATMOSPHERIC PROCESSES; Climatology; General circulation; NATURAL HAZARDS; Atmospheric; Climate impact; Disaster risk analysis and assessment</t>
  </si>
  <si>
    <t>VORTEX SPLIT; PART I; MODELS; UNCERTAINTY</t>
  </si>
  <si>
    <t>Southern Hemisphere (SH) stratospheric sudden warmings (SSWs) result in smaller Antarctic ozone holes and are linked to extreme midlatitude weather on subseasonal to seasonal timescales. Therefore, it is of interest how often such events occur and whether we should expect more events in the future. Here, we use a pair of novel multimillennial simulations with a stratosphere-resolving coupled ocean-atmosphere climate model to show that the frequency of SSWs, such as observed 2002 and 2019, is about one in 22 years for 1990 conditions. In addition, we show that we should expect the frequency of SSWs, and that of more moderate vortex weakening events, to strongly decrease by the end of this century.</t>
  </si>
  <si>
    <t>[Jucker, M.] Univ New South Wales, Climate Change Res Ctr, Sydney, NSW, Australia; [Jucker, M.] Australian Res Council Ctr Excellence Climate Ext, Sydney, NSW, Australia; [Reichler, T.] Univ Utah, Dept Atmospher Sci, Salt Lake City, UT USA; [Waugh, D. W.] Johns Hopkins Univ, Dept Earth &amp; Planetary Sci, Baltimore, MD 21218 USA; [Waugh, D. W.] Univ New South Wales, Sch Math &amp; Stat, Sydney, NSW, Australia</t>
  </si>
  <si>
    <t>University of New South Wales Sydney; Utah System of Higher Education; University of Utah; Johns Hopkins University; University of New South Wales Sydney</t>
  </si>
  <si>
    <t>Jucker, M (corresponding author), Univ New South Wales, Climate Change Res Ctr, Sydney, NSW, Australia.;Jucker, M (corresponding author), Australian Res Council Ctr Excellence Climate Ext, Sydney, NSW, Australia.</t>
  </si>
  <si>
    <t>publications@martinjucker.com</t>
  </si>
  <si>
    <t>Jucker, Martin/C-3914-2014; Waugh, Darryn/K-3688-2016</t>
  </si>
  <si>
    <t>Jucker, Martin/0000-0002-4227-315X; Reichler, Thomas/0000-0002-5004-0110; Waugh, Darryn/0000-0001-7692-2798</t>
  </si>
  <si>
    <t>Australian Research Council [FL150100035]; ARC Centre of Excellence for Climate Extremes - Australian Research Council [CE170100023]; NSF grant [1446292]; Div Atmospheric &amp; Geospace Sciences; Directorate For Geosciences [1446292] Funding Source: National Science Foundation</t>
  </si>
  <si>
    <t>Australian Research Council(Australian Research Council); ARC Centre of Excellence for Climate Extremes - Australian Research Council; NSF grant(National Science Foundation (NSF)); Div Atmospheric &amp; Geospace Sciences; Directorate For Geosciences(National Science Foundation (NSF)NSF - Directorate for Geosciences (GEO))</t>
  </si>
  <si>
    <t>M. Jucker was supported by the Australian Research Council grant ARC grant FL150100035 and the ARC Centre of Excellence for Climate Extremes which is supported by the Australian Research Council via grant CE170100023. T. Reichler acknowledges support from NSF grant 1446292. The authors also acknowledge the Center for High Performance Computing at the University of Utah and the National Computational Infrastructure in Canberra for providing compute infrastructure and computing time. All authors contributed to conceptualization, methodology, and writing of the original draft. T. Reichler provided the GCM simulations and M. Jucker performed the formal analysis.</t>
  </si>
  <si>
    <t>e2021GL093215</t>
  </si>
  <si>
    <t>10.1029/2021GL093215</t>
  </si>
  <si>
    <t>SV1AN</t>
  </si>
  <si>
    <t>WOS:000663558200010</t>
  </si>
  <si>
    <t>Legrand, M; Weller, R; Preunkert, S; Jourdain, B</t>
  </si>
  <si>
    <t>Legrand, M.; Weller, R.; Preunkert, S.; Jourdain, B.</t>
  </si>
  <si>
    <t>Ammonium in Antarctic Aerosol: Marine Biological Activity Versus Long-Range Transport of Biomass Burning</t>
  </si>
  <si>
    <t>ammonium; Antarctic; aerosol black carbon; biomass burning et marine biota; oxalate; potassium</t>
  </si>
  <si>
    <t>SIZE-SEGREGATED AEROSOL; SEA-SALT-SULFATE; BLACK CARBON; ICE-CORE; CONCORDIA SITE; CHEMISTRY; EMISSIONS; RECORDS; OCEAN; CYCLE</t>
  </si>
  <si>
    <t>Year-round records of the ionic composition of Antarctic aerosol were obtained at the inland Dome C (DC) and coastal Neumayer (NM) sites, with additional observations of black carbon (BC) at NM. Discussions focus on the origin of ammonium in Antarctica. This first Antarctic atmospheric study of several species emitted by biomass burning (BB) indicates that BC and oxalate reach a maximum in October in relation to BB activity in the southern hemisphere. Ammonium reaches a maximum 2 months later, suggesting that BB remains a minor ammonium source there. The ammonium maximum in December coincides with the occurrence of diatom blooms in the austral ocean, suggesting that oceanic ammonia emissions are the main source of ammonium in Antarctica. The ammonium to sulfur-derived biogenic species molar ratio of 0.15 in summer suggests far lower ammonia emissions from the Antarctic oceans than midlatitude southern oceans.</t>
  </si>
  <si>
    <t>[Legrand, M.; Preunkert, S.; Jourdain, B.] Univ Grenoble Alpes, CNRS, Inst Geosci Environm IGE, Grenoble, France; [Legrand, M.] Univ Paris, Univ Paris Est Creteil, Inst Pierre Simon Laplace IPSL, LISA Lab Interuniv Syst Atmospher, Creteil, France; [Weller, R.] Alfred Wegener Inst, Helmholtz Zentrum Polar &amp; Meeresforsch, Bremerhaven, Germany</t>
  </si>
  <si>
    <t>Centre National de la Recherche Scientifique (CNRS); Communaute Universite Grenoble Alpes; Universite Grenoble Alpes (UGA); Universite Paris-Est-Creteil-Val-de-Marne (UPEC); Universite Paris Cite; Helmholtz Association; Alfred Wegener Institute, Helmholtz Centre for Polar &amp; Marine Research</t>
  </si>
  <si>
    <t>Legrand, M (corresponding author), Univ Grenoble Alpes, CNRS, Inst Geosci Environm IGE, Grenoble, France.;Legrand, M (corresponding author), Univ Paris, Univ Paris Est Creteil, Inst Pierre Simon Laplace IPSL, LISA Lab Interuniv Syst Atmospher, Creteil, France.</t>
  </si>
  <si>
    <t>michel.legrand@lisa.ipsl.fr</t>
  </si>
  <si>
    <t>Rolf, Weller/0000-0003-4880-5572</t>
  </si>
  <si>
    <t>Institut Polaire Francais-Paul Emile Victor [903]; INSU (CNRS); German Science Foundation (DFG); European Community STEP program (Polar Atmospheric Chemistry project)</t>
  </si>
  <si>
    <t>Institut Polaire Francais-Paul Emile Victor; INSU (CNRS)(Centre National de la Recherche Scientifique (CNRS)); German Science Foundation (DFG)(German Research Foundation (DFG)); European Community STEP program (Polar Atmospheric Chemistry project)</t>
  </si>
  <si>
    <t>Financial support and field logistic supplies for Concordia campaign were provided by the Institut Polaire Francais-Paul Emile Victor through program no. 903. This study was done in the framework of the French environmental observation service CESOA (Etude du cycle atmospherique du Soufre en relation avec le climat aux moyennes et hautes latitudes Sud) with the financial support of INSU (CNRS). The authors acknowledge funding of the air chemical NM Observatory program by the German Science Foundation (DFG) and financial support from the European Community STEP program (Polar Atmospheric Chemistry project). The authors would like to thank the many people of the Concordia and Neumayer overwintering crews, whose outstanding commitment enabled achieving continuous, high-quality aerosol records over many years. The authors also thank Celia Alves who performed EC measurements on DC filters and the reviewers whose comments greatly improved the manuscript.</t>
  </si>
  <si>
    <t>e2021GL092826</t>
  </si>
  <si>
    <t>10.1029/2021GL092826</t>
  </si>
  <si>
    <t>WOS:000663558200006</t>
  </si>
  <si>
    <t>Shadwick, EH; De Meo, OA; Schroeter, S; Arroyo, MC; Martinson, DG; Ducklow, H</t>
  </si>
  <si>
    <t>Shadwick, E. H.; De Meo, O. A.; Schroeter, S.; Arroyo, M. C.; Martinson, D. G.; Ducklow, H.</t>
  </si>
  <si>
    <t>Sea Ice Suppression of CO2 Outgassing in the West Antarctic Peninsula: Implications For The Evolving Southern Ocean Carbon Sink</t>
  </si>
  <si>
    <t>DISSOLVED INORGANIC CARBON; SURFACE OCEAN; TIME-SERIES; RYDER BAY; SEASONAL CYCLE; PRYDZ BAY; VARIABILITY; CLIMATE; FLUXES; DISTRIBUTIONS</t>
  </si>
  <si>
    <t>The Southern Ocean plays an important role in the uptake of atmospheric CO2. In seasonally ice-covered regions, estimates of air-sea exchange remain uncertain in part because of a lack of observations outside the summer season. Here we present new estimates of air-sea CO2 flux in the West Antarctic Peninsula (WAP) from an autonomous mooring on the continental shelf. In summer, the WAP is a sink for atmospheric CO2 followed by a slow return to atmospheric equilibrium in autumn and winter. Outgassing is almost entirely suppressed by ice cover from June through October, resulting in a modest net annual CO2 sink. Model projections indicate sea ice formation will occur later in the season in the coming decades potentially weakening the net oceanic CO2 sink. Interannual variability in the WAP is significant, highlighting the importance of sustained observations of air-sea exchange in this rapidly changing region of the Southern Ocean. Plain Language Summary The Southern Ocean absorbs a considerable amount of carbon dioxide from the atmosphere and plays an important role in regulating climate on Earth. Ice covered regions of the Southern Ocean are difficult to access and observations are often limited to the ice-free summer season. Here we present new observations over a full 12 month period from a mooring on the continental shelf of the West Antarctic Peninsula (WAP). The observations indicate that the WAP absorbs carbon dioxide in the summer season, while the presence of sea ice in winter prevents that carbon from being released back to the atmosphere. Over the next few decades less sea ice is expected to form and this may lead to a weakening of the carbon dioxide uptake in the WAP region.</t>
  </si>
  <si>
    <t>[Shadwick, E. H.; Schroeter, S.] CSIRO Oceans &amp; Atmosphere, Hobart, Tas, Australia; [Shadwick, E. H.] Univ Tasmania, Australian Antarctic Program Partnership, Inst Marine &amp; Antarctic Studies, Hobart, Tas, Australia; [Shadwick, E. H.] Ctr Southern Hemisphere Oceans Res, Hobart, Tas, Australia; [De Meo, O. A.; Arroyo, M. C.] Virginia Inst Marine Sci, Coll William &amp; Mary, Gloucester Point, VA 23062 USA; [Martinson, D. G.; Ducklow, H.] Columbia Univ, Lamont Doherty Geol Observ, Palisades, NY 10964 USA</t>
  </si>
  <si>
    <t>Commonwealth Scientific &amp; Industrial Research Organisation (CSIRO); University of Tasmania; William &amp; Mary; Virginia Institute of Marine Science; Columbia University</t>
  </si>
  <si>
    <t>Shadwick, EH (corresponding author), CSIRO Oceans &amp; Atmosphere, Hobart, Tas, Australia.;Shadwick, EH (corresponding author), Univ Tasmania, Australian Antarctic Program Partnership, Inst Marine &amp; Antarctic Studies, Hobart, Tas, Australia.;Shadwick, EH (corresponding author), Ctr Southern Hemisphere Oceans Res, Hobart, Tas, Australia.</t>
  </si>
  <si>
    <t>elizabeth.shadwick@csiro.au</t>
  </si>
  <si>
    <t>Schroeter, Serena/0000-0002-8963-3044; Arroyo, Mar/0000-0002-9794-5750</t>
  </si>
  <si>
    <t>US National Science Foundation [OPP-1543380, PLR-1440435]; Center for Southern Hemisphere Oceans Research (CSHOR); Commonwealth Scientific and Industrial Research Organisation (CSIRO); Qingdao National Laboratory for Marine Science; Australian Antarctic Program Partnership through the Australian Government's Antarctic Science Collaboration Initiative</t>
  </si>
  <si>
    <t>US National Science Foundation(National Science Foundation (NSF)); Center for Southern Hemisphere Oceans Research (CSHOR); Commonwealth Scientific and Industrial Research Organisation (CSIRO)(Commonwealth Scientific &amp; Industrial Research Organisation (CSIRO)); Qingdao National Laboratory for Marine Science; Australian Antarctic Program Partnership through the Australian Government's Antarctic Science Collaboration Initiative</t>
  </si>
  <si>
    <t>The mooring was deployed and recovered on the Palmer Long-Term Ecological Research (PAL-LTER) cruises on the R.V. Laurence M Gould. The mooring was designed and constructed in collaboration with Rich Iannuzzi and we are grateful for his wisdom and patience. We thank Debbie Steinberg for her mentorship and assistance with the administration of the project and Stephane Thanassekos for his work with the deployment and recovery of earlier iterations of the mooring. This research was supported by the US National Science Foundation through awards OPP-1543380 and PLR-1440435; the Center for Southern Hemisphere Oceans Research (CSHOR), a partnership between the Commonwealth Scientific and Industrial Research Organisation (CSIRO) and the Qingdao National Laboratory for Marine Science; and the Australian Antarctic Program Partnership through the Australian Government's Antarctic Science Collaboration Initiative.</t>
  </si>
  <si>
    <t>e2020GL091835</t>
  </si>
  <si>
    <t>10.1029/2020GL091835</t>
  </si>
  <si>
    <t>WOS:000663558200030</t>
  </si>
  <si>
    <t>Wang, SY; Liu, JP; Cheng, X; Kerzenmacher, T; Hu, YY; Hui, FM; Braesicke, P</t>
  </si>
  <si>
    <t>Wang, Shaoyin; Liu, Jiping; Cheng, Xiao; Kerzenmacher, Tobias; Hu, Yongyun; Hui, Fengming; Braesicke, Peter</t>
  </si>
  <si>
    <t>How Do Weakening of the Stratospheric Polar Vortex in the Southern Hemisphere Affect Regional Antarctic Sea Ice Extent?</t>
  </si>
  <si>
    <t>Antarctic sea ice; stratospheric polar vortex; Amundsen Sea Low; stratosphere-troposphere coupling; sudden stratospheric warmings</t>
  </si>
  <si>
    <t>WEST ANTARCTICA; VARIABILITY; CLIMATE; TROPOSPHERE</t>
  </si>
  <si>
    <t>In the Southern Hemisphere, variability of the stratospheric polar vortex is an important driver of surface climate. In this study, we explore the influence of weakening and strengthening of the polar vortex on regional Antarctic sea ice in observations and model simulations. We propose a two-stage mechanism that translates stratospheric harbingers to sea ice changes: (a) it starts with polar vortex variability that is highly correlated with the Amundsen Sea Low (ASL); through modulation of the ASL and thus surface winds, (b) weak polar vortex leads to statistically significant decrease of sea ice over the Ross Sea and increase of sea ice around the Antarctic Peninsula, and vice versa. The two-stage mechanism can be detected in observations and state-of-the-art model simulations, confirming a robust chain of response. This study underlines the importance of stratosphere-troposphere coupling on the Antarctic sea ice variability and its seasonal predictability.</t>
  </si>
  <si>
    <t>[Wang, Shaoyin; Cheng, Xiao; Hui, Fengming] Sun Yat Sen Univ, Sch Geospatial Engn &amp; Sci, Zhuhai, Peoples R China; [Wang, Shaoyin; Cheng, Xiao; Hui, Fengming] Southern Marine Sci &amp; Engn Guangdong Lab Zhuhai, Zhuhai, Peoples R China; [Wang, Shaoyin; Cheng, Xiao; Hui, Fengming] Univ Corp Polar Res, Zhuhai, Peoples R China; [Liu, Jiping] SUNY Albany, Dept Atmospher &amp; Environm Sci, Albany, NY 12222 USA; [Kerzenmacher, Tobias; Braesicke, Peter] Karlsruhe Inst Technol, Inst Meteorol &amp; Climate Res, Karlsruhe, Germany; [Hu, Yongyun] Peking Univ, Sch Phys, Dept Atmospher &amp; Ocean Sci, Beijing, Peoples R China</t>
  </si>
  <si>
    <t>Sun Yat Sen University; Southern Marine Science &amp; Engineering Guangdong Laboratory; Southern Marine Science &amp; Engineering Guangdong Laboratory (Zhuhai); State University of New York (SUNY) System; State University of New York (SUNY) Albany; Helmholtz Association; Karlsruhe Institute of Technology; Peking University</t>
  </si>
  <si>
    <t>Wang, SY (corresponding author), Sun Yat Sen Univ, Sch Geospatial Engn &amp; Sci, Zhuhai, Peoples R China.;Wang, SY (corresponding author), Southern Marine Sci &amp; Engn Guangdong Lab Zhuhai, Zhuhai, Peoples R China.;Wang, SY (corresponding author), Univ Corp Polar Res, Zhuhai, Peoples R China.</t>
  </si>
  <si>
    <t>wangshy96@mail.sysu.edu.cn</t>
  </si>
  <si>
    <t>Hu, Yongyun/B-6786-2016; Kerzenmacher, Tobias/AGN-7243-2022; Braesicke, Peter/D-8330-2016</t>
  </si>
  <si>
    <t>Hu, Yongyun/0000-0002-4003-4630; Kerzenmacher, Tobias/0000-0001-8413-0539; Braesicke, Peter/0000-0003-1423-0619; Wang, Shaoyin/0000-0003-4742-4719</t>
  </si>
  <si>
    <t>National Key R&amp;D Program of China [2018YFA0605901]; National Natural Science Foundation of China [41830536]</t>
  </si>
  <si>
    <t>National Key R&amp;D Program of China; National Natural Science Foundation of China(National Natural Science Foundation of China (NSFC))</t>
  </si>
  <si>
    <t>We thank two anonymous reviewers for their valuable and constructive comments. This research was supported by the National Key R&amp;D Program of China (2018YFA0605901) and the National Natural Science Foundation of China (41830536).</t>
  </si>
  <si>
    <t>e2021GL092582</t>
  </si>
  <si>
    <t>10.1029/2021GL092582</t>
  </si>
  <si>
    <t>SV1AR</t>
  </si>
  <si>
    <t>WOS:000663558600024</t>
  </si>
  <si>
    <t>Labrousse, S; Fraser, AD; Sumner, M; Le Manach, F; Sauser, C; Horstmann, I; Devane, E; Delord, K; Jenouvrier, S; Barbraud, C</t>
  </si>
  <si>
    <t>Labrousse, Sara; Fraser, Alexander D.; Sumner, Michael; Le Manach, Frederic; Sauser, Christophe; Horstmann, Isabella; Devane, Eileen; Delord, Karine; Jenouvrier, Stephanie; Barbraud, Christophe</t>
  </si>
  <si>
    <t>Landfast ice: a major driver of reproductive success in a polar seabird</t>
  </si>
  <si>
    <t>BIOLOGY LETTERS</t>
  </si>
  <si>
    <t>emperor penguin; sea ice; breeding success; climate window analysis; nonlinear effect</t>
  </si>
  <si>
    <t>SEA-ICE; BREEDING SUCCESS; EMPEROR PENGUIN; CLIMATE-CHANGE; VARIABILITY; DYNAMICS; TRENDS; ISLAND</t>
  </si>
  <si>
    <t>In a fast-changing world, polar ecosystems are threatened by climate variability. Understanding the roles of fine-scale processes, and linear and nonlinear effects of climate factors on the demography of polar species is crucial for anticipating the future state of these fragile ecosystems. While the effects of sea ice on polar marine top predators are increasingly being studied, little is known about the impacts of landfast ice (LFI) on this species community. Based on a unique 39-year time series of satellite imagery and in situ meteorological conditions and on the world's longest dataset of emperor penguin (Aptenodytes forsteri) breeding parameters, westudied the effects of fine-scale variability of LFI and weather conditions onthisspecies' reproductive success. We found that longer distances to the LFI edge (i.e. foraging areas) negatively affected the overall breeding success but also the fledging success. Climate window analyses suggested that chick mortality was particularly sensitive to LFI variability between August and November. Snowfall in May also affected hatching success. Given the sensitivity of LFI to storms and changes in wind direction, important future repercussions on the breeding habitat of emperor penguins are to be expected in the context of climate change.</t>
  </si>
  <si>
    <t>[Labrousse, Sara] UPMC Univ, Sorbonne Univ, Paris 06, LOCEAN IPSL,UMR 7159, F-75005 Paris, France; [Labrousse, Sara; Horstmann, Isabella; Devane, Eileen; Jenouvrier, Stephanie] Woods Hole Oceanog Inst, Dept Biol, Woods Hole, MA 02543 USA; [Fraser, Alexander D.] Univ Tasmania, Inst Marine &amp; Antarctic Studies, Australian Antarctic Program Partnership, Hobart, Tas 7001, Australia; [Fraser, Alexander D.] Univ Tasmania, Inst Marine &amp; Antarctic Studies, Hobart, Tas 7001, Australia; [Sumner, Michael] Australian Antarctic Div, Kingston, Tas 7050, Australia; [Le Manach, Frederic] BLOOM, 62 Bis Ave Parmentier, F-75011 Paris, France; [Sauser, Christophe; Delord, Karine; Barbraud, Christophe] CNRS, UMR 7372, Ctr Etud Biol Chize CEBC, F-79360 Villiers En Bois, France</t>
  </si>
  <si>
    <t>Museum National d'Histoire Naturelle (MNHN); Sorbonne Universite; Centre National de la Recherche Scientifique (CNRS); CNRS - National Institute for Earth Sciences &amp; Astronomy (INSU); Woods Hole Oceanographic Institution; University of Tasmania; University of Tasmania; Australian Antarctic Division; Centre National de la Recherche Scientifique (CNRS); CNRS - Institute of Ecology &amp; Environment (INEE)</t>
  </si>
  <si>
    <t>Labrousse, S (corresponding author), UPMC Univ, Sorbonne Univ, Paris 06, LOCEAN IPSL,UMR 7159, F-75005 Paris, France.;Labrousse, S (corresponding author), Woods Hole Oceanog Inst, Dept Biol, Woods Hole, MA 02543 USA.</t>
  </si>
  <si>
    <t>sara.labrousse@gmail.com</t>
  </si>
  <si>
    <t>Fraser, Alexander/AFO-7186-2022; Sumner, Michael D/J-3478-2013; Barbraud, Christophe/A-5870-2012</t>
  </si>
  <si>
    <t>Fraser, Alexander/0000-0003-1924-0015; Barbraud, Christophe/0000-0003-0146-212X</t>
  </si>
  <si>
    <t>WHOI's postdoctoral scholar award; NSF [1744794, 1643901]; AAD; Australian Government's Antarctic Science Collaboration Initiative Program; Australian Research Council's Special Research Initiative for Antarctic Gateway Partnership [SR140300001]; Foundation BNP Paribas; ExPe; IPEV [109]; Office of Polar Programs (OPP); Directorate For Geosciences [1643901, 1744794] Funding Source: National Science Foundation</t>
  </si>
  <si>
    <t>WHOI's postdoctoral scholar award; NSF(National Science Foundation (NSF)); AAD; Australian Government's Antarctic Science Collaboration Initiative Program; Australian Research Council's Special Research Initiative for Antarctic Gateway Partnership(Australian Research Council); Foundation BNP Paribas; ExPe; IPEV; Office of Polar Programs (OPP); Directorate For Geosciences(National Science Foundation (NSF)NSF - Directorate for Geosciences (GEO))</t>
  </si>
  <si>
    <t>This work was supported by ExPe and IPEV program 109, WHOI's postdoctoral scholar award, NSF awards 1744794 and 1643901, the AAD, the Australian Government's Antarctic Science Collaboration Initiative Program and the Australian Research Council's Special Research Initiative for Antarctic Gateway Partnership (Project ID SR140300001). This study is a contribution to the Project SENSEI funded by Foundation BNP Paribas.</t>
  </si>
  <si>
    <t>1744-9561</t>
  </si>
  <si>
    <t>1744-957X</t>
  </si>
  <si>
    <t>BIOL LETTERS</t>
  </si>
  <si>
    <t>Biol. Lett.</t>
  </si>
  <si>
    <t>10.1098/rsbl.2021.0097</t>
  </si>
  <si>
    <t>Biology; Ecology; Evolutionary Biology</t>
  </si>
  <si>
    <t>Life Sciences &amp; Biomedicine - Other Topics; Environmental Sciences &amp; Ecology; Evolutionary Biology</t>
  </si>
  <si>
    <t>SW0GD</t>
  </si>
  <si>
    <t>Bronze, Green Submitted, Green Published</t>
  </si>
  <si>
    <t>WOS:000664194000001</t>
  </si>
  <si>
    <t>Takahashi, Y; Kamata, A; Konishi, T</t>
  </si>
  <si>
    <t>Takahashi, Yoshinori; Kamata, Akira; Konishi, Tatsuya</t>
  </si>
  <si>
    <t>Dipeptidyl peptidase-IV inhibitory peptides derived from salmon milt and their effects on postprandial blood glucose level</t>
  </si>
  <si>
    <t>FISHERIES SCIENCE</t>
  </si>
  <si>
    <t>Salmon milt peptides; DPP-IV inhibitory peptides; Ile-Pro; Postprandial hypoglycaemic suppression; Sprague-Dawley rats; Oral starch tolerance test</t>
  </si>
  <si>
    <t>ANGIOTENSIN-CONVERTING ENZYME; BIOACTIVE PEPTIDES; ANTARCTIC KRILL; SKIN GELATIN; IDENTIFICATION; PURIFICATION; HYDROLYSATE; DIGESTION; SALAR</t>
  </si>
  <si>
    <t>The hydrolysate of Oncorhynchus keta (chum salmon) milt was found to exhibit strong inhibitory activity against dipeptidyl peptidase-IV (DPP-IV), and the hypoglycaemic effect of these salmon milt peptides (SMPs) was confirmed using oral starch tolerance tests in Sprague-Dawley rats. Specifically, the oral administration of SMPs at a dose of 300 mg/kg body weight for 1 week resulted in a significant decrease in the blood glucose level of the rats 60 min after starch consumption compared with the control. The bioassay-guided separation of SMPs, using a combination of column chromatographic techniques, led to the identification of 12 active di-, tri- and tetrapeptides, including four novel DPP-IV inhibitory peptides, namely Phe-Pro-Val-Gly, Leu-Pro-Val-Leu, Val-Pro-Phe-Pro and Ile-Pro-Leu. Among these 12 peptides, Ile-Pro contributed the most (1.3%) to the total DPP-IV inhibitory activity of SMPs. Therefore, SMPs may have the potential to be used as a suppressor of postprandial hyperglycaemia and to be considered a promising functional food material for the prevention of type II diabetes.</t>
  </si>
  <si>
    <t>[Takahashi, Yoshinori; Kamata, Akira; Konishi, Tatsuya] Maruha Nichiro Corp, Cent Res Inst, 16-2 Wadai, Tsukuba, Ibaraki 3004295, Japan</t>
  </si>
  <si>
    <t>yo-takahashi@maruha-nichiro.co.jp; a-kamata@maruha-nichiro.co.jp; t-konishi@maruha-nichiro.co.jp</t>
  </si>
  <si>
    <t>Takahashi, Yoshinori/0000-0002-5811-6175; Konishi, Tatsuya/0000-0001-8878-5786</t>
  </si>
  <si>
    <t>SPRINGER JAPAN KK</t>
  </si>
  <si>
    <t>TOKYO</t>
  </si>
  <si>
    <t>SHIROYAMA TRUST TOWER 5F, 4-3-1 TORANOMON, MINATO-KU, TOKYO, 105-6005, JAPAN</t>
  </si>
  <si>
    <t>0919-9268</t>
  </si>
  <si>
    <t>1444-2906</t>
  </si>
  <si>
    <t>FISHERIES SCI</t>
  </si>
  <si>
    <t>Fish. Sci.</t>
  </si>
  <si>
    <t>10.1007/s12562-021-01530-9</t>
  </si>
  <si>
    <t>TI0JO</t>
  </si>
  <si>
    <t>WOS:000662134000001</t>
  </si>
  <si>
    <t>Moallemi, A; Landwehr, S; Robinson, C; Simó, R; Zamanillo, M; Chen, G; Baccarini, A; Schnaiter, M; Henning, S; Modini, RL; Gysel-Beer, M; Schmale, J</t>
  </si>
  <si>
    <t>Moallemi, Alireza; Landwehr, Sebastian; Robinson, Charlotte; Simo, Rafel; Zamanillo, Marina; Chen, Gang; Baccarini, Andrea; Schnaiter, Martin; Henning, Silvia; Modini, Robin L.; Gysel-Beer, Martin; Schmale, Julia</t>
  </si>
  <si>
    <t>Sources, Occurrence and Characteristics of Fluorescent Biological Aerosol Particles Measured Over the Pristine Southern Ocean</t>
  </si>
  <si>
    <t>Atmospheric aerosols; bioaerosols; fluorescent aerosols; marine aerosols; sea spray aerosols; Southern Ocean</t>
  </si>
  <si>
    <t>SEA SPRAY AEROSOL; CLOUD CONDENSATION NUCLEI; ICE NUCLEI; AIRBORNE OBSERVATIONS; MARINE AEROSOLS; ORGANIC-MATTER; BIOAEROSOL; FOREST; DISTRIBUTIONS; MICROSCOPY</t>
  </si>
  <si>
    <t>In this study, we investigate the occurrence of primary biological aerosol particles (PBAP) over all sectors of the Southern Ocean (SO) based on a 90-day data set collected during the Antarctic Circumnavigation Expedition (ACE) in austral summer 2016-2017. Super-micrometer PBAP (1-16 mu m diameter) were measured by a wide band integrated bioaerosol sensor (WIBS-4). Low (3 sigma) and high (9 sigma) fluorescence thresholds are used to obtain statistics on fluorescent and hyper-fluorescent PBAP, respectively. Our focus is on data obtained over the pristine ocean, that is, more than 200 km away from land. The results indicate that (hyper-)fluorescent PBAP are correlated to atmospheric variables associated with sea spray aerosol (SSA) particles (wind speed, total super-micrometer aerosol number concentration, chloride and sodium concentrations). This suggests that a main source of PBAP over the SO is SSA. The median percentage contribution of fluorescent and hyper-fluorescent PBAP to super-micrometer SSA was 1.6% and 0.13%, respectively. We demonstrate that the fraction of (hyper-)fluorescent PBAP to total super-micrometer particles positively correlates with concentrations of bacteria and several taxa of pythoplankton measured in seawater, indicating that marine biota concentrations modulate the PBAP source flux. We investigate the fluorescent properties of (hyper-)fluorescent PBAP for several events that occurred near land masses. We find that the fluorescence signal characteristics of particles near land is much more variable than over the pristine ocean. We conclude that the source and concentration of fluorescent PBAP over the open ocean is similar across all sampled sectors of the SO.</t>
  </si>
  <si>
    <t>[Moallemi, Alireza; Landwehr, Sebastian; Chen, Gang; Baccarini, Andrea; Modini, Robin L.; Gysel-Beer, Martin; Schmale, Julia] Paul Scherrer Inst, Lab Atmospher Chem, Villigen, Switzerland; [Landwehr, Sebastian; Baccarini, Andrea; Schmale, Julia] Ecole Polytech Fed Lausanne, Extreme Environm Res Lab, Sch Architecture Civil &amp; Environm Engn, Lausanne, Switzerland; [Robinson, Charlotte] Curtin Univ, Remote Sensing &amp; Satellite Res Grp, Bentley, WA, Australia; [Simo, Rafel; Zamanillo, Marina] Inst Ciencies Mar CSIC, Barcelona, Spain; [Schnaiter, Martin] Karlsruher Inst Technol, Inst Meteorol &amp; Klimaforsch, Karlsruhe, Germany; [Schnaiter, Martin] SchnaiTEC GmbH, Bruchsal, Germany; [Henning, Silvia] Leibniz Inst Tropospher Res Expt Aerosol &amp; Cloud, Leipzig, Germany</t>
  </si>
  <si>
    <t>Swiss Federal Institutes of Technology Domain; Paul Scherrer Institute; Swiss Federal Institutes of Technology Domain; Ecole Polytechnique Federale de Lausanne; Curtin University; Consejo Superior de Investigaciones Cientificas (CSIC); CSIC - Centro Mediterraneo de Investigaciones Marinas y Ambientales (CMIMA); CSIC - Instituto de Ciencias del Mar (ICM); Helmholtz Association; Karlsruhe Institute of Technology; Leibniz Institut fur Tropospharenforschung (TROPOS)</t>
  </si>
  <si>
    <t>Modini, RL; Schmale, J (corresponding author), Paul Scherrer Inst, Lab Atmospher Chem, Villigen, Switzerland.;Schmale, J (corresponding author), Ecole Polytech Fed Lausanne, Extreme Environm Res Lab, Sch Architecture Civil &amp; Environm Engn, Lausanne, Switzerland.</t>
  </si>
  <si>
    <t>robin.modini@psi.ch; julia.schmale@epfl.ch</t>
  </si>
  <si>
    <t>Schnaiter, Martin/A-2370-2013; Schmale, Julia Yvonne/Q-3942-2019; baccarini, andrea/R-7251-2018; Modini, Rob/AAF-6036-2019; Henning, Silvia/C-1114-2014; Gysel-Beer, Martin/C-3843-2008; Chen, Gang (Ian)/AAB-5536-2019</t>
  </si>
  <si>
    <t>Schnaiter, Martin/0000-0002-9560-8072; Schmale, Julia Yvonne/0000-0002-1048-7962; baccarini, andrea/0000-0003-4614-247X; Modini, Rob/0000-0002-2982-1369; Henning, Silvia/0000-0001-9267-7825; Gysel-Beer, Martin/0000-0002-7453-1264; Chen, Gang (Ian)/0000-0002-1507-4622; Zamanillo, Marina/0000-0002-0753-4748; Simo, Rafel/0000-0003-3276-7663; Landwehr, Sebastian/0000-0003-2622-577X</t>
  </si>
  <si>
    <t>Swiss Polar Institute; Ferring Pharmaceuticals; European FP7 project BAC-CHUS [49603445]; cost action of Chemical On-Line cOmpoSition and Source Apportionment of fine aerosol (COLOSSAL) [CA16109]; COST related project of the Swiss National Science Foundation, Source apportionment using long-term Aerosol Mass Spectrometry and Aethalometer Measurements (SAMSAM) [IZCOZ0_177063]; Swiss Data Science Center project [c17-02]; Swiss National Science Foundation [200021_169090]; ERC [ERCCoG-615922-BLACARAT]; Australian Research Council [ARC DP160103387]; Ingvar Kamprad Chair; Swiss National Science Foundation (SNF) [IZCOZ0_177063, 200021_169090] Funding Source: Swiss National Science Foundation (SNF)</t>
  </si>
  <si>
    <t>Swiss Polar Institute; Ferring Pharmaceuticals(Ferring Pharmaceuticals); European FP7 project BAC-CHUS; cost action of Chemical On-Line cOmpoSition and Source Apportionment of fine aerosol (COLOSSAL); COST related project of the Swiss National Science Foundation, Source apportionment using long-term Aerosol Mass Spectrometry and Aethalometer Measurements (SAMSAM); Swiss Data Science Center project; Swiss National Science Foundation(Swiss National Science Foundation (SNSF)); ERC(European Research Council (ERC)); Australian Research Council(Australian Research Council); Ingvar Kamprad Chair; Swiss National Science Foundation (SNF)(Swiss National Science Foundation (SNSF))</t>
  </si>
  <si>
    <t>The authors acknowledge funding for ACE-SPACE, ACE-SORPASSO by the Swiss Polar Institute, and Ferring Pharmaceuticals. ACE-SPACE was carried out with additional support from the European FP7 project BAC-CHUS (Grant Agreement 49603445). Gang Chen received funding from the cost action of Chemical On-Line cOmpoSition and Source Apportionment of fine aerosol (COLOSSAL, CA16109), a COST related project of the Swiss National Science Foundation, Source apportionment using long-term Aerosol Mass Spectrometry and Aethalometer Measurements (SAMSAM, IZCOZ0_177063). Sebastian Landwehr received funding from the Swiss Data Science Center project c17-02. Andrea Baccarin received funding from the Swiss National Science Foundation (Grant 200021_169090). Julia Schmale holds the Ingvar Kamprad Chair. Martin Gysel-Beer received funding from the ERC under Grant ERCCoG-615922-BLACARAT. Charlotte Robinson received funding from the Australian Research Council (Grand ARC DP160103387). The authors thank Iris Thurnherr and Heini Wernli for providing back trajectory information and Yaiza Castillo for assistance with microorganism counts.</t>
  </si>
  <si>
    <t>e2021JD034811</t>
  </si>
  <si>
    <t>10.1029/2021JD034811</t>
  </si>
  <si>
    <t>SV1AG</t>
  </si>
  <si>
    <t>WOS:000663557500038</t>
  </si>
  <si>
    <t>Parker, SJ; Sundby, S; Stevens, D; Di Blasi, D; Schiaparelli, S; Ghigliotti, L</t>
  </si>
  <si>
    <t>Parker, Steven J.; Sundby, Svein; Stevens, Darren; Di Blasi, Davide; Schiaparelli, Stefano; Ghigliotti, Laura</t>
  </si>
  <si>
    <t>Buoyancy of post-fertilised Dissostichus mawsoni eggs and implications for early life history</t>
  </si>
  <si>
    <t>FISHERIES OCEANOGRAPHY</t>
  </si>
  <si>
    <t>Antarctic toothfish; ascent rate; barcoding; recruitment; Ross Sea; sea ice; vertical distribution</t>
  </si>
  <si>
    <t>COD GADUS-MORHUA; TERRA-NOVA BAY; ANTARCTIC TOOTHFISH; SEA-ICE; VERTICAL-DISTRIBUTION; FISH EGGS; PLEURAGRAMMA-ANTARCTICUM; PATAGONIAN TOOTHFISH; OCEAN; SILVERFISH</t>
  </si>
  <si>
    <t>Gametes from gravid Antarctic toothfish (Dissostichus mawsoni) were combined in vitro and buoyancy measurements were made on fertilised eggs during early development. Eggs were strongly positively buoyant, indicating that they would ascend quickly in the water column and reside near or in association with the underside of sea ice, which covers most of the spawning habitat during winter. An association with sea ice may provide: protection from the turbulence of ice-free surface waters, a mechanism that modifies the velocity of advection by surface currents, and a habitat with a concentrated planktonic food source during spring months. An association with sea ice would also create spatial differences in egg advection patterns for eggs produced spanning a large geographic area. The effects of climate change on sea ice formation and melting patterns, or fishery-induced changes in the spatial density of adults could then influence juvenile advection patterns and influence survival.</t>
  </si>
  <si>
    <t>[Parker, Steven J.] Natl Inst Water &amp; Atmospher Res, POB 893, Nelson, New Zealand; [Sundby, Svein] Inst Marine Res, Bergen, Norway; [Stevens, Darren] Natl Inst Water &amp; Atmospher Res, Wellington, New Zealand; [Di Blasi, Davide; Ghigliotti, Laura] CNR, IAS, Genoa, Italy; [Schiaparelli, Stefano] CNR, DISTAV, Genoa, Italy; [Schiaparelli, Stefano] Univ Genoa, Italian Natl Antarctic Museum MNA, Sect Genoa, Genoa, Italy</t>
  </si>
  <si>
    <t>National Institute of Water &amp; Atmospheric Research (NIWA) - New Zealand; Institute of Marine Research - Norway; National Institute of Water &amp; Atmospheric Research (NIWA) - New Zealand; Consiglio Nazionale delle Ricerche (CNR); Istituto per lo Studio degli Impatti Antropici Sostenibilita in Ambiente Marino (IAS-CNR); Consiglio Nazionale delle Ricerche (CNR); University of Genoa</t>
  </si>
  <si>
    <t>Parker, SJ (corresponding author), Natl Inst Water &amp; Atmospher Res, POB 893, Nelson, New Zealand.</t>
  </si>
  <si>
    <t>steve.parker@niwa.co.nz</t>
  </si>
  <si>
    <t>Di Blasi, Davide/AAV-5937-2021; Sundby, Svein/AGB-4853-2022</t>
  </si>
  <si>
    <t>Sundby, Svein/0000-0002-0815-9740; Ghigliotti, Laura/0000-0003-2139-1381; Di Blasi, Davide/0000-0003-3623-8507; Schiaparelli, Stefano/0000-0002-0137-3605; Stevens, Darren/0000-0002-2302-8335</t>
  </si>
  <si>
    <t>New Zealand Ministry for Primary Industries [ANT201501]; PNRA [2015/B1.02]; TNB-CODE</t>
  </si>
  <si>
    <t>New Zealand Ministry for Primary Industries; PNRA; TNB-CODE</t>
  </si>
  <si>
    <t>New Zealand Ministry for Primary Industries, Grant/Award Number: ANT201501; PNRA, Grant/Award Number: 2015/B1.02 and TNB-CODE</t>
  </si>
  <si>
    <t>1054-6006</t>
  </si>
  <si>
    <t>1365-2419</t>
  </si>
  <si>
    <t>FISH OCEANOGR</t>
  </si>
  <si>
    <t>Fish Oceanogr.</t>
  </si>
  <si>
    <t>10.1111/fog.12552</t>
  </si>
  <si>
    <t>Fisheries; Oceanography</t>
  </si>
  <si>
    <t>UZ8CC</t>
  </si>
  <si>
    <t>WOS:000661974400001</t>
  </si>
  <si>
    <t>Yang, LJ; Gao, YS; Xu, QB; Huang, T; Yang, WQ; Chu, ZD; Wang, YH; Wang, JJ; Sun, LG; Xie, ZQ</t>
  </si>
  <si>
    <t>Yang, Lianjiao; Gao, Yuesong; Xu, Qibin; Huang, Tao; Yang, Wenqing; Chu, Zhuding; Wang, Yuhong; Wang, Jianjun; Sun, Liguang; Xie, Zhouqing</t>
  </si>
  <si>
    <t>Specific occupation of penguins under Neoglacial cooling on the Scott Coast, Antarctica</t>
  </si>
  <si>
    <t>Penguins; Climate change; Neoglacial; Ross sea</t>
  </si>
  <si>
    <t>ROSS SEA REGION; NORTHERN VICTORIA LAND; ADELIE-PENGUIN; ORNITHOGENIC SEDIMENTS; CLIMATE-CHANGE; ARDLEY ISLAND; ICE; POPULATIONS; VARIABILITY; CALIBRATION</t>
  </si>
  <si>
    <t>Drastic climate change is widely believed to threaten the ecological security of penguins. Previous studies have concluded that penguins on the Scott Coast, southern Ross Sea, disappeared from similar to 2000 yr BP; two opposite hypotheses of cooling and warming have been proposed for the disappearance. Here, by identifying penguin guano and remains such as eggshell fragments, bones and feathers in a sediment profile from Dunlop Island, we found that this island was not abandoned at similar to 2000 yr BP. In addition, sedimentological evidence from Cape Ross deduced the permanent snow/ice cover at similar to 1700 yr BP, which is consistent with a Neoglacial cooling period on the Scott Coast. We suggest that Neoglacial cooling caused the widespread abandonment of penguin colonies on the Scott Coast, by the increased coastal sea ice and/or snow/ice accumulation. However, penguins persisted at particular localities due to specific topographical or oceanic conditions shielding them from the impacts of snow and ice. (C) 2021 Elsevier Ltd. All rights reserved.</t>
  </si>
  <si>
    <t>[Yang, Lianjiao; Gao, Yuesong; Xu, Qibin; Yang, Wenqing; Chu, Zhuding; Wang, Yuhong; Sun, Liguang; Xie, Zhouqing] Univ Sci &amp; Technol China, Inst Polar Environm, Dept Environm Sci &amp; Engn, Hefei 230026, Anhui, Peoples R China; [Yang, Lianjiao; Gao, Yuesong; Xu, Qibin; Yang, Wenqing; Chu, Zhuding; Wang, Yuhong; Sun, Liguang; Xie, Zhouqing] Univ Sci &amp; Technol China, Anhui Key Lab Polar Environm &amp; Global Change, Dept Environm Sci &amp; Engn, Hefei 230026, Anhui, Peoples R China; [Huang, Tao] Anhui Univ, Sch Resources &amp; Environm Engn, Hefei 230601, Anhui, Peoples R China; [Wang, Jianjun] Minist Nat Resources, Inst Oceanog 3, Key Lab Global Change &amp; Marine Atmospher Chem, Xiamen, Peoples R China</t>
  </si>
  <si>
    <t>Chinese Academy of Sciences; University of Science &amp; Technology of China, CAS; Chinese Academy of Sciences; University of Science &amp; Technology of China, CAS; Anhui University; Third Institute of Oceanography, Ministry of Natural Resources; Ministry of Natural Resources of the People's Republic of China</t>
  </si>
  <si>
    <t>Sun, LG; Xie, ZQ (corresponding author), Univ Sci &amp; Technol China, Inst Polar Environm, Dept Environm Sci &amp; Engn, Hefei 230026, Anhui, Peoples R China.;Sun, LG; Xie, ZQ (corresponding author), Univ Sci &amp; Technol China, Anhui Key Lab Polar Environm &amp; Global Change, Dept Environm Sci &amp; Engn, Hefei 230026, Anhui, Peoples R China.;Wang, JJ (corresponding author), Minist Nat Resources, Inst Oceanog 3, Key Lab Global Change &amp; Marine Atmospher Chem, Xiamen, Peoples R China.</t>
  </si>
  <si>
    <t>wangjianjun@tio.org.cn; slg@ustc.edu.cn; zqxie@ustc.edu.cn</t>
  </si>
  <si>
    <t>Wang, Yu/GZL-9655-2022; Gao, Yuesong/GRE-7726-2022; Yang, Wenqing/F-7026-2011</t>
  </si>
  <si>
    <t>Yang, Wenqing/0000-0002-6007-0647; Xu, Qibin/0009-0000-9936-8056</t>
  </si>
  <si>
    <t>National Natural Science Foundation of China (NSFC) [41930532]; National Key R&amp;D Program of the MOST of China [2018YFC1406905]; NSFC [41906191, 42006185]; China Postdoctoral Science Foundation [2019M662173]; NSF of the United States [ANT-0739575]</t>
  </si>
  <si>
    <t>National Natural Science Foundation of China (NSFC)(National Natural Science Foundation of China (NSFC)); National Key R&amp;D Program of the MOST of China; NSFC(National Natural Science Foundation of China (NSFC)); China Postdoctoral Science Foundation(China Postdoctoral Science Foundation); NSF of the United States</t>
  </si>
  <si>
    <t>This study was funded by National Natural Science Foundation of China (NSFC) (No. 41930532), the National Key R&amp;D Program of the MOST of China (2018YFC1406905), NSFC (No. 41906191, 42006185) and the China Postdoctoral Science Foundation (2019M662173). The field work was funded by NSF of the United States (ANT-0739575). The authors are grateful to the Chinese Arctic and Antarctic Administration, Polar Research Institute of China, the United States Antarctic Program (USAP) and Raytheon Polar Services for logistical support. We also thank S.D. Emslie for comments on the manuscript; S.D. Emslie, J. Smykla and L. Coats for their valuable assistance in the field. Sample information are available at the Resource Sharing Platform of Polar Samples (http:// birds.chinare.org.cn) maintained by Polar Research Institute of China (PRIC) and Chinese National Arctic &amp; Antarctic Data Center (CN-NADC).</t>
  </si>
  <si>
    <t>10.1016/j.quascirev.2021.107010</t>
  </si>
  <si>
    <t>WOS:000674619500005</t>
  </si>
  <si>
    <t>Carrasco, JF; Bozkurt, D; Cordero, RR</t>
  </si>
  <si>
    <t>Carrasco, Jorge F.; Bozkurt, Deniz; Cordero, Raul R.</t>
  </si>
  <si>
    <t>A review of the observed air temperature in the Antarctic Peninsula. Did the warming trend come back after the early 21st hiatus?</t>
  </si>
  <si>
    <t>POLAR SCIENCE</t>
  </si>
  <si>
    <t>Air temperature; Antarctic peninsula; Warming and cooling trends; Change point; READER database</t>
  </si>
  <si>
    <t>RECORD</t>
  </si>
  <si>
    <t>Recent changes in the near-surface air temperature (nSAT) in the Antarctic Peninsula (AP) suggests that the absence of 21st century warming on Antarctic Peninsula may be coming to end. To examine this, the long-term annual and seasonal variability of the nSAT at eight Antarctic stations located in the AP are analyzed using available data from the SCAR Reader database, complemented with data from the Chilean Weather Service (Frei and O'Higgins). An exponential filter was applied to the original annual and seasonal mean series to obtain a decadal-like variation of the nSAT. A stacked and the standardized anomaly of the nSAT record was constructed to examine the average regional behavior in the AP. Cumulative sum (CUSUM) and changepoint analysis were applied through the stacked nSAT series to highlight significant changes caused by variation in weather and climate. The CUSUM and bootstrapping analysis revealed two statistically significant breaking points during the 1978-2020 period. The first one occurred in the late nineties ending a warming period and making the beginning of a cooling period; the second one may have taken place in the mid-2010s and could mark the end of the warming pause. These trends appear to be consistent with the changes observed in the large-scale climate modes (i.e., the Antarctic Annular Mode - AAO).</t>
  </si>
  <si>
    <t>[Carrasco, Jorge F.] Univ Magallanes, Ctr Invest Gaia Antartica, Av Bulnes, Punta Arenas 01855, Chile; [Bozkurt, Deniz] Univ Valparaiso, Dept Meteorol, Valparaiso, Chile; [Bozkurt, Deniz] Ctr Climate &amp; Resilience Res CR 2, Santiago, Chile; [Cordero, Raul R.] Univ Santiago, Dept Fis, Av Bernardo OHiggins, Santiago 3363, Chile</t>
  </si>
  <si>
    <t>Universidad de Magallanes; Universidad de Valparaiso; Universidad de Santiago de Chile</t>
  </si>
  <si>
    <t>Carrasco, JF (corresponding author), Univ Magallanes, Ctr Invest Gaia Antartica, Av Bulnes, Punta Arenas 01855, Chile.</t>
  </si>
  <si>
    <t>jorge.carrasco@umag.cl</t>
  </si>
  <si>
    <t>Bozkurt, Deniz/C-9797-2013; Bozkurt, Deniz/AAC-4563-2021; Carrasco, Jorge/AAC-4799-2021; Carrasco, Jorge/ACG-6766-2022</t>
  </si>
  <si>
    <t>Bozkurt, Deniz/0000-0003-1021-8241; Carrasco, Jorge/0000-0003-2154-5483; Carrasco, Jorge/0000-0003-2154-5483; Cordero, Raul R./0000-0001-7607-7993</t>
  </si>
  <si>
    <t>Agencia Nacional de Investigacion y Desarrollo (ANID) through the Project Fondecyt [1191932]; Chilean Antarctic Institute (INACH) [RT_7018, RT_3215]; ANID-CONICYT-PAI [77190080]; ANID-PIA-Anillo [INACH ACT 192057]; [ANID-FONDECYT-11200101]</t>
  </si>
  <si>
    <t>Agencia Nacional de Investigacion y Desarrollo (ANID) through the Project Fondecyt; Chilean Antarctic Institute (INACH); ANID-CONICYT-PAI; ANID-PIA-Anillo;</t>
  </si>
  <si>
    <t>We acknowledge the support of the Agencia Nacional de Investigacion y Desarrollo (ANID) through the Project Fondecyt 1191932 and Chilean Antarctic Institute (INACH) through the Projects RT_7018 and RT_3215. We are grateful for data from the SCAR-READER dataset and Direccion Meteorologica de Chile. D.B. acknowledges support from ANID-CONICYT-PAI (Grant No. 77190080) , ANID-PIA-Anillo INACH ACT 192057, and ANID-FONDECYT-11200101.</t>
  </si>
  <si>
    <t>1873-9652</t>
  </si>
  <si>
    <t>1876-4428</t>
  </si>
  <si>
    <t>POLAR SCI</t>
  </si>
  <si>
    <t>Polar Sci.</t>
  </si>
  <si>
    <t>10.1016/j.polar.2021.100653</t>
  </si>
  <si>
    <t>TE9XL</t>
  </si>
  <si>
    <t>WOS:000670361800001</t>
  </si>
  <si>
    <t>Hoque, SNMA; Alvi, A; Mahmud, MR; Sakhawat, S; Bhuiyan, MI</t>
  </si>
  <si>
    <t>Hoque, S. N. M. Azizul; Alvi, Anik; Mahmud, Md Readul; Sakhawat, Sajib; Bhuiyan, Mafijul Islam</t>
  </si>
  <si>
    <t>On the use of directional derivatives of SuperDARN convection flow for estimating open-closed field line boundary during the intervals of substorm activity on 14 October 2001</t>
  </si>
  <si>
    <t>Magnetosphere-ionosphere coupling; SuperDARN directional derivative; Substorm; Open-closed magnetic field line boundary</t>
  </si>
  <si>
    <t>PARTICLE-PRECIPITATION BOUNDARIES; SPECTRAL WIDTH BOUNDARIES; POLAR-CAP; IMAGE SPACECRAFT; LATITUDE; MAGNETOSPHERE; IONOSPHERE; LOCATION; DYNAMICS</t>
  </si>
  <si>
    <t>The maximum peak of the directional derivative of the SuperDARN convection flow has been proposed as a proxy for the open/closed magnetic field line boundary (OCB) and this has been evaluated using data from the ultraviolet imagers collected during the steady southward Interplanetary Magnetic Field (IMF) condition. However, the technique ignores the contribution of ionospheric vorticity in determining the peak of the directional derivative of SuperDARN convection flow. In this paper these effects have been considered when identifying the OCB in the night sector, calculated using the directional derivatives of SuperDARN convection flow during the active substorm interval which occurred on October 14, 2001. Statistical comparison of the latitudes of the OCB, as estimated from the peaks of the directional derivative of the SuperDARN convection flow, determined with and without considering the relative maxima and minima vorticity, and as provided by images taken by the two Far Ultraviolet (FUV) Spectral Imagers onboard the IMAGE spacecraft (SI-12 and SI-13) indicates that the modified approach of the directional derivative of the SuperDARN convection flow may be used as an OCB proxy during active geomagnetic activity.</t>
  </si>
  <si>
    <t>[Hoque, S. N. M. Azizul; Mahmud, Md Readul] Independent Univ Bangladesh IUB, Dept Phys Sci, Plot 16,Block B,Aftab Uddin Ahmed Rd, Dhaka 1229, Bangladesh; [Alvi, Anik] Independent Univ Bangladesh IUB, Dept Comp Sci, Dhaka, Bangladesh; [Sakhawat, Sajib] Shahjalal Univ Sci &amp; Technol, Dept Phys, Sylhet, Bangladesh; [Bhuiyan, Mafijul Islam] Univ Alberta, Dept Phys, Edmonton, AB T6G 2E9, Canada</t>
  </si>
  <si>
    <t>Independent University Bangladesh (IUB); Independent University Bangladesh (IUB); Shahjalal University of Science &amp; Technology (SUST); University of Alberta</t>
  </si>
  <si>
    <t>Hoque, SNMA (corresponding author), Independent Univ Bangladesh IUB, Dept Phys Sci, Plot 16,Block B,Aftab Uddin Ahmed Rd, Dhaka 1229, Bangladesh.</t>
  </si>
  <si>
    <t>snmhoque@gmail.com</t>
  </si>
  <si>
    <t>Alvi, Anik/IQW-7866-2023</t>
  </si>
  <si>
    <t>Alvi, Anik/0009-0000-8578-2248; Sakhawat, Sajib/0000-0002-0493-4009; Hoque, S.N.M. Azizul/0000-0002-7365-8677; Mahmud, Md Readul/0000-0002-0275-5680</t>
  </si>
  <si>
    <t>United States of America; Canadian Space Agency</t>
  </si>
  <si>
    <t>United States of America; Canadian Space Agency(Canadian Space Agency)</t>
  </si>
  <si>
    <t>The authors acknowledge the use of SuperDARN data and software. SuperDARN is a collection of radars funded by national scientific funding agencies of Australia, Canada, China, France, Japan, South Africa, United Kingdom and United States of America. Auroral boundary data were provided by the British Antarctic Survey. We acknowledge the use of NASA/GSFC's Space Physics Data Facility (http://omniweb.gsfc.nasa.gov) for OMNI data. The magnetometer data are taken from CARISMA, operated by the University of Alberta, funded by the Canadian Space Agency. We sincerely thank anonymous reviewers. We sincerely thank anonymous reviewers for their insightful comments on our manuscript. A sincere thanks to Mondar M. M. Ahmed for his diligent work in proofreading this paper.</t>
  </si>
  <si>
    <t>10.1016/j.polar.2021.100655</t>
  </si>
  <si>
    <t>WOS:000670361800005</t>
  </si>
  <si>
    <t>Marcucci, MF; Coco, I; Massetti, S; Pignalberi, A; Forsythe, V; Pezzopane, M; Koustov, A; Longo, S; Biondi, D; Simeoli, E; Consolini, G; Laurenza, M; Marchaudon, A; Satta, A; Cirioni, A; De Simone, A; Olivieri, A; Baù, A; Salvati, A</t>
  </si>
  <si>
    <t>Marcucci, Maria Federica; Coco, Igino; Massetti, Stefano; Pignalberi, Alessio; Forsythe, Victoriya; Pezzopane, Michael; Koustov, Alexander; Longo, Simona; Biondi, David; Simeoli, Enrico; Consolini, Giuseppe; Laurenza, Monica; Marchaudon, Aurelie; Satta, Andrea; Cirioni, Alessandro; De Simone, Angelo; Olivieri, Angelo; Bau, Alessandro; Salvati, Alberto</t>
  </si>
  <si>
    <t>Echo occurrence in the southern polar ionosphere for the SuperDARN Dome C East and Dome C North radars</t>
  </si>
  <si>
    <t>Polar cap radars; Echo occurrence; Ray-tracing; IRI model</t>
  </si>
  <si>
    <t>ELECTRON-DENSITY; RESOLUTE BAY; BACKSCATTER; IRREGULARITIES; FOF2</t>
  </si>
  <si>
    <t>In this paper, echo occurrence rates for the Dome C East (DCE) and the new Dome C North (DCN) radars are studied. We report the ionospheric and ground scatter echo occurrence rates for selected periods around equinoxes and solstices in the final part of the solar cycle XXIV. The occurrence maps built in Altitude Adjusted Corrected Geomagnetic latitude and Magnetic Local Time coordinates show peculiar patterns highly variable with season. The comparisons of the radar observations with the International Reference Ionosphere model electron density and with ray tracing simulations allow us to explain the major features of observed patterns in terms of electron density variations. The study shows the great potential of the DCE and DCN radar combination to the Super Dual Auroral Radar Network (SuperDARN) convection mapping in terms of monitoring key regions of the high-latitude ionosphere critical for understanding of the magnetospheric dynamics.</t>
  </si>
  <si>
    <t>[Marcucci, Maria Federica; Massetti, Stefano; Biondi, David; Consolini, Giuseppe; Laurenza, Monica] INAF IAPS, Rome, Italy; [Coco, Igino; Pignalberi, Alessio; Pezzopane, Michael] INGV, Rome, Italy; [Forsythe, Victoriya] ASTRA LLC, Louisville, CO USA; [Koustov, Alexander] ISAS Univ Saskatchewan, Saskatoon, SK, Canada; [Longo, Simona; Cirioni, Alessandro] CNR DTA, Rome, Italy; [Simeoli, Enrico; Olivieri, Angelo; Salvati, Alberto] CNR ICT, Rome, Italy; [Marchaudon, Aurelie] Toulouse Univ, CNES, CNRS, IRAP, Toulouse, France; [Satta, Andrea] CNR IAS, Oristano, Italy; [De Simone, Angelo] CNR ISMN, Rome, Italy; [Bau, Alessandro] Univ Milano Bicocca, Dept Phys, Milan, Italy</t>
  </si>
  <si>
    <t>Istituto Nazionale Astrofisica (INAF); Istituto Nazionale Geofisica e Vulcanologia (INGV); University of Saskatchewan; Universite Federale Toulouse Midi-Pyrenees (ComUE); Universite de Toulouse; Universite Toulouse III - Paul Sabatier; Centre National de la Recherche Scientifique (CNRS); Consiglio Nazionale delle Ricerche (CNR); Istituto per lo Studio degli Impatti Antropici Sostenibilita in Ambiente Marino (IAS-CNR); Consiglio Nazionale delle Ricerche (CNR); Istituto per lo Studio dei Materiali Nanostrutturati (ISMN-CNR); University of Milano-Bicocca</t>
  </si>
  <si>
    <t>Marcucci, MF (corresponding author), INAF IAPS, Rome, Italy.</t>
  </si>
  <si>
    <t>mariafederica.marcucci@inaf.it</t>
  </si>
  <si>
    <t>Laurenza, Monica/HMD-8729-2023; Marcucci, Maria federica/HNJ-5276-2023; Coco, Igino/X-7419-2018; Pignalberi, Alessio/Q-6727-2019; Massetti, Stefano/HMP-1275-2023; Salvati, Alberto/I-7823-2014</t>
  </si>
  <si>
    <t>Laurenza, Monica/0000-0001-5481-4534; Coco, Igino/0000-0003-4070-6828; Pignalberi, Alessio/0000-0001-9459-4919; Massetti, Stefano/0000-0002-7767-1334; Pezzopane, Michael/0000-0001-5800-2322; CONSOLINI, Giuseppe/0000-0002-3403-647X; Marchaudon, Aurelie/0000-0002-1625-3462; Marcucci, Maria Federica/0000-0002-5002-6060</t>
  </si>
  <si>
    <t>Italian National Program for Antarctic Research (PNRA) [OSS. 14 00085]</t>
  </si>
  <si>
    <t>Italian National Program for Antarctic Research (PNRA)</t>
  </si>
  <si>
    <t>We are grateful to the teams who installed the DCE and DCN radars and take care of their yearly maintenance. We are particularly grateful to J. Wiid for his precious help in the radars installation and calibration. We acknowledge that installation of DCE and DCN radars has been possible thanks to the scientific capacity and work of our beloved colleagues J.-P Villain and E. Amata. The raw DCE and DCN data are available from the British Antarctic Survey (BAS) SuperDARN data server (https:// www.bas.ac.uk/project/superdarn) . Software for the IRI-2016 model is available at http://irimodel.org. AE index data are available from the World Data Center for Geomagnetism, Kyoto (http://wdc.kugi.kyotou.ac.jp/aeasy/) . The Sunspot number data have been downloaded from the WDCSILSO, Royal Observatory of Belgium, Brussels. The work with the DCE and DCN radars is supported by the Italian National Program for Antarctic Research (PNRA) under Grant agreement OSS. 14 00085.</t>
  </si>
  <si>
    <t>10.1016/j.polar.2021.100684</t>
  </si>
  <si>
    <t>WOS:000670361800002</t>
  </si>
  <si>
    <t>Tewari, K; Mishra, SK; Dewan, A; Dogra, G; Ozawa, H</t>
  </si>
  <si>
    <t>Tewari, Kamal; Mishra, Saroj K.; Dewan, Anupam; Dogra, Gaurav; Ozawa, Hisashi</t>
  </si>
  <si>
    <t>Influence of the height of Antarctic ice sheet on its climate</t>
  </si>
  <si>
    <t>Antarctica; General circulation; Topography-precipitation feedback; Polar climate; CMIP5</t>
  </si>
  <si>
    <t>SURFACE MASS-BALANCE; ATMOSPHERIC CIRCULATION; SOUTHERN-HEMISPHERE; GENERAL-CIRCULATION; WEST ANTARCTICA; AIR-FLOW; PRECIPITATION; SEA; LATITUDE; PARAMETERIZATION</t>
  </si>
  <si>
    <t>The influence of the height of the Antarctic Ice Sheet (AIS) on its climate is investigated through numerical modeling, using NCAR-CESM-CAM5, which is found to be one of the best performing models over the region. The investigation reveals that on the reduction of its height, the troposphere over Antarctica will become warmer and wetter, annual precipitation and snow accumulation would enhance, and there will be a net enhancement in southward energy transport towards the Antarctic from the lower latitudes. The response will be opposite if the height of the AIS increases. The effect is found to be driven by the radiation imbalance developed from the changes in the outgoing longwave radiation at the top of the atmosphere due to perturbations in the ice sheet's elevation. An increase (decrease) in precipitation will occur on reduction (enhancement) of the AIS, which will try to stabilize its height, but this will be accompanied by an increase (decrease) in the surface temperature, which would have an opposite effect. A significant influence of the AIS elevation was also felt on the surface winds, stationary waves, and the eddy-driven jet around the continent, highlighting the impact that changes in the height of AIS have on the surrounding atmospheric circulation.</t>
  </si>
  <si>
    <t>[Tewari, Kamal; Dewan, Anupam] IIT Delhi, Dept Appl Mech, New Delhi, India; [Mishra, Saroj K.] IIT Delhi, Ctr Atmospher Sci, New Delhi, India; [Dogra, Gaurav] IIT Delhi, Sch Interdisciplinary Res, New Delhi, India; [Ozawa, Hisashi] Hiroshima Univ, Grad Sch Integrated Arts &amp; Sci, Hiroshima, Japan</t>
  </si>
  <si>
    <t>Indian Institute of Technology System (IIT System); Indian Institute of Technology (IIT) - Delhi; Indian Institute of Technology System (IIT System); Indian Institute of Technology (IIT) - Delhi; Indian Institute of Technology System (IIT System); Indian Institute of Technology (IIT) - Delhi; Hiroshima University</t>
  </si>
  <si>
    <t>Dewan, A (corresponding author), Indian Inst Technol Delhi, Dept Appl Mech, New Delhi 110016, India.</t>
  </si>
  <si>
    <t>Ozawa, Hisashi/N-6414-2019; Mishra, Shravan/AAD-7569-2022; Tewari, Kamal/AAX-5966-2021; Dewan, Anupam/A-8404-2013</t>
  </si>
  <si>
    <t>Mishra, Shravan/0000-0001-8354-1803; Dewan, Anupam/0000-0002-1561-713X; Tewari, Kamal/0000-0002-9147-5276; Ozawa, Hisashi/0000-0001-9692-9532</t>
  </si>
  <si>
    <t>DST Centre of Excellence in Climate Modeling at IIT Delhi; National Science Foundation; Office of Science (BER) of the U.S. Department of Energy</t>
  </si>
  <si>
    <t>DST Centre of Excellence in Climate Modeling at IIT Delhi; National Science Foundation(National Science Foundation (NSF)); Office of Science (BER) of the U.S. Department of Energy(United States Department of Energy (DOE))</t>
  </si>
  <si>
    <t>The research was partially supported by the DST Centre of Excellence in Climate Modeling at IIT Delhi. We acknowledge the World Climate Research Program's Working Group on Coupled Modeling, which is responsible for CMIP, and we thank the climate modeling groups (listed in Table 1 of this paper) for producing and making available their model outputs. For CMIP, the U.S. Department of Energy's Program for Climate Model Diagnosis and Inter-comparison provided coordinating support and led the development of software infrastructure in partnership with the Global Organization for Earth System Science Portals. The authors sincerely acknowledge the use of the CAM model of the CESM project supported by the National Science Foundation and the Office of Science (BER) of the U.S. Department of Energy and the use of NCAR NCL in this study. The authors thank anonymous reviewers for their constructive comments and suggestions, which led to significant improvements in this manuscript. The authors also like to acknowledge IIT Delhi HPC facility for providing the computational resources.</t>
  </si>
  <si>
    <t>10.1016/j.polar.2021.100642</t>
  </si>
  <si>
    <t>WOS:000670361800003</t>
  </si>
  <si>
    <t>Yamazaki, K; Nakamura, T</t>
  </si>
  <si>
    <t>Yamazaki, Koji; Nakamura, Tetsu</t>
  </si>
  <si>
    <t>The stratospheric QBO affects antarctic sea ice through the tropical convection in early austral winter</t>
  </si>
  <si>
    <t>Antarctic sea ice; QBO; Rossby wave train; Tropical convection; Stratosphere</t>
  </si>
  <si>
    <t>QUASI-BIENNIAL OSCILLATION; SUMMER INTRASEASONAL OSCILLATION; MADDEN-JULIAN OSCILLATION; SURFACE TEMPERATURE; IMPACT; CIRCULATION; CONNECTION; MODULATION; ATLANTIC; PATHWAY</t>
  </si>
  <si>
    <t>We found a statistically significant relationship between the stratospheric quasi-biennial oscillation (QBO) and Antarctic sea ice concentration (SIC) in austral winter. SIC differences between the easterly phase of the QBO (EQBO) and westerly phase of the QBO (WQBO) show positive anomalies of SIC in the following regions: over the Ross Sea, Weddell Sea, and around 90 degrees E. This wave-3 pattern is clearly seen in June and July, and decays in August. The increased SIC regions correspond to anomalous offshore wind regions, and the reduced SIC regions correspond to onshore wind regions, indicating the atmospheric circulation anomaly produced the SIC anomaly. The atmospheric circulation anomaly is barotropic and closely related with the upper atmospheric flow. The upper circulation anomaly shows a stationary Rossby wave train propagating from Indian Ocean. We show the enhanced convection in the tropical Indian Ocean in EQBO can excite the Rossby wave train. In summary, the stratospheric QBO affects the tropical convection, then generating the Rossby wave train which propagates into southern high latitude, and finally affecting Antarctic sea ice. There exists a possibility to predict winter sea ice in one-year advance, because the QBO is a quasi-regular oscillation.</t>
  </si>
  <si>
    <t>[Yamazaki, Koji] Hokkaido Univ, Arctic Res Ctr, Kita 21,Nishi 11, Sapporo, Hokkaido 0010021, Japan; [Nakamura, Tetsu] Hokkaido Univ, Fac Environm Sci, Sapporo, Hokkaido 0600810, Japan</t>
  </si>
  <si>
    <t>Hokkaido University; Hokkaido University</t>
  </si>
  <si>
    <t>Yamazaki, K (corresponding author), Hokkaido Univ, Arctic Res Ctr, Kita 21,Nishi 11, Sapporo, Hokkaido 0010021, Japan.</t>
  </si>
  <si>
    <t>yamazaki@ees.hokudai.ac.jp</t>
  </si>
  <si>
    <t>Nakamura, Tetsu/M-7914-2015</t>
  </si>
  <si>
    <t>Nakamura, Tetsu/0000-0002-2056-7392</t>
  </si>
  <si>
    <t>JSPS KAKENHI [18K03735]; Arctic Challenge for Sustainability project (ArCS); ArCSII; J-Arc Net; Belmont Forum; Grants-in-Aid for Scientific Research [18K03735] Funding Source: KAKEN</t>
  </si>
  <si>
    <t>JSPS KAKENHI(Ministry of Education, Culture, Sports, Science and Technology, Japan (MEXT)Japan Society for the Promotion of ScienceGrants-in-Aid for Scientific Research (KAKENHI)); Arctic Challenge for Sustainability project (ArCS); ArCSII; J-Arc Net; Belmont Forum; Grants-in-Aid for Scientific Research(Ministry of Education, Culture, Sports, Science and Technology, Japan (MEXT)Japan Society for the Promotion of ScienceGrants-in-Aid for Scientific Research (KAKENHI))</t>
  </si>
  <si>
    <t>The authors are grateful to Drs. Jinro Ukita, Yasushi Fukamachi, Kazuya Kusahara, Teppei J. Yasunari and Kenji Baba for their valuable comments. AGCM simulations were performed on the Earth Simulator at the Japan Agency for Marine-Earth Science and Technology. This study was supported by the Arctic Challenge for Sustainability project (ArCS), ArCSII, J-Arc Net, Belmont Forum, and JSPS KAKENHI Grant Number 18K03735.</t>
  </si>
  <si>
    <t>10.1016/j.polar.2021.100674</t>
  </si>
  <si>
    <t>WOS:000670361800004</t>
  </si>
  <si>
    <t>Ishiwa, T; Tokuda, Y; Itaki, T; Sasaki, S; Suganuma, Y; Yamasaki, S</t>
  </si>
  <si>
    <t>Ishiwa, Takeshige; Tokuda, Yuki; Itaki, Takuya; Sasaki, Satoshi; Suganuma, Yusuke; Yamasaki, Shintaro</t>
  </si>
  <si>
    <t>Bathymetry data and water column profiles in the shallow waters of Langhovde in Lutzow-Holm Bay, East Antarctica</t>
  </si>
  <si>
    <t>Bathymetry; Water column profile; Lutzow-holm bay; East Antarctica</t>
  </si>
  <si>
    <t>VESTFOLD HILLS; LAKE; SEDIMENT; RETREAT; HISTORY; COAST; MODEL</t>
  </si>
  <si>
    <t>The sediments of shallow marine waters and lakes around Antarctica provide valuable records of sea-level changes. Understanding the timing and amplitude of Antarctic Ice Sheet changes during the last deglaciation is essential to assess the effect of glacial isostatic adjustments on the present ice-sheet mass balance. However, the difficulty in accessing Antarctica makes it challenging to obtain field-based evidence of ice-sheet and sea-level change during the last deglaciation. We used a portable sonar system to measure bathymetry and water column profiles (sea temperature, salinity, dissolved oxygen, and turbidity) in Lake Nurume and shallow marine waters of Langhovde, East Antarctica, to collect baseline data for sea-level reconstruction from the Last Glacial Maximum (-20 ka). The bathymetry data reveals the surveyed shallow marine waters of Langhovde have basins of 100 m water depth with approximately -67 and -92 m sills, in which sediments provide a potentially useful sea-level archive for the last deglaciation. The water column profile in Lake Nurume reveals a chemocline at -11 m water depth and anoxic condition below that depth. These baseline data will be useful to reconstruct sea-level and ice-sheet changes in East Antarctica.</t>
  </si>
  <si>
    <t>[Ishiwa, Takeshige; Suganuma, Yusuke] Res Org Informat &amp; Syst, Natl Inst Polar Res, 10-3 Midori Cho, Tachikawa, Tokyo 1908518, Japan; [Tokuda, Yuki] Tottori Univ Environm Studies, Fac Environm Studies, 1-1 Wakabadai Kita, Tottori, Tottori 6891111, Japan; [Itaki, Takuya] Natl Inst Adv Ind Sci &amp; Technol, Geol Survey Japan, Paleogeodynam Grp, 1-1-1 Umezoro, Tsukuba, Ibaraki 3058567, Japan; [Sasaki, Satoshi] Shimane Univ, Interdisciplinary Grad Sch Sci &amp; Engn, 1060 Nishikawatsu Cho, Matsue, Shimane 6908504, Japan; [Suganuma, Yusuke] Grad Univ Adv Studies SOKENDAI, Sch Multidisciplinary Sci, Dept Polar Sci, 10-3 Midori Cho, Tachikawa, Tokyo 1908518, Japan; [Yamasaki, Shintaro] Kyoto Univ, Disaster Prevent Res Inst, 492-1 Ikedacho Shuzu Fujinoi, Miyoshi, Tokushima 7780020, Japan</t>
  </si>
  <si>
    <t>Research Organization of Information &amp; Systems (ROIS); National Institute of Polar Research (NIPR) - Japan; National Institute of Advanced Industrial Science &amp; Technology (AIST); Shimane University; Graduate University for Advanced Studies - Japan; Kyoto University</t>
  </si>
  <si>
    <t>Ishiwa, T (corresponding author), Res Org Informat &amp; Syst, Natl Inst Polar Res, 10-3 Midori Cho, Tachikawa, Tokyo 1908518, Japan.</t>
  </si>
  <si>
    <t>ishiwa.takeshige@nipr.ac.jp; tokuda35@gmail.com; t-itaki@aist.go.jp; tokusasa012@gmail.com; suganuma.yusuke@nipr.ac.jp; yamasaki.shintaro.3m@kyoto-u.ac.jp</t>
  </si>
  <si>
    <t>Sasaki, Satoshi/AGZ-4919-2022; Ishiwa, Takeshige/AAH-6406-2021</t>
  </si>
  <si>
    <t>Sasaki, Satoshi/0000-0003-4736-2394; Ishiwa, Takeshige/0000-0002-7566-4421; Itaki, Takuya/0000-0001-5232-0055; suganuma, yusuke/0000-0003-3516-1317</t>
  </si>
  <si>
    <t>JSPS KAKENHI [19H00728, 16H05739, 17H06321, 18K13621, 18K13649]; TOREY science foundation; NIPR through Advanced Project [KP-7, KP306]; Tottori University of Environmental Studies; Grants-in-Aid for Scientific Research [18K13649, 18K13621, 19H00728, 16H05739] Funding Source: KAKEN</t>
  </si>
  <si>
    <t>JSPS KAKENHI(Ministry of Education, Culture, Sports, Science and Technology, Japan (MEXT)Japan Society for the Promotion of ScienceGrants-in-Aid for Scientific Research (KAKENHI)); TOREY science foundation; NIPR through Advanced Project; Tottori University of Environmental Studies; Grants-in-Aid for Scientific Research(Ministry of Education, Culture, Sports, Science and Technology, Japan (MEXT)Japan Society for the Promotion of ScienceGrants-in-Aid for Scientific Research (KAKENHI))</t>
  </si>
  <si>
    <t>The work was funded by JSPS KAKENHI [grant numbers: 19H00728, 16H05739, 17H06321, 18K13621, and 18K13649], the TOREY science foundation, and NIPR through Advanced Project (KP-7 and KP306), and Tottori University of Environmental Studies Grant-in-Aid for Special Research.</t>
  </si>
  <si>
    <t>10.1016/j.polar.2021.100650</t>
  </si>
  <si>
    <t>TE6NE</t>
  </si>
  <si>
    <t>WOS:000670126600003</t>
  </si>
  <si>
    <t>Khim, BK; Colizza, E; Lee, JI; Giglio, F; Ha, S; Bak, YS</t>
  </si>
  <si>
    <t>Khim, Boo-Keun; Colizza, Ester; Lee, Jae Il; Giglio, Federico; Ha, Sangbeom; Bak, Young-Suk</t>
  </si>
  <si>
    <t>Biological productivity and glaciomarine sedimentation in the Central Basin of the northwestern Ross Sea since the last glacial maximum</t>
  </si>
  <si>
    <t>Glaciomarine; Geochemistry; Productivity; Ice sheet; Continental margin; Antarctica</t>
  </si>
  <si>
    <t>CONTINENTAL-SHELF; ISOTOPIC COMPOSITION; MARINE-SEDIMENTS; BIOGENIC-SILICA; MARGIN; LAND; FLUCTUATIONS; ACCUMULATION; VARIABILITY; ANTARCTICA</t>
  </si>
  <si>
    <t>This study documents multi-proxy data representing surface water productivity and AMS 14C dates of box (BC3) and gravity (GC2) cores in the Central Basin of the northwestern Ross Sea. Based on AMS 14C dates, a comparison of sediment properties between BC3 and GC2 reveals that BC3 records the complete Holocene (i.e., interglacial) history, which is correlated to the uppermost part of GC2. The lithostratigraphic succession of GC2 consists of the repetition of contrasting layers distinguished by the productivity proxies. In contrast to the uppermost sediment layer (i.e., interglacial), the subsurface sediment layer (i.e., deglacial) is distinctly characterized by very high biogenic components. Such pronounced biogenic remnants in the deglacial sediments are not explained exclusively by in situ enhanced productivity in the surface water. Our results, thus, suggest that eroded and reworked shelf sediments from a previous interglacial period enriched in biogenic components by the advancing ice sheet might be transported through the melt-water plumes from the grounding line to the Central Basin, to provide high geochemical properties of deglacial sediments. Thus, growth and retreat of the grounded ice sheet played an important role in glaciomarine sedimentation change in the Central Basin of the northwestern Ross Sea.</t>
  </si>
  <si>
    <t>[Khim, Boo-Keun; Ha, Sangbeom] Pusan Natl Univ, Dept Oceanog, Busan 46241, South Korea; [Colizza, Ester] Univ Trieste, Dept Math &amp; Geosci, Trieste, Italy; [Lee, Jae Il] Korea Polar Res Inst, Div Glacial Environm Res, Incheon 24341, South Korea; [Giglio, Federico] Natl Res Council Inst Polar Sci, Bologna, Italy; [Bak, Young-Suk] Jeonbuk Natl Univ, Earth Environm Syst Res Ctr, Jeonju 54896, South Korea</t>
  </si>
  <si>
    <t>Pusan National University; University of Trieste; Korea Polar Research Institute (KOPRI); Jeonbuk National University</t>
  </si>
  <si>
    <t>Khim, BK (corresponding author), Pusan Natl Univ, Dept Oceanog, Busan 46241, South Korea.</t>
  </si>
  <si>
    <t>bkkhim@pusan.ac.kr; colizzae@units.it; leeji@kopri.re.kr; federico.giglio@cnr.it; sb_ha@pusan.ac.kr; sydin@jbnu.ac.kr</t>
  </si>
  <si>
    <t>Giglio, Federico/0000-0001-5227-9734; Colizza, Ester/0000-0002-9026-6667</t>
  </si>
  <si>
    <t>National Research Foundation of Korea [2019R1A2C1007701, 2019K1A3A1A25000116]; KOPRI project [PE21090]; Italian National Antarctic Research Program (PNRA) - ROSSLOPE Project [2010/A2.07]; Italian Foreign Ministry (MAECI) - STREAM Project</t>
  </si>
  <si>
    <t>National Research Foundation of Korea(National Research Foundation of Korea); KOPRI project(Korea Polar Research Institute of Marine Research Placement (KOPRI)); Italian National Antarctic Research Program (PNRA) - ROSSLOPE Project; Italian Foreign Ministry (MAECI) - STREAM Project</t>
  </si>
  <si>
    <t>The captain, crew, and all onboard technicians (particularly, Mr. H.S. Moon) and researchers of IB Araon cruise in 2013 are thanked for core sampling. We appreciate Prof. John Anderson (Rice University) and Prof. Y.K. Sohn (Gyeongsang National University) on their fruitful comments on the depositional concept of the glaciomarine sedimentation in the continental slope of the northwestern Ross Sea. We also thank two anonymous reviewers and associate editor for their constructive comments to improve the manuscript. This study was carried out by the National Research Foundation of Korea (2019K1A3A1A25000116and 2019R1A2C1007701), partly by KOPRI project (PE21090), and by the Italian National Antarctic Research Program (PNRA) - ROSSLOPE Project (2010/A2.07) and partly co-funded by the Italian Foreign Ministry (MAECI) - STREAM Project.</t>
  </si>
  <si>
    <t>10.1016/j.polar.2021.100682</t>
  </si>
  <si>
    <t>WOS:000670126600005</t>
  </si>
  <si>
    <t>Mahaney, WC; Schwartz, S</t>
  </si>
  <si>
    <t>Mahaney, William C.; Schwartz, Stephane</t>
  </si>
  <si>
    <t>Clast rind-paleosol record of the Antarctic early Alpine glaciation</t>
  </si>
  <si>
    <t>Rind microenvironment; Polar weathering; Rind-paleosol record; Cold-humid to cold-dry Antarctic transition</t>
  </si>
  <si>
    <t>WEATHERING RINDS; TAYLOR GLACIER; CLIMATE-CHANGE; VICTORIA LAND; DRY VALLEYS; MARS; MOUNTAINS; HISTORY; EXAMPLES; ORIGIN</t>
  </si>
  <si>
    <t>The early Alpine glaciation is known from few sources detailing initial growth of ice either during the late Oligocene or early Miocene, localities limited to high summits of East Antarctica. The Ant-831 paleosol, developed in moraine emplaced during the Alpine event, has been studied with respect to its pedogenesis and to rinds recovered from its pebble pavement. This pedostratigraphic section is assigned a late Oligocene/early Miocene age on the basis of its fossil Coleoptera fauna and tundra vegetation, Fe/Al relative-age-dating parameters, and extensive pebble clast weathering. SEM, XRD and XRF analyses of rind specimens from the pebble pavement yield new information on the weathering history of the Beacon sandstone and its link to a juxtaposed paleosol. The paleosol provides a mirror image to weathering zones in pavement clasts, the salt-rich zones interpreted to have formed during the cold-dry paleoclimate of the post-Middle Miocene Climatic Optimum (MMCO -15 Ma) following a stronger oxidizing paleoclimate of the earlier cold-wet phase of the Alpine glaciation. Essentially this database provides a 30-Myr window into the weathering progression from inception of the Alpine glaciation, through the warmer MMCO dated to -15 Ma, to the onset of cold-dry conditions that brought on the later development of the Inland Ice Sheet.</t>
  </si>
  <si>
    <t>[Mahaney, William C.] Quaternary Surveys, 26 Thornhill Ave, Thornhill, ON, Canada; [Mahaney, William C.] York Univ, L4J1J4, 4700 Keele St, N York, ON M3J 1P3, Canada; [Mahaney, William C.] York Univ, Dept Geog, 4700 Keele St, N York, ON M3J 1P3, Canada; [Schwartz, Stephane] Univ Grenoble Alpes, Univ Savoie Mt Blanc, IFSTTAR, CNRS,IRD,ISTerre, F-38041 Grenoble, France</t>
  </si>
  <si>
    <t>York University - Canada; York University - Canada; Communaute Universite Grenoble Alpes; Universite Grenoble Alpes (UGA); Centre National de la Recherche Scientifique (CNRS); Institut de Recherche pour le Developpement (IRD); Universite Gustave-Eiffel; Universite Savoie Mont Blanc</t>
  </si>
  <si>
    <t>Mahaney, WC (corresponding author), Quaternary Surveys, 26 Thornhill Ave, Thornhill, ON, Canada.</t>
  </si>
  <si>
    <t>arkose41@gmail.com; stephane.schwartz@univ-grenoble-alpes.fr</t>
  </si>
  <si>
    <t>SCHWARTZ, Stéphane/F-6787-2011</t>
  </si>
  <si>
    <t>SCHWARTZ, Stéphane/0000-0001-7942-7071; Mahaney, William/0000-0002-5803-7397</t>
  </si>
  <si>
    <t>Quaternary Surveys, Toronto; New Zealand Antarctic Programme</t>
  </si>
  <si>
    <t>This research was funded by Quaternary Surveys, Toronto. W. C. Mahaney gratefully acknowledges support from the New Zealand Antarctic Programme, KIWI-105 event (1998). N. Findling is thanked for the technical support with SEM and XRD analyses. We also thankfully profited from comments/criticisms offered by two anonymous reviewers.</t>
  </si>
  <si>
    <t>10.1016/j.polar.2021.100648</t>
  </si>
  <si>
    <t>WOS:000670126600006</t>
  </si>
  <si>
    <t>Andrews, JT; LeMasurier, W</t>
  </si>
  <si>
    <t>Andrews, John T.; LeMasurier, Wesley</t>
  </si>
  <si>
    <t>Resolving the argument about volcanic bedrock under the West Antarctic Ice Sheet and implications for ice sheet stability and sea level change</t>
  </si>
  <si>
    <t>EARTH AND PLANETARY SCIENCE LETTERS</t>
  </si>
  <si>
    <t>Antarctic bedrock; Cenozoic volcanics; Ross Sea mineral composition; sediment unmixing; glacial erosion</t>
  </si>
  <si>
    <t>MARIE-BYRD-LAND; ROSS EMBAYMENT; TRANSANTARCTIC MOUNTAINS; GLACIAL EROSION; SEDIMENT; BENEATH; PROVENANCE; SHELF; DISPERSAL; TRANSPORT</t>
  </si>
  <si>
    <t>We provide a test for recent arguments that the West Antarctic Ice Sheet (WAIS) is underlain by an extensive outcrop of volcanic rock (mainly basalt) by examining the non-clay and clay mineral composition of sediments collected in front of and under the Ross Ice Shelf. If the proposed large volume were present, then we posit that glacial erosion and transport would deliver sediments to the Ross Sea enriched in minerals diagnostic of alkaline basalt, namely olivine, pyroxene, and plagioclase, and no quartz. Using quantitative X-ray diffraction analysis, we determine the weight percent of minerals in West Antarctic alkaline basalt, dolerite, gneiss, and granite bedrock, and compare these with a suite of 49 surface and near-surface sediment samples from a 1400 km west to east transect across the Ross Sea. Fifty percent of the samples had quartz percentage values &gt;25% and had very small wt percentages of diagnostic basalt minerals. A sediment unmixing algorithm, with basalt, dolerite, gneiss and granite bedrock, end members, showed that the sediment contained virtually no basalt, was dominated by granite compositions, but did show some samples with an admixture of material derived from the Ferrar dolerite, which crops out extensively in the Transantarctic Mountains. Indicators of possible late Cenozoic volcanic bedrock - pyroxene, forsterite, and smectite weight percentages - decrease from west to east across the Ross Sea opposite to the trend of the quartz weight percent. Our study provides no support for the presence of extensive basalt outcrop under the WAIS, hence indicates that any changes in ice stream stability will not be influenced by basal heat regime. (C) 2021 Elsevier B.V. All rights reserved.</t>
  </si>
  <si>
    <t>[Andrews, John T.] Univ Colorado, Dept Geol Sci, Boulder, CO 80303 USA; [Andrews, John T.; LeMasurier, Wesley] Univ Colorado, INSTAAR, Boulder, CO 80303 USA</t>
  </si>
  <si>
    <t>Andrews, JT (corresponding author), Univ Colorado, Dept Geol Sci, Boulder, CO 80303 USA.;Andrews, JT (corresponding author), Univ Colorado, INSTAAR, Boulder, CO 80303 USA.</t>
  </si>
  <si>
    <t>andrewsj@colorado.edu; wesley.lemasurier@colorado.edu</t>
  </si>
  <si>
    <t>Andrews, John Thomas/0000-0003-3169-5979</t>
  </si>
  <si>
    <t>National Science Foundation [DPP77-27546, DPP80-20836, 0536526]; NSF; Division Of Polar Programs; Directorate For Geosciences [0536526] Funding Source: National Science Foundation</t>
  </si>
  <si>
    <t>National Science Foundation(National Science Foundation (NSF)); NSF(National Science Foundation (NSF)); Division Of Polar Programs; Directorate For Geosciences(National Science Foundation (NSF)NSF - Directorate for Geosciences (GEO))</t>
  </si>
  <si>
    <t>We thank Valerie Stanley at the Oregon State Core Repository for all her efforts to obtain sediment samples for us and to Dr Anne Grunow at the Polar Rock Repository Ohio State Univ. for obtaining bedrock samples for our use. Dr Kathy Licht provided the samples from the Ross Ice Shelf. Wendy Roth, INSTAAR, is thanked for the supervision of the INSTAAR Sedimentology and XRD Laboratory. We thank Dr. Albert Kettner, our INSTAAR colleague, for help with producing Fig. 1. We are grateful to Gary Clow, of INSTAAR, for permission to cite unpublished heat flow data, for providing all the published heat flow data used here, and for helping with an overview of its implications for the WARS. WEL gratefully acknowledges the support of National Science Foundation grants DPP77-27546, DPP80-20836, and #0536526, administered by the Office of Polar Programs, to study the geology and geochemistry of Marie Byrd Land volcanoes. JTA also acknowledges NSF support for research grants in the 1990's to investigate the glacial history in the Ross Sea and thanks Dr J.B. Anderson and the late Eugene Domack for involving him in Antarctic research. We appreciate the comments of the Editor and the reviews of Dr JL Smellie and an anonymous reviewer.</t>
  </si>
  <si>
    <t>0012-821X</t>
  </si>
  <si>
    <t>1385-013X</t>
  </si>
  <si>
    <t>EARTH PLANET SC LETT</t>
  </si>
  <si>
    <t>Earth Planet. Sci. Lett.</t>
  </si>
  <si>
    <t>10.1016/j.epsl.2021.117035</t>
  </si>
  <si>
    <t>TB5CI</t>
  </si>
  <si>
    <t>WOS:000667964800018</t>
  </si>
  <si>
    <t>Baird, HP; Shin, S; Oberprieler, RG; Hullé, M; Vernon, P; Moon, KL; Adams, RH; McKenna, DD; Chown, SL</t>
  </si>
  <si>
    <t>Baird, Helena P.; Shin, Seunggwan; Oberprieler, Rolf G.; Hulle, Maurice; Vernon, Philippe; Moon, Katherine L.; Adams, Richard H.; McKenna, Duane D.; Chown, Steven L.</t>
  </si>
  <si>
    <t>Fifty million years of beetle evolution along the Antarctic Polar Front</t>
  </si>
  <si>
    <t>Antarctica; species radiation; paleoclimate; herbivory; island biogeography</t>
  </si>
  <si>
    <t>MULTIPLE SEQUENCE ALIGNMENT; FOUNDER-EVENT SPECIATION; PHYLOGENETIC ANALYSIS; GENETIC DIVERSITY; CLIMATE-CHANGE; DISPERSAL; DIVERSIFICATION; BIOGEOGRAPHY; INFERENCE; ISLANDS</t>
  </si>
  <si>
    <t>Global cooling and glacial-interglacial cycles since Antarctica's isolation have been responsible for the diversification of the region's marine fauna. By contrast, these same Earth system processes are thought to have played little role terrestrially, other than driving widespread extinctions. Here, we show that on islands along the Antarctic Polar Front, paleoclimatic processes have been key to diversification of one of the world's most geographically isolated and unique groups of herbivorous beetles-Ectemnorhinini weevils. Combining phylogenomic, phylogenetic, and phylogeographic approaches, we demonstrate that these weevils colonized the subAntarctic islands from Africa at least 50 Ma ago and repeatedly dispersed among them. As the climate cooled from the mid-Miocene, diversification of the beetles accelerated, resulting in two speciesrich clades. One of these clades specialized to feed on cryptogams, typical of the polar habitats that came to prevail under Miocene conditions yet remarkable as a food source for any beetle. This clade's most unusual representative is a marine weevil currently undergoing further speciation. The other clade retained the more common weevil habit of feeding on angiosperms, which likely survived glaciation in isolated refugia. Diversification of Ectemnorhinini weevils occurred in synchrony with many other Antarctic radiations, including penguins and notothenioid fishes, and coincided with major environmental changes. Our results thus indicate that geoclimatically driven diversification has progressed similarly for Antarctic marine and terrestrial organisms since the Miocene, potentially constituting a general biodiversity paradigm that should be sought broadly for the region's taxa.</t>
  </si>
  <si>
    <t>[Baird, Helena P.; Moon, Katherine L.] Monash Univ, Sch Biol Sci, Clayton, Vic 3800, Australia; [Shin, Seunggwan; McKenna, Duane D.] Univ Memphis, Dept Biol Sci, Memphis, TN 38152 USA; [Shin, Seunggwan; McKenna, Duane D.] Univ Memphis, Ctr Biodivers Res, Memphis, TN 38152 USA; [Shin, Seunggwan] Seoul Natl Univ, Sch Biol Sci, Seoul 08826, South Korea; [Oberprieler, Rolf G.] CSIRO, Australian Natl Insect Collect, Canberra, ACT 2601, Australia; [Hulle, Maurice] Univ Rennes, Inst Natl Rech Agr Alimentat &amp; Environm, Inst Genet Environm &amp; Protect Plantes, F-35653 Le Rheu, France; [Vernon, Philippe] Univ Rennes, CNRS, UMR ECOBIO 6553, Stn Biol, F-35380 Paimpont, France; [Adams, Richard H.] Florida Atlantic Univ, Dept Comp &amp; Elect Engn &amp; Comp Sci, Boca Raton, FL 33431 USA; [Chown, Steven L.] Monash Univ, Sch Biol Sci, Securing Antarct Environm Future, Clayton, Vic 3800, Australia</t>
  </si>
  <si>
    <t>Monash University; University of Memphis; University of Memphis; Seoul National University (SNU); Commonwealth Scientific &amp; Industrial Research Organisation (CSIRO); INRAE; Centre National de la Recherche Scientifique (CNRS); State University System of Florida; Florida Atlantic University; Monash University</t>
  </si>
  <si>
    <t>Baird, HP (corresponding author), Monash Univ, Sch Biol Sci, Clayton, Vic 3800, Australia.</t>
  </si>
  <si>
    <t>helena.baird@monash.edu</t>
  </si>
  <si>
    <t>Chown, Steven/ABD-7646-2021; Chown, Steven/H-3347-2011</t>
  </si>
  <si>
    <t>Baird, Helena/0000-0002-7560-8331; Hulle, Maurice/0000-0002-9520-3454; Chown, Steven/0000-0001-6069-5105; Vernon, Philippe/0000-0002-6237-7511</t>
  </si>
  <si>
    <t>Ecole Polytechnique Federale de Lausanne; Ferring Pharmaceuticals through the Antarctic Circumnavigation Expedition; US NSF [DEB1355169]</t>
  </si>
  <si>
    <t>Ecole Polytechnique Federale de Lausanne; Ferring Pharmaceuticals through the Antarctic Circumnavigation Expedition; US NSF(National Science Foundation (NSF))</t>
  </si>
  <si>
    <t>This work received support from Ecole Polytechnique Federale de Lausanne, Swiss Polar Institute, and Ferring Pharmaceuticals through the Antarctic Circumnavigation Expedition. D.D.M. received funding from the US NSF (DEB1355169) . We thank A. Treasure, B. de Madeiros, V. Grebennikov, J. Haran, C. O'Brien, A. Riedel, and R. Stals for specimens studied as well as C. Buchard (Institut National de la Recherche Agronomique) and D. Jennings (Commonwealth Scientific and Industrial Research Organisation) for technical assistance. We thank the University of Memphis for use of their highperformance computing cluster. Two reviewers provided helpful comments on a previous version of the manuscript.</t>
  </si>
  <si>
    <t>JUN 15</t>
  </si>
  <si>
    <t>e2017384118</t>
  </si>
  <si>
    <t>10.1073/pnas.2017384118</t>
  </si>
  <si>
    <t>TC7WW</t>
  </si>
  <si>
    <t>WOS:000668851100004</t>
  </si>
  <si>
    <t>Li, M; Robertson, DE; Wang, QJ; Bennett, JC; Perraud, JM</t>
  </si>
  <si>
    <t>Li, Ming; Robertson, David E.; Wang, Quan J.; Bennett, James C.; Perraud, Jean-Michel</t>
  </si>
  <si>
    <t>Reliable hourly streamflow forecasting with emphasis on ephemeral rivers</t>
  </si>
  <si>
    <t>JOURNAL OF HYDROLOGY</t>
  </si>
  <si>
    <t>Ensemble streamflow forecasting; Zero flow; Staged error model; Forecast verification; Ephemeral catchments</t>
  </si>
  <si>
    <t>CLIMATE FORECASTS; WATER MANAGEMENT; PARAMETER-ESTIMATION; WAVELET TRANSFORM; STOCHASTIC-MODELS; ENSEMBLE; PREDICTION; UNCERTAINTY; FRAMEWORK; SYSTEM</t>
  </si>
  <si>
    <t>Ephemeral rivers pose considerable challenges for hydrological forecasters. A staged error model is devised for hourly streamflow forecasting with emphasis on ephemeral rivers. Apart from key components such as biascorrection, autoregressive updating and mixed Gaussian residual distributions, the model treats both observed and simulated zero flows as censored data. This assumption requires additional novel parameter estimation and ensemble generation methods. When inferring error model parameters by maximum likelihood estimation (MLE), the likelihood is derived to account for simulated and observed streamflow taking zero or non-zero values using data censoring. MLE is trialed to be replaced by least-squares-after-transformation (LST) estimation wherever possible to ease computational burdens. When generating ensemble forecasts, a data augmentation is used approach to recover censored data. The staged error model is applied to 18 ephemeral and 11 perennial rivers in Australia and generate hourly streamflow forecasts up to 10 days. LST leads to similar or even marginally better forecast performance than MLE by checking with various verification metrics, including bias, continuous ranked probability score, the alpha-index and the average width of confidence intervals. Skillful and reliable ensemble forecasts can be generated in 25 out of 29 catchments even at extended lead times. However, propagation of uncertainty can sometimes be challenging in four highly ephemeral catchments, leading to unreliable forecasts at long (e.g. &gt; 40 h) lead times. Prospects for addressing this issue in future is discussed.</t>
  </si>
  <si>
    <t>[Li, Ming] CSIRO Data61, 26 Dick Perry Ave, Kensington, WA 6151, Australia; [Robertson, David E.; Bennett, James C.] CSIRO Land &amp; Water, Clayton, Vic, Australia; [Wang, Quan J.] Univ Melbourne, Dept Infrastruct Engn, Parkville, Vic, Australia; [Bennett, James C.] Univ Tasmania, Inst Marine &amp; Antarctic Studies, Battery Point, Tas, Australia; [Perraud, Jean-Michel] CSIRO Land &amp; Water, Canberra, ACT, Australia</t>
  </si>
  <si>
    <t>Commonwealth Scientific &amp; Industrial Research Organisation (CSIRO); Commonwealth Scientific &amp; Industrial Research Organisation (CSIRO); University of Melbourne; University of Tasmania; Commonwealth Scientific &amp; Industrial Research Organisation (CSIRO); CSIRO Land &amp; Water</t>
  </si>
  <si>
    <t>Li, M (corresponding author), CSIRO Data61, 26 Dick Perry Ave, Kensington, WA 6151, Australia.</t>
  </si>
  <si>
    <t>Ming.Li@csiro.au</t>
  </si>
  <si>
    <t>Perraud, Jean-Michel/I-5776-2013; Li, Ming/A-7655-2010; Bennett, James/C-8456-2013; Wang, Quan J/D-2674-2012; Robertson, David/C-3643-2011</t>
  </si>
  <si>
    <t>Bennett, James/0000-0002-4930-2638; Wang, Quan J/0000-0002-8787-2738; Robertson, David/0000-0003-4230-8006</t>
  </si>
  <si>
    <t>Water Information Research and Development Alliance (WIRADA)</t>
  </si>
  <si>
    <t>This research has been supported by the Water Information Research and Development Alliance (WIRADA) between the Bureau of Meteorology and CSIRO Land &amp; Water. We thank Prasantha Hapuarachchi for supplying data and for comments on the method. This work was conducted on the traditional lands of the Noongar people and the Boonwurrung and Wurundjeri peoples of the Kulin Nation. We acknowledge their continuing custodianship of these lands and the rivers that flow through them, and pay our respects to their elders, past and present. We acknowledge the traditional custodians of the catchments and rivers used in this study.</t>
  </si>
  <si>
    <t>0022-1694</t>
  </si>
  <si>
    <t>1879-2707</t>
  </si>
  <si>
    <t>J HYDROL</t>
  </si>
  <si>
    <t>J. Hydrol.</t>
  </si>
  <si>
    <t>10.1016/j.jhydrol.2020.125739</t>
  </si>
  <si>
    <t>Engineering, Civil; Geosciences, Multidisciplinary; Water Resources</t>
  </si>
  <si>
    <t>Engineering; Geology; Water Resources</t>
  </si>
  <si>
    <t>SS5RK</t>
  </si>
  <si>
    <t>WOS:000661813200033</t>
  </si>
  <si>
    <t>Masiol, M; Zannoni, D; Stenni, B; Dreossi, G; Zini, L; Calligaris, C; Karlicek, D; Michelini, M; Flora, O; Cucchi, F; Treu, F</t>
  </si>
  <si>
    <t>Masiol, Mauro; Zannoni, Daniele; Stenni, Barbara; Dreossi, Giuliano; Zini, Luca; Calligaris, Chiara; Karlicek, Daniele; Michelini, Marzia; Flora, Onelio; Cucchi, Franco; Treu, Francesco</t>
  </si>
  <si>
    <t>Spatial distribution and interannual trends of δ18O, δ2H, and deuterium excess in precipitation across North-Eastern Italy</t>
  </si>
  <si>
    <t>Precipitation; Stable isotopes; Deuterium excess; Local meteoric water line; Vertical gradient; Mapping</t>
  </si>
  <si>
    <t>ANTARCTIC CLIMATE VARIABILITY; ISOTOPIC COMPOSITION; STABLE-ISOTOPES; WATER-VAPOR; MOISTURE SOURCES; O-18; GROUNDWATER; SLOVENIA; OXYGEN; INTERPOLATION</t>
  </si>
  <si>
    <t>NE Italy presents high-quantity, high-quality and easily exploitable groundwater resources that are seriously threatened by anthropogenic pressures. This study analyzes the oxygen and hydrogen isotopic composition of 2250 precipitation samples collected in 36 sites across the north-easternmost region of Italy, Friuli Venezia Giulia, between 1984 and 2015. This is an unprecedented dataset for North Italy with a high density of sampling sites and a decadal temporal extension. A series of both routine and original chemometric approaches were applied to investigate the temporal and spatial variability of the isotopic composition through relationships with geographical and weather variables. New statistical approaches were presented to model the seasonal and spatial patterns of isotopic composition as well as to summarize the large amount of isotopic data. Significant gradients of delta O-18 and delta H-2 were detected in the area due to the peculiar orography and climate of the region; the amplitude of the monthly patterns also presented similar gradients. The deuterium excess did not present a clear seasonality, but higher values were found in autumn. The deuterium excess-to-delta O-18 ratio exhibited typical patterns throughout the region when grouping the sites for altitude and continentality; in winter, large differences of delta O-18 were detected among groups, but deuterium excess remained almost unchanged. The inter-site correlations were moderately high across all the territory even for deseasonalized data. The local meteoric water line (using all the single samples delta H-2 = 7.8.delta O-18 + 8.9) was also estimated at annual and seasonal basis, evidencing the presence of spatial gradients according to the orographic and weather characteristics of the region. Statistically significant increasing interannual trends (0.23-0.87 parts per thousand/y) were detected in 11 sites for deuterium excess; the presence of these trends was linked to local processes. Two multiple linear regression models were applied to reconstruct the isotopic composition of precipitation at a regional scale. The stepwise approach returned the best results with root mean square errors in the 0.5-1 parts per thousand, 3.5-8.2 parts per thousand and 0.9-1.5 parts per thousand intervals for delta O-18, delta H-2, and deuterium excess, respectively. The deuterium excess was not modelled in winter, where no relationships were found with geographic variables.</t>
  </si>
  <si>
    <t>[Masiol, Mauro; Zannoni, Daniele; Stenni, Barbara; Dreossi, Giuliano] Univ Ca Foscari Venezia, Dipartimento Sci Ambientali Informat &amp; Stat, Via Torino 155, IT-30172 Mestre Venezia, Italy; [Zannoni, Daniele] Univ Bergen, Geophys Inst, NO-5020 Bergen, Norway; [Zannoni, Daniele] Bjerknes Ctr Climate Res, NO-5020 Bergen, Norway; [Stenni, Barbara; Dreossi, Giuliano] CNR, Ist Sci Polari, IT-30172 Mestre Venezia, Italy; [Zini, Luca; Calligaris, Chiara; Karlicek, Daniele; Michelini, Marzia; Flora, Onelio; Cucchi, Franco; Treu, Francesco] Univ Trieste, Dipartimento Matemat &amp; Geosci, IT-34128 Trieste, Italy</t>
  </si>
  <si>
    <t>Universita Ca Foscari Venezia; University of Bergen; Bjerknes Centre for Climate Research; Consiglio Nazionale delle Ricerche (CNR); Istituto di Scienze Polari (ISP-CNR); University of Trieste</t>
  </si>
  <si>
    <t>Masiol, M (corresponding author), Univ Ca Foscari Venezia, Dipartimento Sci Ambientali Informat &amp; Stat, Via Torino 155, IT-30172 Mestre Venezia, Italy.</t>
  </si>
  <si>
    <t>mauro.masiol@unive.it</t>
  </si>
  <si>
    <t>Masiol, Mauro/D-4819-2014; Zini, Luca/ISA-3924-2023; Zannoni, Daniele/S-9680-2019</t>
  </si>
  <si>
    <t>Masiol, Mauro/0000-0003-0809-9212; Zannoni, Daniele/0000-0003-0397-1542</t>
  </si>
  <si>
    <t>10.1016/j.jhydrol.2020.125749</t>
  </si>
  <si>
    <t>WOS:000661813200035</t>
  </si>
  <si>
    <t>Pienkowski, AJ; Husum, K; Belt, ST; Ninnemann, U; Köseoglu, D; Divine, DV; Smik, L; Knies, J; Hogan, K; Noormets, R</t>
  </si>
  <si>
    <t>Pienkowski, Anna J.; Husum, Katrine; Belt, Simon T.; Ninnemann, Ulysses; Koseoglu, Denizcan; Divine, Dmitry, V; Smik, Lukas; Knies, Jochen; Hogan, Kelly; Noormets, Riko</t>
  </si>
  <si>
    <t>Seasonal sea ice persisted through the Holocene Thermal Maximum at 80°N</t>
  </si>
  <si>
    <t>NORTHERN BARENTS SEA; ATLANTIC WATER; FRAM STRAIT; SVALBARD; CLIMATE; EVOLUTION; IDENTIFICATION; TEMPERATURE; PALEOCEANOGRAPHY; RECONSTRUCTIONS</t>
  </si>
  <si>
    <t>The cryospheric response to climatic warming responsible for recent Arctic sea ice decline can be elucidated using marine geological archives which offer an important long-term perspective. The Holocene Thermal Maximum, between 10 and 6 thousand years ago, provides an opportunity to investigate sea ice during a warmer-than-present interval. Here we use organic biomarkers and benthic foraminiferal stable isotope data from two sediment cores in the northernmost Barents Sea (&gt;80 degrees N) to reconstruct seasonal sea ice between 11.7 and 9.1 thousand years ago. We identify the continued persistence of sea-ice biomarkers which suggest spring sea ice concentrations as high as 55%. During the same period, high foraminiferal oxygen stable isotopes and elevated phytoplankton biomarker concentrations indicate the influence of warm Atlantic-derived bottom water and peak biological productivity, respectively. We conclude that seasonal sea ice persisted in the northern Barents Sea during the Holocene Thermal Maximum, despite warmer-than-present conditions and Atlantic Water inflow. The northern Barents Sea contained seasonal sea ice between 11.7 and 9.1 thousand years ago, even during the warmer-than-present Holocene Thermal Maximum and despite warm Atlantic Water inflow, according to biomarker and benthic foraminiferal stable isotope records.</t>
  </si>
  <si>
    <t>[Pienkowski, Anna J.; Husum, Katrine; Divine, Dmitry, V] Norwegian Polar Res Inst, Fram Ctr, N-9296 Tromso, Norway; [Belt, Simon T.; Koseoglu, Denizcan; Smik, Lukas] Univ Plymouth, Biogeochem Res Ctr, Sch Geog Earth &amp; Environm Sci, Plymouth PL4 8AA, Devon, England; [Ninnemann, Ulysses] UiB Univ Bergen, Dept Earth Sci, N-5007 Bergen, Norway; [Ninnemann, Ulysses] UiB Univ Bergen, Bjerknes Ctr Climate Res, N-5007 Bergen, Norway; [Knies, Jochen] Geol Survey Norway, NO-7491 Trondheim, Norway; [Knies, Jochen] UiT Arctic Univ Norway Tromso, Dept Geosci, Ctr Arctic Gas Hydrate Environm &amp; Climate, N-9037 Tromso, Norway; [Hogan, Kelly] NERC, British Antarctic Survey, Cambridge CB3 OET, England; [Noormets, Riko] Univ Ctr Svalbard UNIS, Dept Arctic Geol, N-9171 Longyearbyen, Svalbard, Norway</t>
  </si>
  <si>
    <t>Norwegian Polar Institute; University of Plymouth; Bjerknes Centre for Climate Research; Geological Survey of Norway; UiT The Arctic University of Tromso; UK Research &amp; Innovation (UKRI); Natural Environment Research Council (NERC); NERC British Antarctic Survey; University Centre Svalbard (UNIS)</t>
  </si>
  <si>
    <t>Pienkowski, AJ (corresponding author), Norwegian Polar Res Inst, Fram Ctr, N-9296 Tromso, Norway.</t>
  </si>
  <si>
    <t>Anna.Pienkowski@npolar.no</t>
  </si>
  <si>
    <t>Husum, Katrine/HGD-4711-2022; Pieńkowski, Anna J./AAL-1312-2020</t>
  </si>
  <si>
    <t>Husum, Katrine/0000-0003-1380-5900; Pieńkowski, Anna J./0000-0002-3606-7130</t>
  </si>
  <si>
    <t>Nansen Legacy Project (Norwegian Research Council) [276730]; Norwegian Polar Institute; HOLIS project - Norwegian Ministry of Climate and Environment through the Fram Centre [6622/299]; Norwegian Research Council [223259]; RCN project [245907]</t>
  </si>
  <si>
    <t>Nansen Legacy Project (Norwegian Research Council); Norwegian Polar Institute; HOLIS project - Norwegian Ministry of Climate and Environment through the Fram Centre; Norwegian Research Council(Research Council of Norway); RCN project</t>
  </si>
  <si>
    <t>This paper is a contribution to the Nansen Legacy Project (Norwegian Research Council project 276730). We acknowledge funding from the Norwegian Research Council, the Norwegian Polar Institute, and the HOLIS project funded by the Norwegian Ministry of Climate and Environment through the Fram Centre (Project no. 6622/299). J.K. and D.K. acknowledge funding from the Norwegian Research Council (Project no. 223259). FARLAB is supported by RCN project 245907. Svetlana Divina is thanked for assisting with the laboratory work, Oddveig Oien Orvoll for providing the map, and Mark Furze for helping with the figures. We are grateful to the three reviewers whose comments improved the manuscript.</t>
  </si>
  <si>
    <t>10.1038/s43247-021-00191-x</t>
  </si>
  <si>
    <t>SV3FM</t>
  </si>
  <si>
    <t>WOS:000663708300001</t>
  </si>
  <si>
    <t>Berdahl, M; Leguy, G; Lipscomb, WH; Urban, NM</t>
  </si>
  <si>
    <t>Berdahl, Mira; Leguy, Gunter; Lipscomb, William H.; Urban, Nathan M.</t>
  </si>
  <si>
    <t>Statistical emulation of a perturbed basal melt ensemble of an ice sheet model to better quantify Antarctic sea level rise uncertainties</t>
  </si>
  <si>
    <t>CENTER COUPLED MODEL; PINE ISLAND; OCEAN MODEL; CLIMATE; GLACIER; RETREAT; SHELF; VARIABILITY; PROJECTIONS; CALIBRATION</t>
  </si>
  <si>
    <t>Antarctic ice shelves are vulnerable to warming ocean temperatures, and some have already begun thinning in response to increased basal melt rates. Sea level is therefore expected to rise due to Antarctic contributions, but uncertainties in its amount and timing remain largely unquantified. In particular, there is substantial uncertainty in future basal melt rates arising from multi-model differences in thermal forcing and how melt rates depend on that thermal forcing. To facilitate uncertainty quantification in sea level rise projections, we build, validate, and demonstrate projections from a computationally efficient statistical emulator of a high-resolution (4km) Antarctic ice sheet model, the Community Ice Sheet Model version 2.1. The emulator is trained to a large (500member) ensemble of 200-year-long 4 km resolution transient ice sheet simulations, whereby regional basal melt rates are perturbed by idealized (yet physically informed) trajectories. The main advantage of our emulation approach is that by sampling a wide range of possible basal melt trajectories, the emulator can be used to (1) produce probabilistic sea level rise projections over much larger Monte Carlo ensembles than are possible by direct numerical simulation alone, thereby providing better statistical characterization of uncertainties, and (2) predict the simulated ice sheet response under differing assumptions about basal melt characteristics as new oceanographic studies are published, without having to run additional numerical ice sheet simulations. As a proof of concept, we propagate uncertainties about future basal melt rate trajectories, derived from regional ocean models, to generate probabilistic sea level rise estimates for 100 and 200 years into the future.</t>
  </si>
  <si>
    <t>[Berdahl, Mira] Univ Washington, Dept Earth &amp; Space Sci, Seattle, WA 98195 USA; [Leguy, Gunter; Lipscomb, William H.] Natl Ctr Atmospher Res, Climate &amp; Global Dynam Lab, POB 3000, Boulder, CO 80307 USA; [Berdahl, Mira; Urban, Nathan M.] Los Alamos Natl Lab, Computat Phys &amp; Methods Grp, Los Alamos, NM 87544 USA; [Urban, Nathan M.] Brookhaven Natl Lab, Computat Sci Initiat, Upton, NY 11973 USA</t>
  </si>
  <si>
    <t>University of Washington; University of Washington Seattle; National Center Atmospheric Research (NCAR) - USA; United States Department of Energy (DOE); Los Alamos National Laboratory; United States Department of Energy (DOE); Brookhaven National Laboratory</t>
  </si>
  <si>
    <t>Berdahl, M (corresponding author), Univ Washington, Dept Earth &amp; Space Sci, Seattle, WA 98195 USA.;Berdahl, M (corresponding author), Los Alamos Natl Lab, Computat Phys &amp; Methods Grp, Los Alamos, NM 87544 USA.</t>
  </si>
  <si>
    <t>mberdahl@uw.edu</t>
  </si>
  <si>
    <t>Urban, Nathan M/C-1455-2008</t>
  </si>
  <si>
    <t>Leguy, Gunter/0000-0002-9963-8076</t>
  </si>
  <si>
    <t>US DOE Office of Science [LANL21035007]; Empire State Development (ESD) Corporation [AA289]; National Center for Atmospheric Research - National Science Foundation [1852977]</t>
  </si>
  <si>
    <t>US DOE Office of Science(United States Department of Energy (DOE)); Empire State Development (ESD) Corporation; National Center for Atmospheric Research - National Science Foundation</t>
  </si>
  <si>
    <t>This work was supported by the US DOE Office of Science, grant no. LANL21035007, and Empire State Development (ESD) Corporation, award no. AA289. This material is based upon work supported by the National Center for Atmospheric Research, which is a major facility sponsored by the National Science Foundation under cooperative agreement no. 1852977.</t>
  </si>
  <si>
    <t>10.5194/tc-15-2683-2021</t>
  </si>
  <si>
    <t>SV6HU</t>
  </si>
  <si>
    <t>WOS:000663922000002</t>
  </si>
  <si>
    <t>Kirkinci, SF; Edbeib, MF; Aksoy, HM; Marakli, S; Kaya, Y</t>
  </si>
  <si>
    <t>Kirkinci, Suleyman Faruk; Edbeib, Mohamed Faraj; Aksoy, Hasan Murat; Marakli, Sevgi; Kaya, Yilmaz</t>
  </si>
  <si>
    <t>Identification of Dalapon degrading bacterial strain, Psychrobacter sp. TaeBurcu001 isolated from Antarctica</t>
  </si>
  <si>
    <t>Antarctica; Polar microorganisms; Halogenated compounds; Herbicide degrading bacteria; 16S rRNA sequencing</t>
  </si>
  <si>
    <t>ALPHA-HALOALKANOIC ACID; 3-CHLOROPROPIONIC ACID; IN-SILICO; DEHALOGENASE; 2,2-DICHLOROPROPIONATE; DEGRADATION; GENE</t>
  </si>
  <si>
    <t>Extreme microorganism has gained interest because of their special contribution to the environmental and industrial biotechnology, particularly psychrophilic microorganisms which can live and thrive at lower temperatures. They produce enzymes with great potential to adapt to extreme conditions. In this study, a novel psychrophilic bacterial strain designated as TaeBurcu001 grew (optimally at 5.C) on a chemically defined medium containing dalapon (refer to as 2,2-dichloropropionic acid, 2,2-DCP) as the sole carbon source. TaeBurcu001 was isolated from Galindez Island, Antarctica. Phylogenetic analysis based on 16S rRNA gene sequence (GeneBank ID MN061637) showed that TaeBurcu001 was closely related to members of the genus Psychrobacter (99%). Comparisons of phenotypic and biochemical characteristics between the isolate and the other known Psychrobacter species showed that they are very similar. Chloride ion release was detected using colorimetric assay with maximum value recorded at 0.27 mmol/L in 30 mM of 2,2-DCP. Furthermore, the partial dehalogenase sequence of Psychrobacter TaeBurcu001 (GeneBank ID MW311072) showed a very high similarity (88%) to the previously reported 2-haloacid dehalogenase (DehE) from Rhizobium sp. (GeneBank ID CAA75671). To the best of our knowledge, this is the first study reporting on the isolation and characterisation of psychrophilic bacteria able to grow on halogenated compounds as a carbon source. Results are expected to gain new insight for further studies to uncover the full potential of these microorganisms to be applied in environmental processes and the remediation of contaminated ecosystems.</t>
  </si>
  <si>
    <t>[Kirkinci, Suleyman Faruk; Kaya, Yilmaz] Ondokuz Mayis Univ, Dept Agr Biotechnol, Fac Agr, Samsun, Turkey; [Edbeib, Mohamed Faraj; Aksoy, Hasan Murat] Ondokuz Mayis Univ, Fac Agr, Dept Plant Protect, Samsun, Turkey; [Edbeib, Mohamed Faraj] Bani Walid Univ, Fac Med Technol, Dept Med Labs, Bani Walid, Libya; [Marakli, Sevgi] Amasya Univ, Sabuncuoglu Serefeddin Hlth Serv Vocat Sch, Dept Med Sevices &amp; Tech, TR-05100 Ipekkoy, Amasya, Turkey; [Marakli, Sevgi] Amasya Univ, Cent Res Lab, Amasya, Turkey; [Kaya, Yilmaz] Kyrgyz Turkish Manas Univ, Dept Biol, Fac Sci, Bishkek, Kyrgyzstan</t>
  </si>
  <si>
    <t>Ondokuz Mayis University; Ondokuz Mayis University; Amasya University; Amasya University; Kyrgyz Turkish Manas University</t>
  </si>
  <si>
    <t>Kaya, Y (corresponding author), Ondokuz Mayis Univ, Dept Agr Biotechnol, Fac Agr, Samsun, Turkey.;Marakli, S (corresponding author), Amasya Univ, Sabuncuoglu Serefeddin Hlth Serv Vocat Sch, Dept Med Sevices &amp; Tech, TR-05100 Ipekkoy, Amasya, Turkey.</t>
  </si>
  <si>
    <t>sevgi.marakli@amasya.edu.tr; yilmaz.kaya@omu.edu.tr</t>
  </si>
  <si>
    <t>Marakli, Sevgi/ABB-5378-2021; Kaya, Yilmaz/Q-9474-2019</t>
  </si>
  <si>
    <t>Kaya, Yilmaz/0000-0003-1506-7913; Marakli, Sevgi/0000-0001-5796-7819</t>
  </si>
  <si>
    <t>Presidency of The Republic of Turkey - Ministry of Industry and Technology</t>
  </si>
  <si>
    <t>This study was carried under the auspices of Presidency of The Republic of Turkey, supported by the Ministry of Industry and Technology, and coordinated by Istanbul Technical University (ITU) Polar Research Center (PolReC) . Field study on Galindez Island was undertaken within the scope of TAEIII. We thank all the researchers who participated in the TAEIII (Turkish Antarctic Expedition TAE III) for sample collection and valuable support.</t>
  </si>
  <si>
    <t>10.1016/j.polar.2021.100656</t>
  </si>
  <si>
    <t>SS5OZ</t>
  </si>
  <si>
    <t>WOS:000661806200001</t>
  </si>
  <si>
    <t>Belter, HJ; Krumpen, T; von Albedyll, L; Alekseeva, TA; Birnbaum, G; Frolov, SV; Hendricks, S; Herber, A; Polyakov, I; Raphael, I; Ricker, R; Serovetnikov, SS; Webster, M; Haas, C</t>
  </si>
  <si>
    <t>Belter, H. Jakob; Krumpen, Thomas; von Albedyll, Luisa; Alekseeva, Tatiana A.; Birnbaum, Gerit; Frolov, Sergei, V; Hendricks, Stefan; Herber, Andreas; Polyakov, Igor; Raphael, Ian; Ricker, Robert; Serovetnikov, Sergei S.; Webster, Melinda; Haas, Christian</t>
  </si>
  <si>
    <t>Interannual variability in Transpolar Drift summer sea ice thickness and potential impact of Atlantification</t>
  </si>
  <si>
    <t>FRAM STRAIT; SNOW DEPTH; CRYOSAT-2; FREEBOARD; PRODUCTS</t>
  </si>
  <si>
    <t>Changes in Arctic sea ice thickness are the result of complex interactions of the dynamic and variable ice cover with atmosphere and ocean. Most of the sea ice exiting the Arctic Ocean does so through Fram Strait, which is why long-term measurements of ice thickness at the end of the Transpolar Drift provide insight into the integrated signals of thermodynamic and dynamic influences along the pathways of Arctic sea ice. We present an updated summer (July- August) time series of extensive ice thickness surveys carried out at the end of the Transpolar Drift between 2001 and 2020. Overall, we see a more than 20 % thinning of modal ice thickness since 2001. A comparison of this time series with first preliminary results from the international Multidisciplinary drifting Observatory for the Study of Arctic Climate (MOSAiC) shows that the modal summer thickness of the MOSAiC floe and its wider vicinity are consistent with measurements from previous years at the end of the Transpolar Drift. By combining this unique time series with the Lagrangian sea ice tracking tool, ICETrack, and a simple thermodynamic sea ice growth model, we link the observed interannual ice thickness variability north of Fram Strait to increased drift speeds along the Transpolar Drift and the consequential variations in sea ice age. We also show that the increased increased influence of upward-directed ocean heat flux in the eastern marginal ice zones, termed Atlantification, is not only responsible for sea ice thinning in and around the Laptev Sea but also that the induced thickness anomalies persist beyond the Russian shelves and are potentially still measurable at the end of the Transpolar Drift after more than a year. With a tendency towards an even faster Transpolar Drift, winter sea ice growth will have less time to compensate for the impact processes, such as Atlantification, have on sea ice thickness in the eastern marginal ice zone, which will increasingly be felt in other parts of the sea-ice-covered Arctic.</t>
  </si>
  <si>
    <t>[Belter, H. Jakob; Krumpen, Thomas; von Albedyll, Luisa; Birnbaum, Gerit; Hendricks, Stefan; Herber, Andreas; Ricker, Robert; Haas, Christian] Alfred Wegener Inst, Helmholtz Ctr Polar &amp; Marine Res, Bremerhaven, Germany; [Alekseeva, Tatiana A.; Frolov, Sergei, V; Serovetnikov, Sergei S.] Arctic &amp; Antarctic Res Inst, St Petersburg, Russia; [Polyakov, Igor] Univ Alaska Fairbanks, Int Arctic Res Ctr, Fairbanks, AK USA; [Polyakov, Igor] Univ Alaska Fairbanks, Coll Nat Sci &amp; Math, Fairbanks, AK USA; [Polyakov, Igor] Finnish Meteorol Inst, Helsinki, Finland; [Raphael, Ian] Dartmouth Coll, Thayer Sch Engn, Hanover, NH 03755 USA; [Webster, Melinda] Univ Alaska Fairbanks, Geophys Inst, Fairbanks, AK USA; [Haas, Christian] Univ Bremen, Phys Elect Engn, Fac 1, D-1 Bremen, Germany</t>
  </si>
  <si>
    <t>Helmholtz Association; Alfred Wegener Institute, Helmholtz Centre for Polar &amp; Marine Research; Arctic &amp; Antarctic Research Institute; University of Alaska System; University of Alaska Fairbanks; University of Alaska System; University of Alaska Fairbanks; Finnish Meteorological Institute; Dartmouth College; University of Alaska System; University of Alaska Fairbanks; University of Bremen</t>
  </si>
  <si>
    <t>Belter, HJ (corresponding author), Alfred Wegener Inst, Helmholtz Ctr Polar &amp; Marine Res, Bremerhaven, Germany.</t>
  </si>
  <si>
    <t>jakob.belter@awi.de</t>
  </si>
  <si>
    <t>Hendricks, Stefan/D-5168-2011; Ricker, Robert/Z-4214-2019; Krumpen, Thomas/D-5163-2011; Alekseeva, Tatiana/K-5879-2015</t>
  </si>
  <si>
    <t>Hendricks, Stefan/0000-0002-1412-3146; Ricker, Robert/0000-0001-6928-7757; Krumpen, Thomas/0000-0001-6234-8756; von Albedyll, Luisa/0000-0002-6768-0368; Bunger, H. Jakob/0000-0001-9383-911X; Alekseeva, Tatiana/0000-0002-1575-8784; Webster, Melinda/0000-0002-5976-9485</t>
  </si>
  <si>
    <t>BMBF-funded Russian-German cooperation QUARCCS [03F0777A]; Russian Foundation for Basic Research (RFBR) [18-05-60048]</t>
  </si>
  <si>
    <t>BMBF-funded Russian-German cooperation QUARCCS; Russian Foundation for Basic Research (RFBR)(Russian Foundation for Basic Research (RFBR))</t>
  </si>
  <si>
    <t>This project was carried out in the framework of the BMBF-funded Russian-German cooperation QUARCCS (grant no. 03F0777A). The processing of visual and STK data by Tatiana A. Alekseeva, Sergei V. Frolov, and Sergei S. Serovetnikov was funded by the Russian Foundation for Basic Research (RFBR) under the research project number 18-05-60048.</t>
  </si>
  <si>
    <t>10.5194/tc-15-2575-2021</t>
  </si>
  <si>
    <t>ST1PN</t>
  </si>
  <si>
    <t>WOS:000662222700001</t>
  </si>
  <si>
    <t>Sylvester, ZT; Long, MC; Brooks, CM</t>
  </si>
  <si>
    <t>Sylvester, Zephyr T.; Long, Matthew C.; Brooks, Cassandra M.</t>
  </si>
  <si>
    <t>Detecting Climate Signals in Southern Ocean Krill Growth Habitat</t>
  </si>
  <si>
    <t>Southern Ocean; Antarctic krill; climate-change impacts; natural variability; time of emergence; Earth system modeling; marine biology; projection and prediction</t>
  </si>
  <si>
    <t>ANTARCTIC KRILL; EUPHAUSIA-SUPERBA; SEA-ICE; MARINE ECOSYSTEM; LIFE-HISTORY; MODELS; TEMPERATURE; RECRUITMENT; FOOD; VARIABILITY</t>
  </si>
  <si>
    <t>Climate change is rapidly altering the habitat of Antarctic krill (Euphausia superba), a key species of the Southern Ocean food web. Krill are a critical element of Southern Ocean ecosystems as well as biogeochemical cycles, while also supporting an international commercial fishery. In addition to trends forced by global-scale, human-driven warming, the Southern Ocean is highly dynamic, displaying large fluctuations in surface climate on interannual to decadal timescales. The dual roles of forced climate change and natural variability affecting Antarctic krill habitat, and therefore productivity, complicate interplay of observed trends and contribute to uncertainty in future projections. We use the Community Earth System Model Large Ensemble (CESM-LE) coupled with an empirically derived model of krill growth to detect and attribute trends associated with forced, human-driven climate change, distinguishing these from variability arising naturally. The forced trend in krill growth is characterized by a poleward contraction of optimal conditions and an overall reduction in Southern Ocean krill habitat. However, the amplitude of natural climate variability is relatively large, such that the forced trend cannot be formally distinguished from natural variability at local scales over much of the Southern Ocean by 2100. Our results illustrate how natural variability is an important driver of regional krill growth trends and can mask the forced trend until late in the 21st century. Given the ecological and commercial global importance of krill, this research helps inform current and future Southern Ocean krill management in the context of climate variability and change.</t>
  </si>
  <si>
    <t>[Sylvester, Zephyr T.; Brooks, Cassandra M.] Univ Colorado, Environm Studies Program, Boulder, CO 80309 USA; [Long, Matthew C.] Natl Ctr Atmospher Res, POB 3000, Boulder, CO 80307 USA</t>
  </si>
  <si>
    <t>University of Colorado System; University of Colorado Boulder; National Center Atmospheric Research (NCAR) - USA</t>
  </si>
  <si>
    <t>Sylvester, ZT (corresponding author), Univ Colorado, Environm Studies Program, Boulder, CO 80309 USA.</t>
  </si>
  <si>
    <t>zephyr.sylvester@colorado.edu</t>
  </si>
  <si>
    <t>Long, Matthew C/H-4632-2016</t>
  </si>
  <si>
    <t>Sylvester, Zephyr/0000-0002-2057-3741</t>
  </si>
  <si>
    <t>Pew Charitable Trusts; NASA [19-IDS19-0028]</t>
  </si>
  <si>
    <t>Pew Charitable Trusts; NASA(National Aeronautics &amp; Space Administration (NASA))</t>
  </si>
  <si>
    <t>CB and ZS were supported by the Pew Charitable Trusts. ML was supported by NASA grant 19-IDS19-0028.</t>
  </si>
  <si>
    <t>10.3389/fmars.2021.669508</t>
  </si>
  <si>
    <t>SV4WF</t>
  </si>
  <si>
    <t>WOS:000663821600001</t>
  </si>
  <si>
    <t>San Martín, AA; Viola, MNP; Riccialdelli, L; Torres, MA; Dellabianca, NA</t>
  </si>
  <si>
    <t>San Martin, A. A.; Paso Viola, M. N.; Riccialdelli, L.; Torres, M. A.; Dellabianca, N. A.</t>
  </si>
  <si>
    <t>First confirmed stranding of a fin whale (Balaenoptera physalus) in Tierra del Fuego, Argentina</t>
  </si>
  <si>
    <t>Balaenoptera physalus; Necropsy; Sub-Antarctic waters; South Atlantic Ocean</t>
  </si>
  <si>
    <t>MEJILLONES BAY; AREA; TREMATODA; RECORDS; WATERS; COAST</t>
  </si>
  <si>
    <t>Fin whales (Balaenoptera physalus) can be found worldwide, in oceanic waters, though are rarely found in coastal areas of wide and shallow continental platforms such as those in the western South Atlantic Ocean. Here we report the first confirmed stranding of a B. physalus off the Atlantic coast of Tierra del Fuego (TDF), in July (austral winter) of 2016. In addition, a bibliographic review of the strandings of this species was carried out on the Argentinian coasts and especially on TDF. The animal was fresh when it was found and may have been alive at the moment of the stranding. The specimen was a physically immature female with a total length 15.8 m. No injuries or fishing gear were observed to suggest accidental entanglement or vessel collision. The specimen's stomachs were empty except for a low-grade infestation with the trematode Ogmogaster antarcticus, but without any associated macroscopic gastric pathology. Although the necropsy was carried out within a few hours of death, we could not make an accurate diagnosis of the cause of death. However, the insufficient fat deposits indicate a bad physical condition and may have contributed to its stranding and subsequent death. This specimen represents the first confirmed stranding of this species in TDF.</t>
  </si>
  <si>
    <t>[San Martin, A. A.; Riccialdelli, L.; Torres, M. A.; Dellabianca, N. A.] Consejo Nacl Invest Cient &amp; Tecn, CADIC, Consejo Nacl Invest Cient &amp; Tecn, Ctr Austral Invest Cient, Ushuaia, Tierra Del Fueg, Argentina; [San Martin, A. A.; Dellabianca, N. A.] Fdn R Natalie P Goodall, Museo Acatushun Aves &amp; Mamiferos Marinos Australe, Ea Harberton, Tierra Del Fueg, Argentina; [San Martin, A. A.; Paso Viola, M. N.; Riccialdelli, L.; Torres, M. A.; Dellabianca, N. A.] IMMA Project, Invest Mamiferos Marinos Australes, Ushuaia, Tierra Del Fueg, Argentina; [Paso Viola, M. N.] Univ Nacl Tierra Del Fuego, Ushuaia, Tierra Del Fueg, Argentina</t>
  </si>
  <si>
    <t>San Martín, AA (corresponding author), Consejo Nacl Invest Cient &amp; Tecn, CADIC, Consejo Nacl Invest Cient &amp; Tecn, Ctr Austral Invest Cient, Ushuaia, Tierra Del Fueg, Argentina.;San Martín, AA (corresponding author), Fdn R Natalie P Goodall, Museo Acatushun Aves &amp; Mamiferos Marinos Australe, Ea Harberton, Tierra Del Fueg, Argentina.;San Martín, AA (corresponding author), IMMA Project, Invest Mamiferos Marinos Australes, Ushuaia, Tierra Del Fueg, Argentina.</t>
  </si>
  <si>
    <t>analiasmn@gmail.com</t>
  </si>
  <si>
    <t>Paso Viola, Maria Natalia/0000-0001-9344-1910</t>
  </si>
  <si>
    <t>Centro Austral de Investigaciones Cientificas-Consejo Nacional de Investigaciones Cientificas y Tecnicas of Argentina (CADIC-CONICET); Fundacion R. Natalie P. Goodall; CONICET</t>
  </si>
  <si>
    <t>Centro Austral de Investigaciones Cientificas-Consejo Nacional de Investigaciones Cientificas y Tecnicas of Argentina (CADIC-CONICET); Fundacion R. Natalie P. Goodall; CONICET(Consejo Nacional de Investigaciones Cientificas y Tecnicas (CONICET))</t>
  </si>
  <si>
    <t>We give thanks to Centro Austral de Investigaciones Cientificas-Consejo Nacional de Investigaciones Cientificas y Tecnicas of Argentina (CADIC-CONICET) and Fundacion R. Natalie P. Goodall for the economic and logistical support. We are indebted to Maria Paula Sotelano, Natalia Rosciano, Agustina Dellabianca, Fernando Encinas, Guillermo Lopez Barrios and Agustin Ramos for their help during the necropsy. We also thank Tabare Barreto (Centro de Interpretacion de la Reserva Costa Atlantica); Maria Luisa Carranza, Erio Curto, Soraya Acardi (Secretaria de Ambiente Desarrollo Sustentable y Cambio Climatico de Tierra del Fuego); the staff of Gobierno Municipal and of Prefectura Naval Argentina, as well as Luis Benegas, for their help and assistance during the necropsy. We also thank Tabare Barretos for providing us with the skeleton photos of the fin whale specimen. We especially thank M. F. Van Bressem and K. Van Waerebeek for providing several constructive comments to improve the manuscript and Gracie Bouker for helping with the English edition. We kindly thank J.A. Raga and F.J. Aznar for their opinion on the cutaneous scars seen on the fin whale and P. Duignan for his comments on the lung samples. We kindly acknowledge Dr. F.I. Archer and anonymous reviewers for their constructive comments on the manuscript. A.S.M.'s work was supported under a Ph.D. fellowship from CONICET. The necropsy was conducted by the IMMA Project under provincial permits granted by Secretaria de Ambiente, Desarrollo Sostenible y Cambio Climatico (Res. SUBS P. A. y S No 0002/2017).</t>
  </si>
  <si>
    <t>10.1007/s00300-021-02905-5</t>
  </si>
  <si>
    <t>WOS:000661740100001</t>
  </si>
  <si>
    <t>Wehi, PM; van Uitregt, V; Scott, NJ; Gillies, T; Beckwith, J; Rodgers, RP; Watene, K</t>
  </si>
  <si>
    <t>Wehi, Priscilla M.; van Uitregt, Vincent; Scott, Nigel J.; Gillies, Tasman; Beckwith, Jacinta; Rodgers, Rata Pryor; Watene, Krushil</t>
  </si>
  <si>
    <t>Transforming Antarctic management and policy with an Indigenous Maori lens (May, 10.1038/s41559-021-01466-4, 2021)</t>
  </si>
  <si>
    <t>priscilla.wehi@otago.ac.nz</t>
  </si>
  <si>
    <t>Wehi, Priscilla M/B-7236-2011</t>
  </si>
  <si>
    <t>Wehi, Priscilla/0000-0001-9821-8160</t>
  </si>
  <si>
    <t>10.1038/s41559-021-01507-y</t>
  </si>
  <si>
    <t>TS6QJ</t>
  </si>
  <si>
    <t>WOS:000661789400001</t>
  </si>
  <si>
    <t>Chisham, G; Burrell, AG; Marchaudon, A; Shepherd, SG; Thomas, EG; Ponomarenko, P</t>
  </si>
  <si>
    <t>Chisham, Gareth; Burrell, Angeline G.; Marchaudon, Aurelie; Shepherd, Simon G.; Thomas, Evan G.; Ponomarenko, Pasha</t>
  </si>
  <si>
    <t>Comparison of interferometer calibration techniques for improved SuperDARN elevation angles</t>
  </si>
  <si>
    <t>SuperDARN; Ionosphere; HF radar; Interferometer calibration; Geolocation</t>
  </si>
  <si>
    <t>RADAR NETWORK SUPERDARN; METEOR ECHOES; HF-RADARS; BACKSCATTER; DIRECTION; CUTLASS</t>
  </si>
  <si>
    <t>The high frequency radars in the Super Dual Auroral Radar Network (SuperDARN) estimate the elevation angles of returned backscatter using interferometric techniques. These elevation angles allow the ground range to the scattering point to be estimated, which is crucial for the accurate geolocation of ionospheric measurements. For elevation angles to be accurately estimated, it is important to calibrate the interferometer measurements by determining the difference in the signal time delays caused by the difference in the electrical path lengths from the main array and the interferometer array to the point at which the signals are correlated. This time delay is known as i(diff). Several methods have been proposed to estimate i(diff) using historical observations; these methods are summarised in this paper. Comparisons of the t(diff) estimates from the different calibration methods are presented and sources of uncertainty discussed. The effect of errors in the estimated i(diff) value on the accuracy of geolocation is evaluated and discussed. The paper concludes with a series of recommendations for both scientific SuperDARN data users and SuperDARN radar operators.</t>
  </si>
  <si>
    <t>[Chisham, Gareth] British Antarctic Survey, Cambridge, England; [Burrell, Angeline G.] Naval Res Lab, 4555 Overlook Ave SW, Washington, DC 20375 USA; [Marchaudon, Aurelie] Univ Toulouse, Inst Rech Astrophys &amp; Planetol, CNRS, CNES, Toulouse, France; [Shepherd, Simon G.; Thomas, Evan G.] Dartmouth Coll, Thayer Sch Engn, Hanover, NH 03755 USA; [Ponomarenko, Pasha] Univ Saskatchewan, Saskatoon, SK, Canada</t>
  </si>
  <si>
    <t>UK Research &amp; Innovation (UKRI); Natural Environment Research Council (NERC); NERC British Antarctic Survey; United States Department of Defense; United States Navy; Naval Research Laboratory; Centre National de la Recherche Scientifique (CNRS); Universite de Toulouse; Universite Toulouse III - Paul Sabatier; Dartmouth College; University of Saskatchewan</t>
  </si>
  <si>
    <t>Chisham, G (corresponding author), British Antarctic Survey, Cambridge, England.</t>
  </si>
  <si>
    <t>gchi@bas.ac.uk; angeline.burrell@nrl.navy.mil; aurelie.marchaudon@irap.omp.eu; simon.g.shepherd@dartmouth.edu; evan.g.thomas@dartmouth.edu; pbp672@usask.ca</t>
  </si>
  <si>
    <t>Ponomarenko, Pasha/IUQ-8133-2023</t>
  </si>
  <si>
    <t>Ponomarenko, Pasha/0000-0001-8407-0193</t>
  </si>
  <si>
    <t>national scientific funding agency of Australia; national scientific funding agency of Canada; national scientific funding agency of China; national scientific funding agency of France; national scientific funding agency of Italy; national scientific funding agency of Japan; national scientific funding agency of Norway; national scientific funding agency of South Africa; national scientific funding agency of UK; national scientific funding agency of United States; Innovation Saskatchewan, Canada; Canadian Space Agency; BAS Polar Science for Planet Earth Programme - UK Natural Environment Research Council (NERC), United Kingdom Research and Innovation (UKRI); Chief of Naval Research; National Science Foundation, USA [OPP-1836426, AGS-1341925, AGS-1934997]; CNRS, France; CNES, France; CEA, France; Institut Paul Emile Victor (IPEV); Canada Foundation for Innovation; NERC [bas0100031] Funding Source: UKRI</t>
  </si>
  <si>
    <t>national scientific funding agency of Australia; national scientific funding agency of Canada; national scientific funding agency of China; national scientific funding agency of France; national scientific funding agency of Italy; national scientific funding agency of Japan; national scientific funding agency of Norway; national scientific funding agency of South Africa; national scientific funding agency of UK; national scientific funding agency of United States; Innovation Saskatchewan, Canada; Canadian Space Agency(Canadian Space Agency); BAS Polar Science for Planet Earth Programme - UK Natural Environment Research Council (NERC), United Kingdom Research and Innovation (UKRI); Chief of Naval Research; National Science Foundation, USA(National Science Foundation (NSF)); CNRS, France(Centre National de la Recherche Scientifique (CNRS)); CNES, France(Centre National D'etudes Spatiales); CEA, France(French Atomic Energy Commission); Institut Paul Emile Victor (IPEV); Canada Foundation for Innovation(Canada Foundation for InnovationCGIARSpanish Government); NERC(UK Research &amp; Innovation (UKRI)Natural Environment Research Council (NERC))</t>
  </si>
  <si>
    <t>The authors acknowledge the use of SuperDARN data. SuperDARN is a collection of radars funded by the national scientific funding agencies of Australia, Canada, China, France, Italy, Japan, Norway, South Africa, UK, and United States. The raw SuperDARN data are available from the British Antarctic Survey (BAS) SuperDARN data mirror (https://www.bas.ac.uk/project/superdarn).The operations of the SuperDARN Canada radars are supported by the Canada Foundation for Innovation, Innovation Saskatchewan, Canada, and the Canadian Space Agency. GC is supported as part of the BAS Polar Science for Planet Earth Programme, funded by the UK Natural Environment Research Council (NERC) as part of United Kingdom Research and Innovation (UKRI). AGB is supported by the Chief of Naval Research. EGT thanks the National Science Foundation, USA (NSF) for support under grant OPP-1836426. AM thanks the Programme National Soleil-Terre de l'Institut des Sciences de l'Univers (PNST/INSU) funded by CNRS, France, CNES, France and CEA, France and the Institut Paul Emile Victor (IPEV) for supporting French SuperDARN activities. SGS acknowledges support from NSF, USA grants AGS-1341925 and AGS-1934997.</t>
  </si>
  <si>
    <t>10.1016/j.polar.2021.100638</t>
  </si>
  <si>
    <t>SS6NL</t>
  </si>
  <si>
    <t>WOS:000661871700006</t>
  </si>
  <si>
    <t>Priyadarshi, S; Zhang, QH; Wang, Y</t>
  </si>
  <si>
    <t>Priyadarshi, S.; Zhang, Q. -H.; Wang, Y.</t>
  </si>
  <si>
    <t>Geomagnetic storm-time scintillation study in Antarctica-A comparison of model and observation</t>
  </si>
  <si>
    <t>Scintillation; Polar-ionosphere; Geomagnetic storm; GPS; GNSS; Space weather</t>
  </si>
  <si>
    <t>IONOSPHERIC SCINTILLATIONS; PHASE SCINTILLATION; HIGH-LATITUDES; IRREGULARITIES; REGION</t>
  </si>
  <si>
    <t>The polar region is the gateway of the magnetospheric processes induced due to the solar events; through which Sun-illuminated plasma enter into the polar ionosphere. In this paper we are presenting the comparative study of the South Pole B-spline ionospheric scintillation model and ionospheric scintillation/total electron content (TEC) comparison tool (that uses only observed data) associated with the three famous geomagnetic storm case studies over Antarctica during the year 2013, 17 March, 07 June, and 02 October respectively. A few significant Antarctica research studies related to the geomagnetic storm time scintillation investigations and their outcomes are also reviewed. Our results show weak phase scintillation and almost no amplitude scintillation occurs during the dark winter month in Antarctica and the scintillations mostly appear due to the irregularities generated through cusp/auroral precipitation. We have observed significant phase scintillation in the dusk sector and premagnetic-midnight sectors during the winter storm. However, during the summer geomagnetic storms, we have observed both the amplitude and phase scintillation in the pre and post magnetic noon sectors over Antarctica. The discussed comparative case studies corroborate the available research literature to date and presents additional information on the storm time ionospheric scintillation in Antarctica due to geomagnetic storms.</t>
  </si>
  <si>
    <t>[Priyadarshi, S.] Southern Univ Sci &amp; Technol, Dept Earth &amp; Space Sci, Shenzhen 518055, Peoples R China; [Zhang, Q. -H.; Wang, Y.] Shandong Univ, Shandong Prov Key Lab Opt Astron &amp; Solar Terr Env, Inst Space Sci, Weihai 264209, Peoples R China</t>
  </si>
  <si>
    <t>Southern University of Science &amp; Technology; Shandong University</t>
  </si>
  <si>
    <t>Priyadarshi, S (corresponding author), Southern Univ Sci &amp; Technol, Dept Earth &amp; Space Sci, Shenzhen 518055, Peoples R China.</t>
  </si>
  <si>
    <t>spshishir@gmail.com</t>
  </si>
  <si>
    <t>Zhang, Qing-He/G-4572-2014</t>
  </si>
  <si>
    <t>Zhang, Qing-He/0000-0003-2429-4050</t>
  </si>
  <si>
    <t>Institute of Space Sciences Shandong University, China; National Natural Science Foundation [41574138, 41274149, 41274148]; Shandong Provincial Natural Science Foundation [JQ201412]; International Collaboration Supporting Project, Chinese Arctic and Antarctic Administration [IC201511]; National Science Foundation [PLR-1248062, PLR -1247975, PLR-1248087]</t>
  </si>
  <si>
    <t>Institute of Space Sciences Shandong University, China; National Natural Science Foundation(National Natural Science Foundation of China (NSFC)); Shandong Provincial Natural Science Foundation(Natural Science Foundation of Shandong Province); International Collaboration Supporting Project, Chinese Arctic and Antarctic Administration; National Science Foundation(National Science Foundation (NSF))</t>
  </si>
  <si>
    <t>This work was supported by China Postdoctoral International Exchange Program Grant from the Institute of Space Sciences Shandong University, China; the National Natural Science Foundation (grants 41574138, 41274149, and 41274148); the Shandong Provincial Natural Science Foundation (grant JQ201412); and the International Collaboration Supporting Project, Chinese Arctic and Antarctic Administration (IC201511). We gratefully acknowledge support from the USA, National Science Foundation grants PLR-1248062, PLR -1247975, and PLR-1248087. Data used in the present paper have been downloaded from Madrigal database (http://madrigal.iggcas.ac.cn/madrigal/), The NASA OMNIWEB server (http://omniweb.gsfc.nasa.gov/) and NOAA (http://www.ngdc.noaa.gov/stp/satellite/dmsp/).We also acknowledge the use of SuperDARN data (http://vt.superdarn.org/tiki-index.php).SuperDARN is a collection of radars funded by national scientific funding agencies of Australia, Canada, China, France, Japan, South Africa, United Kingdom and the United States of America. The Dst (SYMH), AE, AU, and AL index which was provided from WDC for Geomagnetism, Kyoto. OMNIWeb is just a portal of data distribution. http://wd c.kugi.kyoto-u.ac.jp/wdc/cresample.html.</t>
  </si>
  <si>
    <t>10.1016/j.polar.2020.100634</t>
  </si>
  <si>
    <t>WOS:000661871700005</t>
  </si>
  <si>
    <t>Bayram, LÇ; Abay, S; Saticioglu, IB; Güvenç, T; Ekebas, G; Aydin, F</t>
  </si>
  <si>
    <t>Bayram, Latife Cakir; Abay, Secil; Saticioglu, Izzet Burcin; Guvenc, Tolga; Ekebas, Gorkem; Aydin, Fuat</t>
  </si>
  <si>
    <t>The ocular pyogranulomatous lesion in a Gentoo penguin (Pygoscelis papua) from the Antarctic Peninsula: evaluation of microbiological and histopathological analysis outcomes</t>
  </si>
  <si>
    <t>VETERINARY RESEARCH COMMUNICATIONS</t>
  </si>
  <si>
    <t>Gentoo penguin (Pygoscelis papua); Ocular exfoliative cytology; Pyogranulomatous inflammation; Putative novel bacteria; Inflammatory mediators; Immunohistochemistry</t>
  </si>
  <si>
    <t>OPHTHALMIC DIAGNOSTIC-TESTS; INTRAOCULAR-PRESSURE; ANTIBIOTIC-RESISTANCE; BACTERIAL-FLORA; PHYLOGENETIC ANALYSIS; AVIAN OPHTHALMOLOGY; SURFACE DISEASE; TEAR PRODUCTION; CYTOLOGY; EYE</t>
  </si>
  <si>
    <t>In this study, it was aimed to present the results of microbiological, cytological, histopathological, and immunohistochemical analyses of ocular samples from an Antarctic (Ardley Island, King George Island) Gentoo penguin chick (Pygoscelis papua) with a pyogranulomatous lesion in the right eye. Samples were taken from both the healthy left eye and the lesion in the right eye. Conventional culture methods and phenotypic and molecular tests were used for bacterial isolation and identification, respectively. None of the isolates could be identified phenotypically. As a result, four of the five isolates obtained from the right eye were considered to belong to putative novel bacterial species and taxa as their similarity to GenBank data was below 98.75%. The isolates were considered to be Pasteurellaceae bacterium, Corynebacterium ciconiae, Cardiobacteriaceae bacterium, Actinomyces sp., and Dermabacteraceae bacterium. The only isolate from the left eye was identified as Psychrobacter pygoscelis. The cytological analysis demonstrated cell infiltrates composed mostly of degenerate heterophils, reactive macrophages, plasma cells, lymphocytes, and eosinophils. Based on histopathological findings, the lesion was defined as a typical pyogranulomatous lesion. Immunohistochemistry demonstrated that the granuloma was positive for TNF-alpha, IL-4, MMP-9, IL-1 beta, and IL-6. This is the first documented report of the unilateral pyogranulomatous ocular lesion in a Gentoo penguin chick, living in its natural habitat in Antarctica. This report also describes the isolation of four bacteria from the infected eye, which are considered to belong to novel Genus, species, or taxa. The primary bacterial pathogen that caused the ocular lesion was not able to be detected and remains unclear.</t>
  </si>
  <si>
    <t>[Bayram, Latife Cakir; Ekebas, Gorkem] Erciyes Univ, Fac Vet Med, Dept Pathol, Kayseri, Turkey; [Abay, Secil; Aydin, Fuat] Erciyes Univ, Fac Vet Med, Dept Microbiol, Kayseri, Turkey; [Saticioglu, Izzet Burcin] Erciyes Univ, Fac Vet Med, Dept Aquat Anim Dis, Kayseri, Turkey; [Guvenc, Tolga] Ondokuz Mayis Univ, Fac Vet Med, Dept Pathol, Samsun, Turkey</t>
  </si>
  <si>
    <t>Erciyes University; Erciyes University; Erciyes University; Ondokuz Mayis University</t>
  </si>
  <si>
    <t>Bayram, LÇ (corresponding author), Erciyes Univ, Fac Vet Med, Dept Pathol, Kayseri, Turkey.</t>
  </si>
  <si>
    <t>lcakir@erciyes.edu.tr</t>
  </si>
  <si>
    <t>ABAY, Seçil/AAI-9526-2021; EKEBAŞ, Görkem/AAS-9163-2021; saticioglu, Izzet Burcin/AAD-4156-2019</t>
  </si>
  <si>
    <t>saticioglu, Izzet Burcin/0000-0002-2721-3204</t>
  </si>
  <si>
    <t>Scientific and Technological Research Council of Turkey (TUBITAK) [119Z847]; Erciyes University, Kayseri, Turkey</t>
  </si>
  <si>
    <t>Scientific and Technological Research Council of Turkey (TUBITAK)(Turkiye Bilimsel ve Teknolojik Arastirma Kurumu (TUBITAK)); Erciyes University, Kayseri, Turkey(Erciyes University)</t>
  </si>
  <si>
    <t>Some parts of this study including bacteriological, cytological, histopathological, and immunohistochemical analyses of the ocular samples examined were financially supported by Rectorate of Erciyes University, Kayseri, Turkey and other part of this study including the 16S rRNA gene sequence analyses of the bacteria isolated was financially supported by Scientific and Technological Research Council of Turkey (TUBITAK; project number: 119Z847).</t>
  </si>
  <si>
    <t>0165-7380</t>
  </si>
  <si>
    <t>1573-7446</t>
  </si>
  <si>
    <t>VET RES COMMUN</t>
  </si>
  <si>
    <t>Vet. Res. Commun.</t>
  </si>
  <si>
    <t>10.1007/s11259-021-09796-1</t>
  </si>
  <si>
    <t>UC6YD</t>
  </si>
  <si>
    <t>WOS:000661347800001</t>
  </si>
  <si>
    <t>Najjarifarizhendi, B; Uenzelmann-Neben, G</t>
  </si>
  <si>
    <t>Najjarifarizhendi, Banafsheh; Uenzelmann-Neben, Gabriele</t>
  </si>
  <si>
    <t>Footprints of palaeocurrents in sedimentary sequences of the Cenozoic across the Maurice Ewing Bank</t>
  </si>
  <si>
    <t>Falkland/Malvinas Plateau; South Atlantic; Seismic reflection data; DSDP Leg 36 and 71; Sediment drifts; Oceanic currents</t>
  </si>
  <si>
    <t>ANTARCTIC CIRCUMPOLAR CURRENT; SOUTHERN-OCEAN; FALKLAND ISLANDS; TECTONIC EVOLUTION; CONTOURITE DRIFTS; ATLANTIC SECTOR; BOUNTY TROUGH; DEEP WATERS; SCOTIA SEA; CIRCULATION</t>
  </si>
  <si>
    <t>High-resolution seismic reflection data across the Maurice Ewing Bank, the easternmost section of the Falkland/Malvinas Plateau in the SW South Atlantic, is integrated with information from Deep Sea Drilling Project Leg 36, Sites 327, 329, and 330 and Leg 71 Site 511. Five seismic units were identified ranging in age from the middle Jurassic to Quaternary and are interpreted with respect to the evolution of the oceanic circulation in the Atlantic sector of the Southern Ocean in response to tectonic and climatic events. Sedimentary sequences of late Cretaceous and early Paleogene include little and restricted evidence of current activity, attributable to shallow/intermediate-depth connections between the developing South Atlantic and the Southern Ocean. In contrast, sedimentary sequences of the late Eocene/Oligocene and Neogene reveal a history of strong current-related erosion and deposition. These features are identified in specific water-depth ranges and interpreted to document proto-Upper and -Lower Circumpolar Deep Waters to have shaped the bank since the Oligocene. The Maurice Ewing Bank bathymetric high thus has been acting as a barrier for the deep and bottom water masses flowing within the Antarctic Circumpolar Current since its establishment at the Eocene-Oligocene boundary. This study provides evidence for a multi-layered ocean already in the Paleocene/early Eocene.</t>
  </si>
  <si>
    <t>[Najjarifarizhendi, Banafsheh; Uenzelmann-Neben, Gabriele] Alfred Wegener Inst Polar &amp; Marine Res, Alten Hafen 26, D-27568 Bremerhaven, Germany</t>
  </si>
  <si>
    <t>Helmholtz Association; Alfred Wegener Institute, Helmholtz Centre for Polar &amp; Marine Research</t>
  </si>
  <si>
    <t>Najjarifarizhendi, B (corresponding author), Alfred Wegener Inst Polar &amp; Marine Res, Alten Hafen 26, D-27568 Bremerhaven, Germany.</t>
  </si>
  <si>
    <t>banafsheh.najjarifarizhendi@awi.de</t>
  </si>
  <si>
    <t>Uenzelmann-Neben, Gabriele/0000-0002-0115-5923</t>
  </si>
  <si>
    <t>Deutsche Forschungsgemeinschaft (DFG); DFG [Ue 49/23]</t>
  </si>
  <si>
    <t>Deutsche Forschungsgemeinschaft (DFG)(German Research Foundation (DFG)); DFG(German Research Foundation (DFG))</t>
  </si>
  <si>
    <t>We are grateful for the support of Captain R. Schmidt and his crew during cruise MSM81 with RV Maria S Merian. The data collection was funded within the core program METEOR/MERIAN provided by the Deutsche Forschungsgemeinschaft (DFG). This work was funded by the DFG under grant no. Ue 49/23. We further would like to thank the two reviewers (one anonymous and A. Tassone) and the guest editor E. Miramontes for their helpful comments, which improved the manuscript. This work used data provided by the Deep Sea Drilling Project (DSDP). The authors would like to thank Emerson E&amp;P Software, Emerson Automation Solutions, for providing licenses for their seismic processing and mapping software Paradigm in the scope of the Emerson Academic Program.</t>
  </si>
  <si>
    <t>10.1016/j.margeo.2021.106525</t>
  </si>
  <si>
    <t>TC2DG</t>
  </si>
  <si>
    <t>WOS:000668451400015</t>
  </si>
  <si>
    <t>Still, H; Hulbe, C</t>
  </si>
  <si>
    <t>Still, Holly; Hulbe, Christina</t>
  </si>
  <si>
    <t>Mechanics and dynamics of pinning points on the Shirase Coast, West Antarctica</t>
  </si>
  <si>
    <t>GROUNDING-LINE DYNAMICS; PINE ISLAND GLACIER; ROSS ICE SHELF; STICKY SPOTS; SHEET; STABILITY; FORCE; FRICTION; BENEATH; FLOW</t>
  </si>
  <si>
    <t>Ice rises and rumples, sites of localised ice-shelf grounding, modify ice-shelf flow by generating lateral and basal shear stresses, upstream compression, and downstream tension. Studies of pinning points typically quantify this role indirectly, through related metrics such as a buttressing number. Here, we quantify the dynamic effects of pinning points directly, by comparing model-simulated stress states in the Ross Ice Shelf (RIS) with and without a specific set of pinning points located downstream of the MacAyeal and Bindschadler ice streams (MacIS and BIS, respectively). Because ice properties are only known indirectly, the experiment is repeated with different realisations of the ice softness. While longitudinal stretching, and thus ice velocity, is smaller with the pinning points, flow resistance generated by other grounded features is also smaller. Conversely, flow resistance generated by other grounded features increases when the pinning points are absent, providing a non-local control on the net effect of the pinning points on ice-shelf flow. We find that an ice stream located directly upstream of the pinning points, MacIS, is less responsive to their removal than the obliquely oriented BIS. This response is due to zones of locally higher basal drag acting on MacIS, which may itself be a consequence of the coupled ice-shelf and ice-stream response to the pinning points. We also find that inversion of present-day flow and thickness for basal friction and ice softness, without feature-specific, a posteriori adjustment, leads to the incorrect representation of ice rumple morphology and an incorrect boundary condition at the ice base. Viewed from the perspective of change detection, we find that, following pinning point removal, the ice shelf undergoes an adjustment to a new steady state that involves an initial increase in ice speeds across the eastern ice shelf, followed by decaying flow speeds, as mass flux reduces thickness gradients in some areas and increases thickness gradients in others. Increases in ice-stream flow speeds persist with no further adjustment, even without sustained grounding-line retreat. Where pinning point effects are important, model tuning that respects their morphology is necessary to represent the system as a whole and inform interpretations of observed change.</t>
  </si>
  <si>
    <t>[Still, Holly; Hulbe, Christina] Univ Otago, Natl Sch Surveying, Dunedin, New Zealand</t>
  </si>
  <si>
    <t>University of Otago</t>
  </si>
  <si>
    <t>Still, H (corresponding author), Univ Otago, Natl Sch Surveying, Dunedin, New Zealand.</t>
  </si>
  <si>
    <t>holly.still@otago.ac.nz</t>
  </si>
  <si>
    <t>Still, Holly/0000-0002-6021-1964</t>
  </si>
  <si>
    <t>New Zealand Post Antarctic Scholarship; New Zealand Antarctic Research Institute (NZARI) [2014-11]; New Zealand Antarctic Science Platform; University of Otago</t>
  </si>
  <si>
    <t>New Zealand Post Antarctic Scholarship; New Zealand Antarctic Research Institute (NZARI); New Zealand Antarctic Science Platform; University of Otago</t>
  </si>
  <si>
    <t>This work was supported by the New Zealand Post Antarctic Scholarship; the New Zealand Antarctic Research Institute (NZARI)-funded Aotearoa New Zealand Ross Ice Shelf Programme, Vulnerability of the Ross Ice Shelf in a Warming World (grant no. 2014-11); the New Zealand Antarctic Science Platform; and a University of Otago postgraduate publishing bursary.</t>
  </si>
  <si>
    <t>JUN 14</t>
  </si>
  <si>
    <t>10.5194/tc-15-2647-2021</t>
  </si>
  <si>
    <t>ST1QX</t>
  </si>
  <si>
    <t>WOS:000662226300002</t>
  </si>
  <si>
    <t>Falk, U; Silva-Busso, A</t>
  </si>
  <si>
    <t>Falk, Ulrike; Silva-Busso, Adrian</t>
  </si>
  <si>
    <t>Discharge of groundwater flow to Potter Cove on King George Island, Antarctic Peninsula</t>
  </si>
  <si>
    <t>HYDROLOGY AND EARTH SYSTEM SCIENCES</t>
  </si>
  <si>
    <t>LARSEN ICE SHELF; MARINE ECOSYSTEM; CLIMATE-CHANGE; MASS-BALANCE; BREAK-UP; VARIABILITY; SENSITIVITY; EVOLUTION; SURFACE; CAP</t>
  </si>
  <si>
    <t>There are only a small number of recent publications discussing glacial runoff in Antarctica, and even fewer of them deal with the groundwater flow discharge. This paper focuses on the groundwater flow aspects and is based on a detailed study performed on a small hydrological catchment, informally called Potter basin, located on King George Island (KGI; Isla 25 de Mayo), South Shetland Islands, at the northern tip of the Antarctic Peninsula. The basin is representative for the rugged coastline of the northern Antarctic Peninsula and is discussed as a case study for the possible future evolution of similar basins further to the south. A conceptual hydrogeological model has been defined using vertical electrical soundings (VESs), geological and hydrogeological surveying methods, geomorphological interpretation based on satellite imagery, permeability tests, piezometric level measurements, meteorological, geocryological and glaciological data sets. The transmissivities of the fluvial talik aquifer and suprapermafrost aquifer range from 162.0 to 2719.9 x 10(-5) m(2) s(-1) and in basaltic fissured aquifers from 3.47 to 5.79 x 10(-5) m(2) s(-1). The transmissivities found in the active layer of hummocky moraines amount to 75.23 x 10(-5) m(2) s(-1) and to 163.0 x 10(-5) m(2) s(-1) in the sea deposits, and in the fluvioglacial deposits, they were observed between 902.8 and 2662.0 x 10(-5) m(2) d(-1). Finally, the groundwater flow discharge was assessed to 0.47 m(3) s(-1) (during the austral summer months of January and February), and the total groundwater storage was estimated to 560 x 10(3) m(3). The Antarctic Peninsula region has experienced drastic climatological changes within the past five decades. Under the Intergovernmental Panel on Climate Change scenarios, a further warming of the polar regions can be expected as polar amplification of our changing climate. Although the basin in consideration is small and results are valid only during austral summers with surface air temperatures above the freezing point, it serves as model study that can be regarded as representative for the western coastline of the Antarctic Peninsula further south under expected future warming, with surface air temperatures periodically surpassing freezing point. This data can be used to adjust glacial mass balance assessments in the region and to improve the understanding of coastal sea water processes, and their effects on the marine biota, as a consequence of the global climate change.</t>
  </si>
  <si>
    <t>[Falk, Ulrike] Bremen Univ, Climate Lab, Inst Geog, Bremen, Germany; [Falk, Ulrike] Univ Bonn, Ctr Remote Sensing Land Surfaces ZFL, Bonn, Germany; [Silva-Busso, Adrian] Univ Buenos Aires, Fac Exact &amp; Nat Sci, Buenos Aires, DF, Argentina; [Silva-Busso, Adrian] Inst Nacl Agua, Buenos Aires, DF, Argentina</t>
  </si>
  <si>
    <t>University of Bremen; University of Bonn; University of Buenos Aires</t>
  </si>
  <si>
    <t>Falk, U (corresponding author), Bremen Univ, Climate Lab, Inst Geog, Bremen, Germany.;Falk, U (corresponding author), Univ Bonn, Ctr Remote Sensing Land Surfaces ZFL, Bonn, Germany.</t>
  </si>
  <si>
    <t>ulrike.falk@gmail.com</t>
  </si>
  <si>
    <t>Falk, Ulrike/0000-0003-1586-1295</t>
  </si>
  <si>
    <t>Bundesministerium fur Bildung und Forschung (IMCOAST) [AZ 03F0617B]; Seventh Framework Programme (IMCONET) [318718]</t>
  </si>
  <si>
    <t>Bundesministerium fur Bildung und Forschung (IMCOAST)(Federal Ministry of Education &amp; Research (BMBF)); Seventh Framework Programme (IMCONET)(European Union (EU))</t>
  </si>
  <si>
    <t>This research has been supported by the Bundesministerium fur Bildung und Forschung (IMCOAST; grant no. AZ 03F0617B) and the Seventh Framework Programme (IMCONET; grant no. 318718).</t>
  </si>
  <si>
    <t>1027-5606</t>
  </si>
  <si>
    <t>1607-7938</t>
  </si>
  <si>
    <t>HYDROL EARTH SYST SC</t>
  </si>
  <si>
    <t>Hydrol. Earth Syst. Sci.</t>
  </si>
  <si>
    <t>10.5194/hess-25-3227-2021</t>
  </si>
  <si>
    <t>Geosciences, Multidisciplinary; Water Resources</t>
  </si>
  <si>
    <t>Geology; Water Resources</t>
  </si>
  <si>
    <t>ST1ND</t>
  </si>
  <si>
    <t>WOS:000662216200001</t>
  </si>
  <si>
    <t>Fatima, S; Adams, M; Wilkinson, R</t>
  </si>
  <si>
    <t>Fatima, Shafaq; Adams, Mark; Wilkinson, Ryan</t>
  </si>
  <si>
    <t>Effects of advanced and continuous photoperiod regimes on maturation control and profiles of sex steroids in brook trout (Salvelinus fontinalis)</t>
  </si>
  <si>
    <t>AUSTRALIAN JOURNAL OF ZOOLOGY</t>
  </si>
  <si>
    <t>brook trout; gonadal development; oestradiol-17 beta; photoperiod manipulation; Salvelinus fontinalis; Tasmania; testosterone; control of maturation; continuous photoperiod; advanced photoperiod</t>
  </si>
  <si>
    <t>SALMON SALMO-SALAR; ATLANTIC SALMON; RAINBOW-TROUT; REPRODUCTIVE-CYCLE; GENE-EXPRESSION; PINEAL ORGAN; TEMPERATURE; LIGHT; MELATONIN; GONADOTROPIN</t>
  </si>
  <si>
    <t>Maturation of salmonid species reduces growth, flesh quality and immunocompetency and has inhibited, in part, the commercial production of brook trout in Tasmania. Photoperiod manipulation is routinely used to inhibit or reduce the incidence of maturation in salmonids, so an experimental adaptation of this approach was trialled experimentally for brook trout. Mixed-sex fish (age = 14 months) were subjected to simulated natural photoperiod (NP), advanced photoperiod (AP) and continuous photoperiod (CP) to investigate the response of endogenous circannual rhythm upon sexual maturity in this species. Light treatments commenced on the first day of the last month of the southern hemisphere's winter and concluded towards the end of autumn when fish were ovulating. Maturation was observed in 100% of females and 96% of males held under NP. Fish exposed to AP corrected their maturation cycle by advanced phase shift of their endogenous rhythm for eight weeks and achieved final maturation during March-April. Plasma profiles of testosterone and oestradiol-17 beta were also adjusted according to advancement of photoperiod. Exposure to AP inhibited maturation by 6% and 8% in males and females, respectively. CP treatment for 10 consecutive months failed to inhibit gonadal development; however, this regime did delay or inhibit spermiation and ovulation.</t>
  </si>
  <si>
    <t>[Fatima, Shafaq; Adams, Mark; Wilkinson, Ryan] Univ Tasmania, Inst Marine &amp; Antarctic Studies IMAS, Launceston, Tas 7250, Australia</t>
  </si>
  <si>
    <t>Fatima, S (corresponding author), Univ Tasmania, Inst Marine &amp; Antarctic Studies IMAS, Launceston, Tas 7250, Australia.</t>
  </si>
  <si>
    <t>shafaq.fatima@y7mail.com</t>
  </si>
  <si>
    <t>fatima, shafaq/0000-0002-7133-3633</t>
  </si>
  <si>
    <t>University of Tasmania, Australia</t>
  </si>
  <si>
    <t>All sources of funding for the research were provided by University of Tasmania, Australia.</t>
  </si>
  <si>
    <t>0004-959X</t>
  </si>
  <si>
    <t>1446-5698</t>
  </si>
  <si>
    <t>AUST J ZOOL</t>
  </si>
  <si>
    <t>Aust. J. Zool.</t>
  </si>
  <si>
    <t>10.1071/ZO20058</t>
  </si>
  <si>
    <t>UW6VI</t>
  </si>
  <si>
    <t>WOS:000661141400001</t>
  </si>
  <si>
    <t>Pritchard, HD</t>
  </si>
  <si>
    <t>Pritchard, Hamish D.</t>
  </si>
  <si>
    <t>Global Data Gaps in Our Knowledge of the Terrestrial Cryosphere</t>
  </si>
  <si>
    <t>FRONTIERS IN CLIMATE</t>
  </si>
  <si>
    <t>snowfall; glacier; ice; water; SWE; survey; instrument</t>
  </si>
  <si>
    <t>SNOW WATER EQUIVALENT; SURFACE MASS-BALANCE; ALPINE GLACIERS; PRECIPITATION; ICE; ASIA; COMPONENTS; GAUGE</t>
  </si>
  <si>
    <t>The IPCC Special Report on Oceans and Cryosphere in a Changing Climate identified major gaps in our knowledge of snow and glacier ice in the terrestrial cryosphere. These gaps are limiting our ability to predict the future of the energy and water balance of the Earth's surface, which in turn affect regional climate, biodiversity and biomass, the freezing and thawing of permafrost, the seasonal supply of water for one sixth of the global population, the rate of global sea level rise and the risk of riverine and coastal flooding. Snow and ice are highly susceptible to climate change but although their spatial extents are routinely monitored, the fundamental property of their water content is remarkably poorly observed. Specifically, there is a profound lack of basic but problematic observations of the amount of water supplied by snowfall and of the volume of water stored in glaciers. As a result, the climatological precipitation of the mountain cryosphere is, for example, biassed low by 50-100%, and biases in the volume of glacier ice are unknown but are likely to be large. More and better basic observations of snow and ice water content are urgently needed to constrain climate models of the cryosphere, and this requires a transformation in the capabilities of snow-monitoring and glacier-surveying instruments. I describe new solutions to this long-standing problem that if deployed widely could achieve this transformation.</t>
  </si>
  <si>
    <t>[Pritchard, Hamish D.] British Antarctic Survey, Cambridge, England</t>
  </si>
  <si>
    <t>Pritchard, HD (corresponding author), British Antarctic Survey, Cambridge, England.</t>
  </si>
  <si>
    <t>hprit@bas.ac.uk</t>
  </si>
  <si>
    <t>UK Natural Environment Research Council</t>
  </si>
  <si>
    <t>UK Natural Environment Research Council(UK Research &amp; Innovation (UKRI)Natural Environment Research Council (NERC))</t>
  </si>
  <si>
    <t>&amp; nbsp;HP was funded by the UK Natural Environment Research Council.</t>
  </si>
  <si>
    <t>2624-9553</t>
  </si>
  <si>
    <t>FRONT CLIM</t>
  </si>
  <si>
    <t>Front. Clim.</t>
  </si>
  <si>
    <t>10.3389/fclim.2021.689823</t>
  </si>
  <si>
    <t>Environmental Sciences; Environmental Studies</t>
  </si>
  <si>
    <t>L4XT2</t>
  </si>
  <si>
    <t>WOS:001023317900001</t>
  </si>
  <si>
    <t>Larue, F; Picard, G; Aublanc, J; Arnaud, L; Robledano-Perez, A; Le Meur, E; Favier, V; Jourdain, B; Savarino, J; Thibaut, P</t>
  </si>
  <si>
    <t>Larue, Fanny; Picard, Ghislain; Aublanc, Jeremie; Arnaud, Laurent; Robledano-Perez, Alvaro; Le Meur, Emmanuel; Favier, Vincent; Jourdain, Bruno; Savarino, Joel; Thibaut, Pierre</t>
  </si>
  <si>
    <t>Radar altimeter waveform simulations in Antarctica with the Snow Microwave Radiative Transfer Model (SMRT)</t>
  </si>
  <si>
    <t>REMOTE SENSING OF ENVIRONMENT</t>
  </si>
  <si>
    <t>Antarctic ice sheet; SMRT; Remote sensing; Radar altimetry; Waveform; Modeling; Field measurements</t>
  </si>
  <si>
    <t>ARCTIC SEA-ICE; SURFACE-ROUGHNESS; DIELECTRIC-PROPERTIES; TEMPORAL VARIABILITY; FREEBOARD RETRIEVAL; PENETRATION DEPTH; ENVISAT ALTIMETER; DOME C; SHEET; CRYOSAT-2</t>
  </si>
  <si>
    <t>Radar altimeters are important tools to monitor the volume of the ice sheets. The penetration of radar waves in the snowpack is a major source of uncertainty to retrieve surface elevation. To correct this effect, a better understanding of the sensitivity of the radar waveforms to snow properties is needed. Here, we present an extension of the Snow Model Radiative Transfer (SMRT) to compute radar waveforms and conduct a series of simulations on the Antarctic ice sheet. SMRT is driven by snow and surface roughness properties measured over a large latitudinal range during two field campaigns on the Antarctic Plateau. These measurements show that the snowpack is rougher, denser, less stratified, warmer, and has smaller snow grains near the coast than on the central Plateau. These simulations are compared to satellite observations in the Ka, Ku, and S bands. SMRT reproduces the observed waveforms well. For all sites and all sensors, the main contribution comes from the surface echo. The echo from snow grains (volume scattering) represents up to 40% of the amplitude of the total waveform power in the Ka band, and less at the lower frequencies. The highest amplitude is observed on the central Plateau due to the combination of higher reflection from the surface, higher scattering by snow grains in the Ka and Ku bands, and higher inter-layer reflections in the S band. In the Ka band, the wave penetrates in the snowpack less deeply on the central Plateau than near the coast because of the strong scattering caused by the larger snow grains. The opposite is observed in the S band, the wave penetrates deeper on the central Plateau because of the lower absorption due to the lower snow temperatures. The elevation bias caused by wave penetration into the snowpack show a constant bias of 10 cm for all sites in the Ka band, and a bias of 11 cm, and 21 cm in the Ku band for sites close to the coast and the central Plateau, respectively. Now that SMRT is performing waveform simulations, further work will address how the snowpack properties affect the parameters retrieved by more advanced retracking algorithms such as ICE-2 for different snow cover surfaces.</t>
  </si>
  <si>
    <t>[Larue, Fanny; Picard, Ghislain; Arnaud, Laurent; Robledano-Perez, Alvaro; Le Meur, Emmanuel; Favier, Vincent; Jourdain, Bruno; Savarino, Joel] Univ Grenoble Alpes, CNRS, Inst Geosci Environm IGE, UMR 5001, F-38041 Grenoble, France; [Robledano-Perez, Alvaro] Univ Grenoble Alpes, Univ Toulouse, Meteo France, CNRS,CNRM,Ctr Etud Neige, F-38000 Grenoble, France; [Aublanc, Jeremie; Thibaut, Pierre] Collette Localisat Satellites CLS, F-31520 Ramonville St Agne, France</t>
  </si>
  <si>
    <t>Centre National de la Recherche Scientifique (CNRS); CNRS - National Institute for Earth Sciences &amp; Astronomy (INSU); Communaute Universite Grenoble Alpes; Universite Grenoble Alpes (UGA); Meteo France; Centre National de la Recherche Scientifique (CNRS); Communaute Universite Grenoble Alpes; Universite Grenoble Alpes (UGA)</t>
  </si>
  <si>
    <t>Picard, G (corresponding author), Univ Grenoble Alpes, CNRS, Inst Geosci Environm IGE, UMR 5001, F-38041 Grenoble, France.</t>
  </si>
  <si>
    <t>ghislain.picard@univ-grenoble-alpes.fr</t>
  </si>
  <si>
    <t>Picard, Ghislain/D-4246-2013; Favier, Vincent/T-1936-2017; savarino, joel/H-9730-2012</t>
  </si>
  <si>
    <t>Picard, Ghislain/0000-0003-1475-5853; savarino, joel/0000-0002-6708-9623; Aublanc, Jeremie/0009-0000-3090-8093; Robledano Perez, Alvaro/0000-0002-4046-7065; Larue, Fanny/0000-0003-2166-4802</t>
  </si>
  <si>
    <t>EAIIST project [ANR-16-CE01-0011]; National Antarctic Research Program (PNRA); French Research National Agency (Project ANR program) [1-JS56-005-01, ANR14-CE01-0001, ANR-07-VULN-013]; BNP-Paribas Foundation [ESTEC:4000112698/14/NL/LvH, ESTEC:4000126504/19/NL/NA]; Institut Polaire Francais Paul-Emile Victor (IPEV)</t>
  </si>
  <si>
    <t>EAIIST project; National Antarctic Research Program (PNRA); French Research National Agency (Project ANR program)(Agence Nationale de la Recherche (ANR)); BNP-Paribas Foundation; Institut Polaire Francais Paul-Emile Victor (IPEV)</t>
  </si>
  <si>
    <t>This study was supported by the EAIIST project (ANR-16-CE010011), the Institut Polaire Francais Paul-Emile Victor (IPEV), the National Antarctic Research Program (PNRA), the French Research National Agency (Project ANR program 1-JS56-005-01 MONISNOW, ANR14-CE01-0001 ASUMA, ANR-07-VULN-013 VANISH). The BNP-Paribas Foundation is also acknowledged for providing EAIIST funding through its Climate Initiative program. We acknowledge the European Space Agency (ESA) for the financial support allowing the initial development of SMRT (ESTEC:4000112698/14/NL/LvH) and the altimeter extension (Polar Monitoring Mission project, ESTEC:4000126504/19/NL/NA). The authors would like to warmly thank all the participants of the ASUMA and EAIIST traverses for their tremendous field contributions allowing the collection of the crucial in-situ measurements used in this study.</t>
  </si>
  <si>
    <t>0034-4257</t>
  </si>
  <si>
    <t>1879-0704</t>
  </si>
  <si>
    <t>REMOTE SENS ENVIRON</t>
  </si>
  <si>
    <t>Remote Sens. Environ.</t>
  </si>
  <si>
    <t>10.1016/j.rse.2021.112534</t>
  </si>
  <si>
    <t>Environmental Sciences; Remote Sensing; Imaging Science &amp; Photographic Technology</t>
  </si>
  <si>
    <t>Environmental Sciences &amp; Ecology; Remote Sensing; Imaging Science &amp; Photographic Technology</t>
  </si>
  <si>
    <t>WA4RA</t>
  </si>
  <si>
    <t>WOS:000702872900005</t>
  </si>
  <si>
    <t>Rümmler, MC; Esefeld, J; Hallabrin, MT; Pfeifer, C; Mustafa, O</t>
  </si>
  <si>
    <t>Ruemmler, Marie-Charlott; Esefeld, Jan; Hallabrin, Manuel Tim; Pfeifer, Christian; Mustafa, Osama</t>
  </si>
  <si>
    <t>Emperor penguin reactions to UAVs: First observations and comparisons with effects of human approach</t>
  </si>
  <si>
    <t>APTENODYTES-FORSTERI; DISTURBANCE; AIR; EYE</t>
  </si>
  <si>
    <t>The use of UAVs has greatly increased in recent years, worldwide and in the Antarctic. Their use has recently increased even in very remote and pristine regions of the Antarctic. There is, however, very little information on the sensitivity of Antarctic species to such disturbance. In particular, there is nothing on the emperor penguin (Aptenodytes forsteri), a flagship species of the region. We therefore, during November 2019, tested the responses of emperor penguins at the Atka Bay colony (Queen Maud Land). We video recorded the behaviour of adults and chicks during multimtor UAV activity and human approach. There were, in general, only moderate responses with distinct reactions in fewer than 20% of individuals observed. Chicks increased vigilance behaviour during UAV activity but both adults and chicks did so during human approach. We saw the greatest reaction in chicks during vertical UAV approach. Adults showed intermediate reactions to vertical UAV approach but only very few reactions to horizontal flights.</t>
  </si>
  <si>
    <t>marie-charlott.ruemmler@think-jena.de; jan.esefeld@uni-jen.de; mhallabrin@gmail.com; Christian.pfeifer@think-jena.de; osama.mustafa@think-jena.de</t>
  </si>
  <si>
    <t>Pfeifer, Christian/0000-0002-9003-5519; Mustafa, Osama/0000-0002-1548-0647</t>
  </si>
  <si>
    <t>German Environment Agency [FKZ 3719 18 202 0]</t>
  </si>
  <si>
    <t>The study was funded by the German Environment Agency (FKZ 3719 18 202 0) . Logistics were provided by the Alfred Wegener Institute, Helmholtz Centre for Polar and Marine Research (AWI) . We would like to thank the station personnel of Neumayer Station III, and the members of SPOT and MARE for ongoing support during field work. The text was edited during revision by Dr A. J. Davis of English Experience Language Services, Godttingen, Germany.</t>
  </si>
  <si>
    <t>10.1016/j.rsase.2021.100545</t>
  </si>
  <si>
    <t>UC8GH</t>
  </si>
  <si>
    <t>WOS:000686759900003</t>
  </si>
  <si>
    <t>Gal, JK; Choi, B; Kim, BK; Jung, JW; Min, JO; Lee, WY; Shin, KH; Kim, JH; Ha, SY</t>
  </si>
  <si>
    <t>Gal, Jong-Ku; Choi, Bohyung; Kim, Bo-Kyung; Jung, Jin-Woo; Min, Jun-Oh; Lee, Won Young; Shin, Kyung-Hoon; Kim, Jeong-Hoon; Ha, Sun-Yong</t>
  </si>
  <si>
    <t>Trophic niche of seabirds on the Barton Peninsula, King George Island, Antarctica</t>
  </si>
  <si>
    <t>Antarctic seabirds; Isotopic niche; Trophic position; Stable isotope analysis; Antarctic Peninsula</t>
  </si>
  <si>
    <t>KRILL EUPHAUSIA-SUPERBA; SOUTH SHETLAND ISLANDS; STABLE-ISOTOPES; KELP GULL; CLIMATE-CHANGE; DELTA N-15; FOOD; NITROGEN; DIET; PREDATORS</t>
  </si>
  <si>
    <t>Drastic sea ice retreats in the Antarctic Peninsula, and the consequent environmental changes have brought about the consequences of biological adaptation and food competition. The isotopic niche is reflected by the ecological position and functional role of a species, which can be altered depending on these environmental changes. We assessed the isotopic niche and trophic positions (TP) of 3 seabirds on the Barton Peninsula, King George Island, Antarctica, to understand ecological interaction among the species. The average TP of Antarctic krill (Euphausia superba) (hereafter krill) (2.6 +/- 0.1) was estimated by using the compiled published data of the compound-specific nitrogen isotope ratio of glutamic acid and phenylalanine in the Southern Ocean, and TP values of the seabirds based on that of krill to be reliable according to ecological knowledge. Our results on the overlap of the isotopic niches of seabirds suggests potential diet competition among the consumers, such as the brown skua (Stercorarius antarcticus) and south polar skua (Stercorarius maccormicki), whereas the distinct and broad isotopic niche width of kelp gulls (Larus dominicanus) suggesting that their adaptation through generalization was related to their extended habitat and various food sources. Our research indicates that isotopic niche of seabirds reflects their survival strategy for food competition. Consequently, these seabirds can be easily influenced by alternative food sources, including terrestrial and human-derived sources, by rapid environmental changes, indicating that they are valuable as key environmental species and require long-term monitoring in the Antarctic Peninsula.</t>
  </si>
  <si>
    <t>[Gal, Jong-Ku; Kim, Bo-Kyung; Min, Jun-Oh; Lee, Won Young; Kim, Jeong-Hoon; Ha, Sun-Yong] Korea Polar Res Inst, Incheon 21990, South Korea; [Choi, Bohyung] Natl Inst Fisheries Sci, Inland Fisheries Res Inst, Gapyeong 12453, South Korea; [Jung, Jin-Woo] Natl Inst Ecol, Res Ctr Endangered Species, Yeongyang Gun 36531, Gyeongsangbuk D, South Korea; [Min, Jun-Oh; Shin, Kyung-Hoon] Hanyang Univ, Dept Marine Sci &amp; Convergence Technol, Ansan 15588, South Korea</t>
  </si>
  <si>
    <t>Korea Polar Research Institute (KOPRI); National Institute of Fisheries Science; National Institute of Ecology; Hanyang University</t>
  </si>
  <si>
    <t>Kim, JH; Ha, SY (corresponding author), Korea Polar Res Inst, Incheon 21990, South Korea.</t>
  </si>
  <si>
    <t>jhkim94@kopri.re.kr; syha@kopri.re.kr</t>
  </si>
  <si>
    <t>Kim, Bo Kyung/GRY-2456-2022; Gal, Jong-Ku/JMC-5276-2023; Shin, Kyung-Hoon/AAD-6999-2021</t>
  </si>
  <si>
    <t>Kim, Bo Kyung/0009-0005-4890-701X; Shin, Kyung-Hoon/0000-0002-3169-4274; Lee, Won Young/0000-0002-5658-6341</t>
  </si>
  <si>
    <t>Korea Polar Research Institute, South Korea [PE20170, PE21110, PE21130]; National Institute of Fisheries Science - South Korea [R2021036]</t>
  </si>
  <si>
    <t>Korea Polar Research Institute, South Korea(Korea Polar Research Institute of Marine Research Placement (KOPRI)); National Institute of Fisheries Science - South Korea</t>
  </si>
  <si>
    <t>We would like to thank the Editor and reviewers for providing useful feedback that helped improve the clarity our manuscript. We thank the Korea Antarctic overwintering members for the kind field assistance at the Sejong Station. This study was supported by the project 'Carbon cycle change and ecosystem response under the Southern Ocean warming (PE20170 (current project ID: PE21110) ) ', and 'Ecophysiology of Antarctic terrestrial organisms to reveal mechanisms of adaptation to a changing environment (PE21130) ', funded by Korea Polar Research Institute, South Korea. And this work was also supported by the National Institute of Fisheries Science - South Korea (R2021036) .</t>
  </si>
  <si>
    <t>SEP 5</t>
  </si>
  <si>
    <t>10.1016/j.ecss.2021.107443</t>
  </si>
  <si>
    <t>TS0YJ</t>
  </si>
  <si>
    <t>WOS:000679383300001</t>
  </si>
  <si>
    <t>Arcoleo, A; Bianchi, F; Careri, M</t>
  </si>
  <si>
    <t>Arcoleo, Angela; Bianchi, Federica; Careri, Maria</t>
  </si>
  <si>
    <t>A sensitive microextraction by packed sorbent-gas chromatography-mass spectrometry method for the assessment of polycyclic aromatic hydrocarbons contamination in Antarctic surface snow</t>
  </si>
  <si>
    <t>Microextraction by packed sorbents; Polycyclic aromatic hydrocarbons; Antarctica; Snow; Gas chromatography-mass spectrometry</t>
  </si>
  <si>
    <t>SOLID-PHASE EXTRACTION; ONLINE MICROEXTRACTION; HUMAN PLASMA; EQUILIBRIUM CONDITIONS; EXPERIMENTAL-DESIGN; ORGANIC POLLUTANTS; SAMPLE PREPARATION; POLAR ICE; WATER; LIQUID</t>
  </si>
  <si>
    <t>For the first time an eco-friendly method involving microextraction by packed sorbent (MEPS) coupled to gas chromatography-mass spectrometry (GC-MS) was developed for the determination of the 16 US-EPA priority pollutant polycyclic aromatic hydrocarbons (PAHs) as indicators of anthropogenic contamination in snow samples collected in polar regions. MEPS was carried out by using C8 sorbent material packed in a barrel insert and needle (BIN) and integrated in the eVol (R) semi-automatic device. For optimization purposes a Face Centred Design and the multicriteria method of the desirability functions were performed to investigate the effect of some parameters affecting the MEPS extraction efficiency, i.e. the number of loading cycles and the number of elution cycles. The developed MEPS-GC-MS method proved to be suitable for PAHs analysis at ultra-trace level by extracting small sample volumes achieving detection limits for 16 PAHs in the 0.3-5 ng L-1 range, repeatability and intermediate precision below 11% and 15%, respectively, and good recovery rates in the 77.6 (+/- 0.1)-120.8 (+/- 0.1)% range for spiked blank snow samples. Enrichment factors in the 64 (+/- 7)-129 (+/- 18) range were calculated. Finally, the proposed method was successfully applied to the determination of PAHs in surface snow samples collected in 2020-2021 from four locations of Northern Victoria Land, Antarctica. Local emission sources such as ships and research stations were found to influence PAHs concentrations in the surface snow.</t>
  </si>
  <si>
    <t>[Arcoleo, Angela; Bianchi, Federica; Careri, Maria] Univ Parma, Dept Chem Life Sci &amp; Environm Sustainabil, Parco Area Sci 17-A, I-43124 Parma, Italy</t>
  </si>
  <si>
    <t>University of Parma</t>
  </si>
  <si>
    <t>Careri, M (corresponding author), Univ Parma, Dept Chem Life Sci &amp; Environm Sustainabil, Parco Area Sci 17-A, I-43124 Parma, Italy.</t>
  </si>
  <si>
    <t>maria.careri@unipr.it</t>
  </si>
  <si>
    <t>Bianchi, Federica/J-4912-2012</t>
  </si>
  <si>
    <t>Bianchi, Federica/0000-0001-7880-5624; Arcoleo, Angela/0000-0002-8172-518X</t>
  </si>
  <si>
    <t>MIUR Progetti di Ricerca di Rilevante Interesse Nazionale (PRIN) [2017EZNJWN]; MIUR Programma Nazionale di Ricerca in Antartide (PNRA) [PNRA18_00229]; Italian Ministry for Education, University and Research (MIUR) [2018-2022]</t>
  </si>
  <si>
    <t>MIUR Progetti di Ricerca di Rilevante Interesse Nazionale (PRIN)(Ministry of Education, Universities and Research (MIUR)); MIUR Programma Nazionale di Ricerca in Antartide (PNRA)(Ministry of Education, Universities and Research (MIUR)); Italian Ministry for Education, University and Research (MIUR)(Ministry of Education, Universities and Research (MIUR))</t>
  </si>
  <si>
    <t>This work was supported by the projects Innovative Analytical Methods to study biogenic and anthropogenic proxies in Ice COres funded by the MIUR Progetti di Ricerca di Rilevante Interesse Nazionale (PRIN) -grant 2017EZNJWN and Emerging COntaminants in Antarctic Snow: sources and TRAnsport (ECO AS:TRA) funded by the MIUR Programma Nazionale di Ricerca in Antartide (PNRA) -grant PNRA18_00229. This work has also benefited from the framework of the COMP-HUB Initiative, funded by the 'Departments of Excellence' program of the Italian Ministry for Education, University and Research (MIUR, 2018-2022) .</t>
  </si>
  <si>
    <t>10.1016/j.chemosphere.2021.131082</t>
  </si>
  <si>
    <t>TR8RV</t>
  </si>
  <si>
    <t>WOS:000679228400009</t>
  </si>
  <si>
    <t>Nirazuka, S; Makabe, R; Swadling, KM; Moteki, M</t>
  </si>
  <si>
    <t>Nirazuka, Satoshi; Makabe, Ryosuke; Swadling, Kerrie M.; Moteki, Masato</t>
  </si>
  <si>
    <t>Phyto-detritus feeding by early-stage larvae of Electrona antarctica (Myctophidae) off Wilkes Land in the Southern Ocean, austral summer 2017</t>
  </si>
  <si>
    <t>Myctophids; Larval food habit; East Antarctica; Southern Ocean; Larvacean houses; Marine snow</t>
  </si>
  <si>
    <t>TRANSITION REGION; PREDATORY IMPACT; MESOPELAGIC FISH; EAST ANTARCTICA; PELAGIC FISHES; SEA; ECOLOGY; ZOOPLANKTON; PISCES; TROPHODYNAMICS</t>
  </si>
  <si>
    <t>Myctophid fish function as a significant trophic link between zooplankton and higher predators in the oceanic ecosystems of the Southern Ocean. Although Electrona antarctica is one of the most abundant myctophids in the Southern Ocean, its early life history remains unclear. We analysed the food composition and details of gut contents of larval E. antarctica (5.0-11.9 mm standard length) using both light microscopy and scanning electron microscopy. Larvae were collected in January 2017 off Wilkes Land, East Antarctica. Detailed observations showed that the larvae fed mainly on aggregated particles composed largely of diatom frustules and diatom fragments (phyto-detritus); however, the species feeds mainly on zooplankton after completion of the larval stage. We found, on average, 1.5 phyto-detrital particles per individual and 0.15 zooplankton particles per individual among early-stage larvae. Phyto-detritus was found in 47% of the larval guts analysed. Separated intact diatom frustules were rarely found, and the numbers were negligible. Twenty-nine percent of aggregates contained shreds of larvacean filters. Thus, larval E. antarctica feeds mainly on phyto-detritus, sinking particles containing larvacean houses and other aggregated particles. We also concluded that, unlike observations from previous studies, zooplankton were a less important food source for the early-stage larvae. This study provided fundamental knowledge about diet of biomass-dominant myctophid fish during the early larval stage, which contributes to our understanding of the life history of E. antarctica and also to oceanic food webs in the Southern Ocean.</t>
  </si>
  <si>
    <t>[Nirazuka, Satoshi; Makabe, Ryosuke; Moteki, Masato] Tokyo Univ Marine Sci &amp; Technol, Minato Ku, 4-5-7 Konan, Tokyo 1088477, Japan; [Nirazuka, Satoshi; Swadling, Kerrie M.] Univ Tasmania, Australian Antarctic Program Partnership, Battery Point, Tas 7004, Australia; [Nirazuka, Satoshi; Swadling, Kerrie M.] Univ Tasmania, Inst Marine &amp; Antarctic Studies, Battery Point, Tas 7004, Australia; [Makabe, Ryosuke; Moteki, Masato] Natl Inst Polar Res, 10-3 Midori Cho, Tachikawa, Tokyo 1908518, Japan; [Makabe, Ryosuke] Grad Univ Adv Studies SOKENDAI, Dept Polar Sci, 10-3 Midori Cho, Tachikawa, Tokyo, Japan</t>
  </si>
  <si>
    <t>Tokyo University of Marine Science &amp; Technology; University of Tasmania; University of Tasmania; Research Organization of Information &amp; Systems (ROIS); National Institute of Polar Research (NIPR) - Japan; Graduate University for Advanced Studies - Japan</t>
  </si>
  <si>
    <t>Nirazuka, S; Moteki, M (corresponding author), Tokyo Univ Marine Sci &amp; Technol, Minato Ku, 4-5-7 Konan, Tokyo 1088477, Japan.;Nirazuka, S (corresponding author), Univ Tasmania, Australian Antarctic Program Partnership, Battery Point, Tas 7004, Australia.;Nirazuka, S (corresponding author), Univ Tasmania, Inst Marine &amp; Antarctic Studies, Battery Point, Tas 7004, Australia.;Moteki, M (corresponding author), Natl Inst Polar Res, 10-3 Midori Cho, Tachikawa, Tokyo 1908518, Japan.</t>
  </si>
  <si>
    <t>nirazukas@gmail.com; masato@kaiyodai.ac.jp</t>
  </si>
  <si>
    <t>Australian Antarctic Science Grant [4331]; NIPR [KP-4, KP-308]; Japanese Ministry of Education, Culture, Sports, Science and Technology [S162N126100001]; [15H05239]; [17H06319]; [AP-0923]; Grants-in-Aid for Scientific Research [20H04313] Funding Source: KAKEN</t>
  </si>
  <si>
    <t>Australian Antarctic Science Grant; NIPR(National Institute of Polar Research (NIPR) - Japan); Japanese Ministry of Education, Culture, Sports, Science and Technology(Ministry of Education, Culture, Sports, Science and Technology, Japan (MEXT)); ; ; ; Grants-in-Aid for Scientific Research(Ministry of Education, Culture, Sports, Science and Technology, Japan (MEXT)Japan Society for the Promotion of ScienceGrants-in-Aid for Scientific Research (KAKENHI))</t>
  </si>
  <si>
    <t>We thank the captain, officers and crew who operated the training vessel Umitaka-maru during the research cruise. We are grateful to Drs. D. Welsford and S. Kawaguchi of the Australian Antarctic Division, Dr. R. Eriksen of CSIRO Oceans and Atmosphere, Dr. K. Matsuno of Hokkaido University, Drs. S. Takao and M. Sano of the National Institute of Polar Research (NIPR) and Drs. H. Kohno and T. Katano of Tokyo University of Marine Science and Technology for the helpful discussions. We also thank Drs. Martin Collins, Ryan A. Saunders and an anonymous reviewer for the critical reading of the manuscript. The laboratory component of the present study was supported by Australian Antarctic Science Grant 4331 (to K. Swadling). The study was supported in part by a Grant-in-Aid for Science (nos. 15H05239 and 17H06319 to M. Moteki) and funding from the NIPR through research project no. KP-4 and KP-308 (PI: T. Odate of NIPR), ordinary research project no. AP-0923 (PI: M. Moteki) and a Tobitate study abroad initiative organised by the Japanese Ministry of Education, Culture, Sports, Science and Technology no. S162N126100001 (to S. Nirazuka).</t>
  </si>
  <si>
    <t>10.1007/s00300-021-02880-x</t>
  </si>
  <si>
    <t>TB4BM</t>
  </si>
  <si>
    <t>WOS:000660800000001</t>
  </si>
  <si>
    <t>Morozov, EG; Shirshov, DIF</t>
  </si>
  <si>
    <t>Morozov, Eugene G.; Shirshov, Dmitry I. Frey</t>
  </si>
  <si>
    <t>CTD data over a repeated section in the Vema Channel</t>
  </si>
  <si>
    <t>DATA IN BRIEF</t>
  </si>
  <si>
    <t>Article; Data Paper</t>
  </si>
  <si>
    <t>CTD; Vema Channel; Abyssal water; Antarctic bottom water; Abyssal currents; South Atlantic</t>
  </si>
  <si>
    <t>FLOW</t>
  </si>
  <si>
    <t>We present a CTD dataset of repeated sections across the Vema Channel in the South Atlantic approximately along 31 degrees 12' S between longitudes 39 degrees 18.0 W and 39 degrees 30.0' W. The Vema Channel is a narrow conduit for Antarctic Bottom Water across the Rio Grande Rise. The measurements at CTD stations (Conductivity-Temperature-Depth) across the Vema Channel were started by German scientists in 1991. In 2002, Russian scientists took part in this work and have been establishing stations across this standard section until recently. The data were collected using the Sea-Bird Electronics SBE-19 profiler. The data are presented in tabular format. (C) 2021 The Author(s). Published by Elsevier Inc.</t>
  </si>
  <si>
    <t>[Morozov, Eugene G.; Shirshov, Dmitry I. Frey] Russian Acad Sci, Shirshov Inst Oceanol, Moscow, Russia</t>
  </si>
  <si>
    <t>Morozov, EG (corresponding author), Russian Acad Sci, Shirshov Inst Oceanol, Moscow, Russia.</t>
  </si>
  <si>
    <t>egmorozov@mail.ru</t>
  </si>
  <si>
    <t>Morozov, Eugene G/L-3023-2018</t>
  </si>
  <si>
    <t>Shirshov Institute of Oceanology, Russian Academy of Sciences [0128-2021-002]; Russian Science Foundation [2021-77-20004]</t>
  </si>
  <si>
    <t>Shirshov Institute of Oceanology, Russian Academy of Sciences; Russian Science Foundation(Russian Science Foundation (RSF))</t>
  </si>
  <si>
    <t>The expeditions were financially supported by the state assignment of the Shirshov Institute of Oceanology, Russian Academy of Sciences (the recent theme is 0128-2021-002) . Data processing and preparation for publication was supported by the Russian Science Foun-dation (project no. 2021-77-20 0 04) .</t>
  </si>
  <si>
    <t>2352-3409</t>
  </si>
  <si>
    <t>DATA BRIEF</t>
  </si>
  <si>
    <t>Data Brief</t>
  </si>
  <si>
    <t>10.1016/j.dib.2021.107211</t>
  </si>
  <si>
    <t>UG6KS</t>
  </si>
  <si>
    <t>WOS:000689359300029</t>
  </si>
  <si>
    <t>Abirami, B; Radhakrishnan, M; Kumaran, S; Wilson, A</t>
  </si>
  <si>
    <t>Abirami, Baskaran; Radhakrishnan, Manikkam; Kumaran, Subramanian; Wilson, Aruni</t>
  </si>
  <si>
    <t>Impacts of global warming on marine microbial communities</t>
  </si>
  <si>
    <t>Climate change; Biogeochemical cycles; Microorganisms; Adaptive evolution; Future ocean</t>
  </si>
  <si>
    <t>WEST ANTARCTIC PENINSULA; CLIMATE-CHANGE IMPACTS; OCEAN ACIDIFICATION; SEA-ICE; SUMMER BACTERIOPLANKTON; BACTERIAL COMMUNITIES; NORTH-ATLANTIC; ARCTIC-OCEAN; PHYTOPLANKTON; RESPONSES</t>
  </si>
  <si>
    <t>Global warming in ocean ecosystems alters temperature, acidification, oxygen content, circulation, stratification, and nutrient inputs. Microorganisms play a dominant role in global biogeochemical cycles crucial for a planet's sustainability. Since microbial communities are highly dependent on the temperature factor, fluctuations in the same will lead to adverse effects on the microbial community organization. Throughout the Ocean, increase in evaporation rates causes the surface mixed layer to become shallower. This intensified stratification inhibits vertical transport of nutrient supplies. Such density driven processes will decrease oxygen solubility in surface waters leading to significant decrease of oxygen from future Ocean. Metabolism and diversity of microbes along with ocean biogeochemistry will be at great risk due to global warming and its related effects. As a response to the changes in temperature, alteration in the distribution of phytoplankta communities is observed all over the planet, creating changes in the primary production of the ocean causing massive impact on the biosphere. Marine microbial communities try to adapt to the changing ocean environmental conditions by responding with biogeographic range shifts, community structure modifications, and adaptive evolution. Persistence of this climate change on ocean ecosystems, in future, will pose serious threat to the metabolism and distribution of marine microbes leading to fluctuations in the biogeochemical cycles thereby affecting the overall ecosystem functioning. Genomics plays an important role in marine microbial research by providing tools to study the association between environment and organisms. The ecological and genomic perspectives of marine microbes are being investigated to design effective models to understand their physiology and evolution in a changing ocean. Mesocosm/ microcosm experimental studies and field studies are in the need of the hour to evaluate the impact of climate shifts on microbial genesis. (c) 2021 Published by Elsevier B.V.</t>
  </si>
  <si>
    <t>[Abirami, Baskaran; Radhakrishnan, Manikkam; Kumaran, Subramanian] Sathyabama Inst Sci &amp; Technol, Ctr Drug Discovery &amp; Dev, Chennai 600119, Tamil Nadu, India; [Wilson, Aruni] Sathyabama Inst Sci &amp; Technol, Chennai 600119, Tamil Nadu, India; [Wilson, Aruni] Loma Linda Univ, Sch Med, Loma Linda, CA 92350 USA; [Wilson, Aruni] US Dept Veteran Affairs, Musculoskeletal Dis Res Lab, Loma Linda, CA USA</t>
  </si>
  <si>
    <t>Sathyabama Institute of Science &amp; Technology; Sathyabama Institute of Science &amp; Technology; Loma Linda University</t>
  </si>
  <si>
    <t>Wilson, A (corresponding author), Sathyabama Inst Sci &amp; Technol, Chennai 600119, Tamil Nadu, India.</t>
  </si>
  <si>
    <t>drwilsonprovc@sathyabama.ac.in</t>
  </si>
  <si>
    <t>ran, Kum/AAY-9866-2020; Manikkam, Radhakrishnan/AAM-5413-2020</t>
  </si>
  <si>
    <t>Baskaran, Abirami/0000-0002-4668-4108</t>
  </si>
  <si>
    <t>Sathyabama Institute of Science and Technology, Tamil Nadu, India; Ministry of Earth Science -National Centre for Polar and Ocean Research, Goa, India [NCPOR/2019/PACER-POP/BS-08]</t>
  </si>
  <si>
    <t>Sathyabama Institute of Science and Technology, Tamil Nadu, India; Ministry of Earth Science -National Centre for Polar and Ocean Research, Goa, India</t>
  </si>
  <si>
    <t>Authors thank the management of Sathyabama Institute of Science and Technology, Tamil Nadu, India for their encouragement and research support. Dr. MRK andMiss. AB thank the Ministry of Earth Science -National Centre for Polar and Ocean Research, Goa, India for the financial support in terms of extramural research project (Ref. NCPOR/2019/PACER-POP/BS-08) towork on Southern Ocean bacterial diversity.</t>
  </si>
  <si>
    <t>10.1016/j.scitotenv.2021.147905</t>
  </si>
  <si>
    <t>UB7HN</t>
  </si>
  <si>
    <t>WOS:000686012800013</t>
  </si>
  <si>
    <t>Kochhann, KGD; Kuhnt, W; Holbourn, AE; Usui, Y; Lübbers, J; Beil, S; Andersen, N</t>
  </si>
  <si>
    <t>Kochhann, Karlos G. D.; Kuhnt, Wolfgang; Holbourn, Ann E.; Usui, Yoichi; Lubbers, Julia; Beil, Sebastian; Andersen, Nils</t>
  </si>
  <si>
    <t>Impacts of the Middle Miocene Climatic Transition on deep-water carbonate preservation and oxygenation in the equatorial Indian Ocean</t>
  </si>
  <si>
    <t>Stable isotopes; X-ray fluorescence scanning; Deep-water ventilation; Carbonate Crash; Miocene Climatic Optimum; Middle Miocene cooling</t>
  </si>
  <si>
    <t>ISOTOPE STRATIGRAPHY; MANGANESE CARBONATE; MARINE-SEDIMENTS; ASIAN MONSOON; GEOCHEMISTRY; PACIFIC; CIRCULATION; PALEOCENE; EVOLUTION; CYCLES</t>
  </si>
  <si>
    <t>We reconstructed the orbital-scale variability of deep-water mass properties in the equatorial Indian Ocean during the late early to late Miocene (17.9 to 8.2 Ma) using benthic foraminiferal oxygen (delta O-18) and carbon (delta C-18) isotope records, in combination with X-ray fluorescence scanner elemental records at International Ocean Discovery Program (IODP) Site U1443. These records suggest that hyperthermal-like features (negative excursions in delta O-18 and delta C-18 coupled to suboxic and acidic conditions in the deep ocean) developed at eccentricity maxima during the Miocene Climatic Optimum (MCO; 16.9 to 14.7 Ma) on an almost ice-free Earth. Elevated Mn and U concentrations indicate that bottom and pore waters in the Indian Ocean became progressively suboxic during the later phase of the MCO. A fundamental change in deep-water circulation occurred after the expansion of the East Antarctic Ice Sheet during the Middle Miocene Climatic Transition (MMCT; 14.7 to similar to 13.8 Ma). Stepwise increases in delta O-18 at similar to 13.8 and similar to 13.1 Ma concurred with dampening of deep-water delta O-18 and delta C-18 variability, as Antarctic ice cover expanded and became more stable. A marked improvement in deep-water oxygenation after similar to 13.5 Ma coincided with the end of the last delta C-18 maximum of the Monterey Excursion. Carbonate dissolution in the equatorial Indian Ocean intensified and prolonged episodes of reduced carbonate deposition during the Carbonate Crash interval (similar to 12.6 to 8.6 Ma) were not restricted to eccentricity maxima as during the MCO. Rising Mn and U concentrations after similar to 9 Ma indicate decreased oxygenation of bottom and pore waters, associated with the onset of the Biogenic Bloom in the Indian Ocean.</t>
  </si>
  <si>
    <t>[Kochhann, Karlos G. D.; Kuhnt, Wolfgang; Holbourn, Ann E.; Lubbers, Julia; Beil, Sebastian] Univ Kiel, Inst Geosci, D-24118 Kiel, Germany; [Kochhann, Karlos G. D.] UNISINOS Univ, Geol Grad Program, BR-93022750 Sao Leopoldo, Brazil; [Kochhann, Karlos G. D.] UNISINOS Univ, Technol Inst Micropaleontol, BR-93022750 Sao Leopoldo, Brazil; [Usui, Yoichi] Japan Agcy Marine Earth Sci &amp; Technol, Res Inst Marine Geodynam, Volcanoes &amp; Earths Interior Res Ctr, Yokosuka, Kanagawa 2370061, Japan; [Andersen, Nils] Univ Kiel, Leibniz Lab Radiometr Dating &amp; Stable Isotope Res, D-24118 Kiel, Germany</t>
  </si>
  <si>
    <t>University of Kiel; Japan Agency for Marine-Earth Science &amp; Technology (JAMSTEC); University of Kiel</t>
  </si>
  <si>
    <t>Kochhann, KGD (corresponding author), UNISINOS Univ, Geol Grad Program, BR-93022750 Sao Leopoldo, Brazil.</t>
  </si>
  <si>
    <t>kkochhann@unisinos.br; wolfgang.kuhnt@ifg.uni-kiel.de; ann.holbourn@ifg.uni-kiel.de; yoichi@jamstec.go.jp; julia.luebbers@ifg.uni-kiel.de; sebastian.beil@ifg.uni-kiel.de; nandersen@leibniz.uni-kiel.de</t>
  </si>
  <si>
    <t>Luebbers, Julia/JZC-8098-2024</t>
  </si>
  <si>
    <t>Luebbers, Julia/0000-0003-2075-7265; Usui, Yoichi/0000-0003-2365-2485</t>
  </si>
  <si>
    <t>German Research Foundation (DFG) [Ku649/36-1]; National Council for Scientific and Technological Development, Brazil (CNPq) [244926/2013-1]; JSPS Kakenhi [JP17H01361, JP17H04855]</t>
  </si>
  <si>
    <t>German Research Foundation (DFG)(German Research Foundation (DFG)); National Council for Scientific and Technological Development, Brazil (CNPq)(Conselho Nacional de Desenvolvimento Cientifico e Tecnologico (CNPQ)); JSPS Kakenhi(Ministry of Education, Culture, Sports, Science and Technology, Japan (MEXT)Japan Society for the Promotion of ScienceGrants-in-Aid for Scientific Research (KAKENHI))</t>
  </si>
  <si>
    <t>Our research used samples and data provided by the International Ocean Discovery Program (IODP). The work was funded by the German Research Foundation (DFG grant Ku649/36-1) and K.G.D.K. received a PhD scholarship from the National Council for Scientific and Technological Development, Brazil (CNPq grant 244926/2013-1). Y.U. was supported by the JSPS Kakenhi Grant Numbers JP17H01361 and JP17H04855. We thank the editor and two anonymous reviewers for their constructive comments, which helped us to improve the manuscript.</t>
  </si>
  <si>
    <t>10.1016/j.palaeo.2021.110511</t>
  </si>
  <si>
    <t>WOS:000668458200026</t>
  </si>
  <si>
    <t>Iimura, H; Fritts, DC; Lieberman, RS; Janches, D; Mitchell, NJ; Franke, SJ; Singer, W; Hocking, WK; Taylor, MJ; Moffat-Griffin, T</t>
  </si>
  <si>
    <t>Iimura, Hiroyuki; Fritts, David C.; Lieberman, Ruth S.; Janches, Diego; Mitchell, Nicholas J.; Franke, Steven J.; Singer, Werner; Hocking, Wayne K.; Taylor, Michael J.; Moffat-Griffin, Tracy</t>
  </si>
  <si>
    <t>Climatology of quasi-2-day wave structure and variability at middle latitudes in the northern and southern hemispheres</t>
  </si>
  <si>
    <t>Mesosphere and lower thermosphere; Quasi-2-day wave; Planetary wave; Aura satellite</t>
  </si>
  <si>
    <t>QUASI 2-DAY WAVE; NONUNIFORM BACKGROUND CONFIGURATIONS; ROSSBY NORMAL-MODES; 43 DEGREES N; 81 DEGREES W; METEOR RADAR; WIND MEASUREMENTS; PLANETARY WAVE; BAROCLINIC INSTABILITY; LOWER THERMOSPHERE</t>
  </si>
  <si>
    <t>Climatological structure of the quasi-2-day wave (Q2DW) at middle latitudes in temperature and horizontal winds in the mesosphere and lower thermosphere (MLT) was compared between the northern and southern hemispheres. Determination of the Q2DW in temperature was based on observation data by the Microwave Limb Sounder (MLS) onboard NASA's Earth Observing System (EOS) Aura satellite over 17 years from August 2004 to May 2021 and the Q2DW in horizontal winds was derived from Aura/MLS geopotential height data using balance equations. Amplitudes were maximized in summer in the southern hemisphere and in the meridional wind in the northern hemisphere, but in winter in the zonal wind in the northern hemisphere. Summer amplitudes were larger in the meridional wind than the zonal wind in the southern hemisphere, but zonal amplitudes in winter were larger than meridional amplitudes in summer in the northern hemisphere. Westward propagating zonal wavenumber 3 (W3) was largest in both hemispheres, but in addition to well-known W4, W3, W2 and eastward propagating zonal wavenumber 2 (E2), we also found W1, zonally symmetric standing (S0), and E1. EliassenPalm fluxes were derived for each mode. W3, W2, W1, and E2 fluxes were exhibited upward and poleward in January in the southern hemisphere while only W3 fluxes were exhibited clearly upward and poleward in July in the northern hemisphere. The balance winds and radar winds agreed in both amplitude and phase in the southern hemisphere and at lower latitudes in the northern hemisphere in January, and at lower latitudes in both hemispheres in July. Furthermore, the Q2DW is modulation in amplitude and phase from the W3 by accumulating other modes.</t>
  </si>
  <si>
    <t>[Iimura, Hiroyuki; Fritts, David C.] GATS Inc, Boulder, CO 80301 USA; [Lieberman, Ruth S.; Janches, Diego] NASA, Goddard Space Flight Ctr, Greenbelt, MD USA; [Mitchell, Nicholas J.] Univ Bath, Dept Elect &amp; Elect Engn, Bath, Avon, England; [Franke, Steven J.] Univ Illinois, Dept Elect &amp; Comp Engn, Urbana, IL USA; [Singer, Werner] Rostock Univ, Leibniz Inst Atmospher Phys, Kuhlungsborn, Germany; [Hocking, Wayne K.] Univ Western Ontario, Dept Phys, London, ON, Canada; [Taylor, Michael J.] Utah State Univ, Space Dynam Lab &amp; Phys Dept, Logan, UT 84322 USA; [Moffat-Griffin, Tracy] British Antarctic Survey, Cambridge, England</t>
  </si>
  <si>
    <t>National Aeronautics &amp; Space Administration (NASA); NASA Goddard Space Flight Center; University of Bath; University of Illinois System; University of Illinois Urbana-Champaign; Leibniz Institut fur Atmospharenphysik e.V. an der Universitat Rostock (IAP); Western University (University of Western Ontario); Utah System of Higher Education; Utah State University; UK Research &amp; Innovation (UKRI); Natural Environment Research Council (NERC); NERC British Antarctic Survey</t>
  </si>
  <si>
    <t>Iimura, H (corresponding author), GATS Inc, Boulder, CO 80301 USA.</t>
  </si>
  <si>
    <t>iimura@gats-inc.com</t>
  </si>
  <si>
    <t>Janches, Diego/D-4674-2012</t>
  </si>
  <si>
    <t>NSF [AGS-1647354]; NASA [NNX16AD89G]; NERC [bas0100032] Funding Source: UKRI; NASA [906661, NNX16AD89G] Funding Source: Federal RePORTER</t>
  </si>
  <si>
    <t>NSF(National Science Foundation (NSF)); NASA(National Aeronautics &amp; Space Administration (NASA)); NERC(UK Research &amp; Innovation (UKRI)Natural Environment Research Council (NERC)); NASA(National Aeronautics &amp; Space Administration (NASA))</t>
  </si>
  <si>
    <t>Research described here was funded by NSF, AGS-1647354, and NASA grants, NNX16AD89G, cited in GEMS. We also thank the EARG personnel for their invaluable help with the operation of SAAMER. We are also very grateful for the invaluable support of Jorge L. Chau and Gunter Stober at the University of Rostock, and Fabio A. Vargas at University of Illinois. The Rothera radar is running year around with the support of the British Antarctic Survey. MLS data are available online (https://mls.jpl.nasa.gov/indexeosmls.php) . Meteor radar data used here are available online (http://cedar.openmadrigal.org) .</t>
  </si>
  <si>
    <t>10.1016/j.jastp.2021.105690</t>
  </si>
  <si>
    <t>TI4ZY</t>
  </si>
  <si>
    <t>WOS:000672812300001</t>
  </si>
  <si>
    <t>Newsom, ER; Thompson, AF; Adkins, JF; Galbraith, ED</t>
  </si>
  <si>
    <t>Newsom, Emily R.; Thompson, Andrew F.; Adkins, Jess F.; Galbraith, Eric D.</t>
  </si>
  <si>
    <t>A hemispheric asymmetry in poleward ocean heat transport across climates: Implications for overturning and polar warming</t>
  </si>
  <si>
    <t>paleoclimate; climate evolution; ocean overturning circulation; ocean heat transport; climate modeling; Last Glacial Maximum</t>
  </si>
  <si>
    <t>ANTARCTIC CIRCUMPOLAR CURRENT; SEA-ICE; THERMOHALINE CIRCULATION; EQUILIBRIUM RESPONSE; INTERMEDIATE WATER; ATMOSPHERIC CO2; ATLANTIC; MODEL; STATE; THERMOCLINE</t>
  </si>
  <si>
    <t>The modern Indo-Pacific oceans absorb more heat from the atmosphere than they release. The resulting energy surplus is exported from the Indo-Pacific by the ocean circulation and lost to the atmosphere from other ocean basins. This heat transport ultimately sustains much of the buoyancy lost to deep water formation at high latitudes, a key component of the global overturning circulation. Despite the fundamental link between inter-basin ocean heat transport and global overturning in today's climate, there is no general understanding of how these phenomena vary with climate state. Here, we use an unprecedented suite of fully-coupled climate model simulations, equilibrated for thousands of years to a wide range of CO2 levels, to demonstrate that major differences in overturning between climates are related to systematic shifts in ocean heat transport between basins. Uniformly, equilibration to higher CO2 levels strengthens inter-basin ocean heat transport and global deep water formation. These changes are sustained by increased surface heat uptake within the Indo-Pacific oceans, and increased high-latitude heat loss outside of the Indo-Pacific oceans as the climate warms. However, poleward heat transport and high-latitude heat loss do not increase symmetrically between hemispheres. Between glacial and modern-like states, North Atlantic heat loss intensifies and overturning in the Atlantic strengthens. In contrast, between modern-like and hot climates, heat loss and overturning strengthens in the Southern Ocean. We propose that these differences are linked to a shift in the relative efficiency of northward and southward ocean heat transport - dominated by advection in the North Atlantic and eddy diffusion in the Southern Ocean - with climate state. Our results suggest that, under high CO2, future ocean heat transport towards Antarctica would increase disproportionately compared to its changes since the last ice age. (C) 2021 Elsevier B.V. All rights reserved.</t>
  </si>
  <si>
    <t>[Newsom, Emily R.] Univ Oxford, Dept Phys, Oxford, England; [Thompson, Andrew F.; Adkins, Jess F.] CALTECH, Div Geol &amp; Planetary Sci, Pasadena, CA 91125 USA; [Galbraith, Eric D.] McGill Univ, Earth &amp; Planetary Sci, Montreal, PQ H3A 2T5, Canada</t>
  </si>
  <si>
    <t>University of Oxford; California Institute of Technology; McGill University</t>
  </si>
  <si>
    <t>Newsom, ER (corresponding author), Univ Oxford, Dept Phys, Oxford, England.</t>
  </si>
  <si>
    <t>emily.newsom@physics.ox.ac.uk</t>
  </si>
  <si>
    <t>Adkins, Jess/GYI-8778-2022</t>
  </si>
  <si>
    <t>Adkins, Jess/0000-0002-3174-5190; Newsom, Emily/0000-0002-3436-3833</t>
  </si>
  <si>
    <t>National Oceanic and Atmospheric Administration (NOAA) Climate and Global Change (CGC) Fellowship; Natural Environment Research Council [NE/P019218/1]; National Science Foundation (NSF) [OCE-1235488, OCE-1559215]; Packard Foundation; Compute Canada [AYU-503]; European Research Council (ERC) under the European Union's Horizon 2020 research and innovation program [682602]; NERC [NE/P019218/1] Funding Source: UKRI</t>
  </si>
  <si>
    <t>National Oceanic and Atmospheric Administration (NOAA) Climate and Global Change (CGC) Fellowship; Natural Environment Research Council(UK Research &amp; Innovation (UKRI)Natural Environment Research Council (NERC)); National Science Foundation (NSF)(National Science Foundation (NSF)National Research Foundation of Korea); Packard Foundation(The David &amp; Lucile Packard Foundation); Compute Canada; European Research Council (ERC) under the European Union's Horizon 2020 research and innovation program(European Research Council (ERC)); NERC(UK Research &amp; Innovation (UKRI)Natural Environment Research Council (NERC))</t>
  </si>
  <si>
    <t>This work was funded by the National Oceanic and Atmospheric Administration (NOAA) Climate and Global Change (CGC) Fellowship and the Natural Environment Research Council project NE/P019218/1 (E.R.N), the National Science Foundation (NSF) through grants OCE-1235488 (A.F.T.) and OCE-1559215 (J.F.A), the Packard Foundation (A.F.T.), as well as Compute Canada (No. AYU-503) and the European Research Council (ERC) under the European Union's Horizon 2020 research and innovation program (grant agreement No. 682602) (E.D.G.).</t>
  </si>
  <si>
    <t>10.1016/j.epsl.2021.117033</t>
  </si>
  <si>
    <t>WOS:000667964800016</t>
  </si>
  <si>
    <t>Shi, T; Li, XQ; Zheng, L; Zhang, YH; Dai, JJ; Shang, EL; Yu, YY; Zhang, YT; Hu, WP; Shi, DY</t>
  </si>
  <si>
    <t>Shi, Ting; Li, Xiang-Qian; Zheng, Li; Zhang, Ya-Hui; Dai, Jia-Jia; Shang, Er-Lei; Yu, Yan-Yan; Zhang, Yi-Ting; Hu, Wen-Peng; Shi, Da-Yong</t>
  </si>
  <si>
    <t>Sesquiterpenoids From the Antarctic Fungus Pseudogymnoascus sp. HSX2#-11</t>
  </si>
  <si>
    <t>Antarctic fungus; Pseudogymnoascus sp; HSX2#-11; sesquiterpenoids; steroids; cytotoxicity; antibacterial activity</t>
  </si>
  <si>
    <t>TREMULANE SESQUITERPENES; ENDOPHYTIC FUNGUS; ANTIAGING ERGOSTEROLS; A-D; CULTURES; METABOLITES; GANODERMASIDES; ANTIBACTERIAL; ANTIFUNGAL; DIVERSITY</t>
  </si>
  <si>
    <t>The fungal strains Pseudogymnoascus are a kind of psychrophilic pathogenic fungi that are ubiquitously distributed in Antarctica, while the studies of their secondary metabolites are infrequent. Systematic research of the metabolites of the fungus Pseudogymnoascus sp. HSX2#-11 led to the isolation of six new tremulane sesquiterpenoids pseudotremulanes A-F (1-6), combined with one known analog 11,12-epoxy-12 beta-hydroxy-1-tremulen-5-one (7), and five known steroids (8-12). The absolute configurations of the new compounds (1-6) were elucidated by their ECD spectra and ECD calculations. Compounds 1-7 were proved to be isomeride structures with the same chemical formula. Compounds 1/2, 3/4, 1/4, and 2/3 were identified as four pairs of epimerides at the locations of C-3, C-3, C-9, and C-9, respectively. Compounds 8 and 9 exhibited cytotoxic activities against human breast cancer (MDA-MB-231), colorectal cancer (HCT116), and hepatoma (HepG2) cell lines. Compounds 9 and 10 also showed antibacterial activities against marine fouling bacteria Aeromonas salmonicida. This is the first time to find terpenoids and steroids in the fungal genus Pseudogymnoascus.</t>
  </si>
  <si>
    <t>[Shi, Ting; Li, Xiang-Qian; Dai, Jia-Jia; Yu, Yan-Yan; Zhang, Yi-Ting; Hu, Wen-Peng; Shi, Da-Yong] Shandong Univ, Inst Microbial Technol, State Key Lab Microbial Technol, Qingdao, Peoples R China; [Li, Xiang-Qian; Shi, Da-Yong] Natl Lab Marine Sci &amp; Technol Qingdao, Lab Marine Drugs &amp; Bioproducts Qingdao, Qingdao, Peoples R China; [Zheng, Li] Minist Nat Resources, First Inst Oceanog, Key Lab Marine EcoEnvironmental Sci &amp; Technol, Qingdao, Peoples R China; [Zheng, Li] Qingdao Pilot Natl, Lab Marine Sci &amp; Technol, Lab Marine Ecol &amp; Environm Sci, Qingdao, Peoples R China; [Zhang, Ya-Hui] Ocean Univ China, Sch Med &amp; Pharm, Minist Educ China, Qingdao, Peoples R China; [Zhang, Ya-Hui] Qingdao Natl Lab Marine Sci &amp; Technol, Lab Marine Drugs &amp; Bioproducts, Qingdao, Peoples R China; [Shang, Er-Lei] Nanjing Univ, Sch Life Sci, State Key Lab Pharmaceut Biotechnol, Nanjing, Peoples R China</t>
  </si>
  <si>
    <t>Shandong University; Laoshan Laboratory; First Institute of Oceanography, Ministry of Natural Resources; Ministry of Natural Resources of the People's Republic of China; Ocean University of China; Laoshan Laboratory; Nanjing University</t>
  </si>
  <si>
    <t>Shi, DY (corresponding author), Shandong Univ, Inst Microbial Technol, State Key Lab Microbial Technol, Qingdao, Peoples R China.;Shi, DY (corresponding author), Natl Lab Marine Sci &amp; Technol Qingdao, Lab Marine Drugs &amp; Bioproducts Qingdao, Qingdao, Peoples R China.</t>
  </si>
  <si>
    <t>shidayong@sdu.edu.cn</t>
  </si>
  <si>
    <t>Zhang, Yahui/AAT-9255-2020; Shi, Ting/AIC-4674-2022; Yu, Yan/GYV-4514-2022</t>
  </si>
  <si>
    <t>Zhang, Yahui/0000-0003-4235-6673; Shi, Ting/0000-0003-1394-3000;</t>
  </si>
  <si>
    <t>Natural Science Foundation of Shandong Province of China [ZR2020QD111]; China Postdoctoral Science Foundation [2019M662378]; National Program for Support of Top-notch Young Professionals; Fund of Taishan Scholar Project; Shandong Provincial Natural Science Foundation for Distinguished Young Scholars [JQ201722]; Qingdao Science and Technology Benefit People Demonstration Guide Special Project [20-3-420-nsh]; Fundamental Research Funds of Shandong University [2020GN033]</t>
  </si>
  <si>
    <t>Natural Science Foundation of Shandong Province of China(Natural Science Foundation of Shandong Province); China Postdoctoral Science Foundation(China Postdoctoral Science Foundation); National Program for Support of Top-notch Young Professionals; Fund of Taishan Scholar Project; Shandong Provincial Natural Science Foundation for Distinguished Young Scholars; Qingdao Science and Technology Benefit People Demonstration Guide Special Project; Fundamental Research Funds of Shandong University</t>
  </si>
  <si>
    <t>This work was supported by the Natural Science Foundation of Shandong Province of China (No. ZR2020QD111); the China Postdoctoral Science Foundation (No. 2019M662378); the National Program for Support of Top-notch Young Professionals; the Fund of Taishan Scholar Project; The Shandong Provincial Natural Science Foundation for Distinguished Young Scholars (JQ201722); the Qingdao Science and Technology Benefit People Demonstration Guide Special Project (20-3-420-nsh); and the Fundamental Research Funds of Shandong University (2020GN033).</t>
  </si>
  <si>
    <t>JUN 11</t>
  </si>
  <si>
    <t>10.3389/fmicb.2021.688202</t>
  </si>
  <si>
    <t>SY2QK</t>
  </si>
  <si>
    <t>WOS:000665736400001</t>
  </si>
  <si>
    <t>Spencer-Jones, CL; McClymont, EL; Bale, NJ; Hopmans, EC; Schouten, S; Müller, J; Abrahamsen, EP; Allen, C; Bickert, T; Hillenbrand, CD; Mawbey, E; Peck, V; Svalova, A; Smith, JA</t>
  </si>
  <si>
    <t>Spencer-Jones, Charlotte L.; McClymont, Erin L.; Bale, Nicole J.; Hopmans, Ellen C.; Schouten, Stefan; Muller, Juliane; Abrahamsen, E. Povl; Allen, Claire; Bickert, Torsten; Hillenbrand, Claus-Dieter; Mawbey, Elaine; Peck, Victoria; Svalova, Aleksandra; Smith, James A.</t>
  </si>
  <si>
    <t>Archaeal intact polar lipids in polar waters: a comparison between the Amundsen and Scotia seas</t>
  </si>
  <si>
    <t>PINE ISLAND GLACIER; ANTARCTIC ICE-SHEET; AMMONIA-OXIDIZING ARCHAEA; ISOPRENOID TETRAETHER LIPIDS; SOUTHERN-OCEAN; MEMBRANE-LIPIDS; PHYTOPLANKTON BLOOMS; PLANKTONIC ARCHAEA; WEST ANTARCTICA; MARINE</t>
  </si>
  <si>
    <t>The West Antarctic Ice Sheet (WAIS) is one of the largest potential sources of future sea-level rise, with glaciers draining the WAIS thinning at an accelerating rate over the past 40 years. Due to complexities in calibrating palaeoceanographic proxies for the Southern Ocean, it remains difficult to assess whether similar changes have occurred earlier during the Holocene or whether there is underlying centennial- to millennial-scale forcing in oceanic variability. Archaeal lipid-based proxies, specifically glycerol dialkyl glycerol tetraether (GDGT; e.g. TEX86 and TEX86L), are powerful tools for reconstructing ocean temperature, but these proxies have been shown previously to be difficult to apply to the Southern Ocean. A greater understanding of the parameters that control Southern Ocean GDGT distributions would improve the application of these biomarker proxies and thus help provide a longer-term perspective on ocean forcing of Antarctic ice sheet changes. In this study, we characterised intact polar lipid (IPL)-GDGTs, representing (recently) living archaeal populations in suspended particulate matter (SPM) from the Amundsen Sea and the Scotia Sea. SPM samples from the Amundsen Sea were collected from up to four water column depths representing the surface waters through to Circumpolar Deep Water (CDW), whereas the Scotia Sea samples were collected along a transect encompassing the sub-Antarctic front through to the southern boundary of the Antarctic Circumpolar Current. IPL-GDGTs with low cyclic diversity were detected throughout the water column with high relative abundances of hydroxylated IPL-GDGTs identified in both the Amundsen and Scotia seas. Results from the Scotia Sea show shifts in IPL-GDGT signatures across well-defined fronts of the Southern Ocean. Indicating that the physicochemical parameters of these water masses determine changes in IPL-GDGT distributions. The Amundsen Sea results identified GDGTs with hexose-phosphohexose head groups in the CDW, suggesting active GDGT synthesis at these depths. These results suggest that GDGTs synthesised at CDW depths may be a significant source of GDGTs exported to the sedimentary record and that temperature reconstructions based on TEX86 or TEX86L proxies may be significantly influenced by the warmer waters of the CDW.</t>
  </si>
  <si>
    <t>[Spencer-Jones, Charlotte L.; McClymont, Erin L.] Univ Durham, Dept Geog, South Rd, Durham DH1 3LE, England; [Bale, Nicole J.; Hopmans, Ellen C.; Schouten, Stefan] NIOZ Royal Netherlands Inst Sea Res, Dept Marine Microbiol &amp; Biogeochem, POB 59, NL-1790 AB Den Burg, Netherlands; [Schouten, Stefan] Univ Utrecht, Dept Earth Sci, Utrecht, Netherlands; [Muller, Juliane] Helmholtz Ctr Polar &amp; Marine Res, Alfred Wegener Inst, D-27568 Bremerhaven, Germany; [Abrahamsen, E. Povl; Allen, Claire; Hillenbrand, Claus-Dieter; Mawbey, Elaine; Peck, Victoria; Smith, James A.] British Antarctic Survey, High Cross,Madingley Rd, Cambridge CB3 0ET, England; [Bickert, Torsten] Univ Bremen, MARUM Ctr Marine Environm Sci, Leobener Str 8, D-28359 Bremen, Germany; [Svalova, Aleksandra] Newcastle Univ, Sch Nat &amp; Environm Sci, Newcastle Upon Tyne NE1 7RU, Tyne &amp; Wear, England</t>
  </si>
  <si>
    <t>Durham University; Utrecht University; Royal Netherlands Institute for Sea Research (NIOZ); Utrecht University; Helmholtz Association; Alfred Wegener Institute, Helmholtz Centre for Polar &amp; Marine Research; UK Research &amp; Innovation (UKRI); Natural Environment Research Council (NERC); NERC British Antarctic Survey; University of Bremen; Newcastle University - UK</t>
  </si>
  <si>
    <t>Spencer-Jones, CL (corresponding author), Univ Durham, Dept Geog, South Rd, Durham DH1 3LE, England.</t>
  </si>
  <si>
    <t>charlotte.spencer-jones@open.ac.uk</t>
  </si>
  <si>
    <t>McClymont, Erin/AAX-3657-2020; Abrahamsen, Povl/B-2140-2008; Muller, Juliane/L-1875-2013</t>
  </si>
  <si>
    <t>McClymont, Erin/0000-0003-1562-8768; Abrahamsen, Povl/0000-0001-5924-5350; Muller, Juliane/0000-0003-0724-4131; Hopmans, Ellen/0000-0002-8209-1334</t>
  </si>
  <si>
    <t>Natural Environment Research Council (NERC) [NE/M013081/1, NE/M013243/1, NE/M013782/1]; Helmholtz research grant [VH-NG-1101]; European Research Council [694569]; NERC [bas0100033, NE/M013081/1, NE/N018095/1, NE/M013782/1, NE/M013243/1] Funding Source: UKRI; European Research Council (ERC) [694569] Funding Source: European Research Council (ERC)</t>
  </si>
  <si>
    <t>Natural Environment Research Council (NERC)(UK Research &amp; Innovation (UKRI)Natural Environment Research Council (NERC)); Helmholtz research grant; European Research Council(European Research Council (ERC)); NERC(UK Research &amp; Innovation (UKRI)Natural Environment Research Council (NERC)); European Research Council (ERC)(European Research Council (ERC)Spanish Government)</t>
  </si>
  <si>
    <t>This research has been supported by the Natural Environment Research Council (NERC) (grant nos. NE/M013081/1, NE/M013243/1, and NE/M013782/1), a Helmholtz research grant (grant no. VH-NG-1101), and the European Research Council, H2020 (MICROLIPIDS, grant no. 694569).</t>
  </si>
  <si>
    <t>10.5194/bg-18-3485-2021</t>
  </si>
  <si>
    <t>SS9XT</t>
  </si>
  <si>
    <t>Green Submitted, Green Published, gold, Green Accepted</t>
  </si>
  <si>
    <t>WOS:000662106800001</t>
  </si>
  <si>
    <t>Jones-Williams, K; Galloway, TS; Peck, VL; Manno, C</t>
  </si>
  <si>
    <t>Jones-Williams, Kirstie; Galloway, Tamara S.; Peck, Victoria L.; Manno, Clara</t>
  </si>
  <si>
    <t>Remote, but Not Isolated-Microplastics in the Sub-surface Waters of the Canadian Arctic Archipelago</t>
  </si>
  <si>
    <t>microplastic; microfibre; Arctic; Canada; sub-surface; environmental monitoring; greywater</t>
  </si>
  <si>
    <t>MARINE-ENVIRONMENT; SEA-ICE; CONTAMINATION; ACCUMULATION; PARTICLES; TRANSPORT; POLLUTION; SURFACE</t>
  </si>
  <si>
    <t>As the remote Canadian Arctic Archipelago (CAA) becomes increasingly connected to the rest of the world, there is an impetus to monitor the possible impact of this connectivity. The potential for increases in localised sources of plastic pollution resulting from the increasing navigability of the remote north has yet to be explored. Here we investigate microplastic samples which were collected aboard the Canadian Coast Guard Ship (CCGS) Amundsen in the summer of 2018 using the underway pump and a filtration system with Fourier transform infrared analysis. We investigate the character, abundance, and distribution of microplastic particles and fibres in the sub-surface waters across the Canadian Arctic and add to the limited dataset on plastic pollution in this region. We find that there are low concentrations of microplastics ranging from 0 to 0.282 n L-1 (average 0.031 +/- 0.017 n L-1), comprising 71% polyester and acrylics. We investigate the size distribution of retained particles and fibres on three different filter mesh sizes connected to the underway pump (300, 100, and 50 mu m) and find that a 300 mu m mesh and a 100 mu m mesh retain only 6 and 56%, respectively, of the total particles and fibres. We explore the role of shipping as a potential source of textile fibres and we suggest that future monitoring of plastics in the Canadian Arctic should use the current shipping fleet to monitor its own plastic footprint, utilising the underway pump and mesh sizes &lt; 100 m. Superscript/Subscript Available</t>
  </si>
  <si>
    <t>[Jones-Williams, Kirstie; Peck, Victoria L.; Manno, Clara] British Antarctic Survey, Cambridge, England; [Jones-Williams, Kirstie; Galloway, Tamara S.] Univ Exeter, Coll Life &amp; Environm Sci, Exeter, Devon, England</t>
  </si>
  <si>
    <t>UK Research &amp; Innovation (UKRI); Natural Environment Research Council (NERC); NERC British Antarctic Survey; University of Exeter</t>
  </si>
  <si>
    <t>Jones-Williams, K (corresponding author), British Antarctic Survey, Cambridge, England.;Jones-Williams, K (corresponding author), Univ Exeter, Coll Life &amp; Environm Sci, Exeter, Devon, England.</t>
  </si>
  <si>
    <t>kirnes79@bas.ac.uk</t>
  </si>
  <si>
    <t>Galloway, Tamara/C-1662-2009</t>
  </si>
  <si>
    <t>Galloway, Tamara/0000-0002-7466-6775; Jones-Williams, Kirstie/0000-0003-4343-4725</t>
  </si>
  <si>
    <t>GW4plus Doctoral Training Partnership [NE/L002434/1]; UK-Canada Arctic Science Bursary Programme - BEIS</t>
  </si>
  <si>
    <t>GW4plus Doctoral Training Partnership; UK-Canada Arctic Science Bursary Programme - BEIS</t>
  </si>
  <si>
    <t>This work was funded by the GW4plus Doctoral Training Partnership (Grant No.: NE/L002434/1) and the UK-Canada Arctic Science Bursary Programme, supported by BEIS and delivered through the NERC Arctic Office.</t>
  </si>
  <si>
    <t>10.3389/fmars.2021.666482</t>
  </si>
  <si>
    <t>SU9AX</t>
  </si>
  <si>
    <t>WOS:000663423600001</t>
  </si>
  <si>
    <t>Koga, T; Parker, ET; McLain, HL; Aponte, JC; Elsila, JE; Dworkin, JP; Glavin, DP; Naraoka, H</t>
  </si>
  <si>
    <t>Koga, Toshiki; Parker, Eric T.; McLain, Hannah L.; Aponte, Jose C.; Elsila, Jamie E.; Dworkin, Jason P.; Glavin, Daniel P.; Naraoka, Hiroshi</t>
  </si>
  <si>
    <t>Extraterrestrial hydroxy amino acids in CM and CR carbonaceous chondrites</t>
  </si>
  <si>
    <t>PROGRESSIVE AQUEOUS ALTERATION; MURCHISON METEORITE; HYDROTHERMAL REACTIONS; POTENTIAL FORMATION; ISOVALINE; AMMONIA; PHOTOLYSIS; PRECURSOR; NITROGEN</t>
  </si>
  <si>
    <t>The abundances, distributions, and enantiomeric ratios of a family of three- and four-carbon hydroxy amino acids (HAAs) were investigated in extracts of five CM and four CR carbonaceous chondrites by gas chromatography-mass spectrometry analyses. HAAs were detected in both the acid hydrolysates of the hot water extracts and the 6 M HCl extracts of all the CM and CR chondrites analyzed here with total hot water and HCl extractable HAA concentrations ranging from 6.94 to 315 nmol g(-1). The HAA analyses performed in this study revealed: (1) the combined (hot water + HCl) extracts of CR2 chondrites contained greater abundances of alpha-HAAs than that of CM2 chondrites and (2) the combined extracts of CM and CR chondrites contained roughly similar abundances of beta- and gamma-HAAs. Application of the new GC-MS method developed here resulted in the first successful chromatographic resolution of the enantiomers of an alpha-dialkyl HAA, d,l-alpha-methylserine, in carbonaceous chondrite extracts. Meteoritic alpha-methylserine was found to be mostly racemic within error and did not show l-enantiomeric excesses correlating with the degree of aqueous alteration, a phenomenon observed in meteoritic isovaline, another alpha-dialkyl amino acid. The HAAs identified in CM and CR chondrite extracts could have been produced during parent body alteration from the Strecker cyanohydrin reaction (for alpha-HAAs) and an ammonia-involved formose-like reaction (for beta-, and gamma-HAAs).</t>
  </si>
  <si>
    <t>[Koga, Toshiki; Naraoka, Hiroshi] Kyushu Univ, Dept Earth &amp; Planetary Sci, Nishi Ku, 744 Motooka, Fukuoka 8190395, Japan; [Parker, Eric T.; McLain, Hannah L.; Aponte, Jose C.; Elsila, Jamie E.; Dworkin, Jason P.; Glavin, Daniel P.] NASA, Goddard Space Flight Ctr, Greenbelt, MD 20771 USA; [McLain, Hannah L.; Aponte, Jose C.] Catholic Univ Amer, Washington, DC 20064 USA</t>
  </si>
  <si>
    <t>Kyushu University; National Aeronautics &amp; Space Administration (NASA); NASA Goddard Space Flight Center; Catholic University of America</t>
  </si>
  <si>
    <t>Koga, T (corresponding author), Kyushu Univ, Dept Earth &amp; Planetary Sci, Nishi Ku, 744 Motooka, Fukuoka 8190395, Japan.</t>
  </si>
  <si>
    <t>koga.toshiki.590@s.kyushu-u.ac.jp</t>
  </si>
  <si>
    <t>Dworkin, Jason P./C-9417-2012; Aponte, Jose C./B-9091-2013; Glavin, Daniel P/D-6194-2012</t>
  </si>
  <si>
    <t>Dworkin, Jason P./0000-0002-3961-8997; Glavin, Daniel P/0000-0001-7779-7765; Elsila, Jamie/0000-0002-0008-2590; Koga, Toshiki/0000-0001-5728-0590</t>
  </si>
  <si>
    <t>JSPS Overseas Challenge Program for Young Researchers Grant [201880018]; NASA Astrobiology Institute [13-13NAI7-0032]; Simons Foundation (SCOL award) [302497]; NSF; NASA; Grants-in-Aid for Scientific Research [20H05846, 20H00202] Funding Source: KAKEN</t>
  </si>
  <si>
    <t>JSPS Overseas Challenge Program for Young Researchers Grant; NASA Astrobiology Institute; Simons Foundation (SCOL award); NSF(National Science Foundation (NSF)); NASA(National Aeronautics &amp; Space Administration (NASA)); Grants-in-Aid for Scientific Research(Ministry of Education, Culture, Sports, Science and Technology, Japan (MEXT)Japan Society for the Promotion of ScienceGrants-in-Aid for Scientific Research (KAKENHI))</t>
  </si>
  <si>
    <t>This work was supported by the JSPS Overseas Challenge Program for Young Researchers Grant (number 201880018), the NASA Astrobiology Institute through award 13-13NAI7-0032 to the Goddard Center for Astrobiology, and a grant from the Simons Foundation (SCOL award 302497 to J.P.D.). We thank the National Institute of Polar Research and the Antarctic meteorite curator at the NASA Johnson Space Center for providing the meteorite samples used in this study. US Antarctic meteorite samples were recovered by the Antarctic Search for Meteorites (ANSMET) program which has been funded by NSF and NASA and characterized and curated by the Department of Mineral Sciences of the Smithsonian Institution and the Astromaterials Curation Office at the NASA Johnson Space Center. Japanese Antarctic meteorite samples were provided by the National Institute of Polar Research (NIPR). We appreciate valuable comments on the manuscript from two anonymous reviewers. The authors declare no conflicts of interest.</t>
  </si>
  <si>
    <t>MAY</t>
  </si>
  <si>
    <t>10.1111/maps.13661</t>
  </si>
  <si>
    <t>TB9XU</t>
  </si>
  <si>
    <t>WOS:000659949100001</t>
  </si>
  <si>
    <t>Câmara, PEAS; Convey, P; Rangel, SB; Konrath, M; Barreto, CC; Pinto, OHB; Silva, MC; Henriques, DK; de Oliveira, HC; Rosa, LH</t>
  </si>
  <si>
    <t>Camara, Paulo E. A. S.; Convey, Peter; Rangel, Sandro B.; Konrath, Marcelo; Barreto, Cristine Chaves; Pinto, Otavio H. B.; Silva, Micheline Carvalho; Henriques, Diego Knop; de Oliveira, Hermeson Cassiano; Rosa, Luiz H.</t>
  </si>
  <si>
    <t>The largest moss carpet transplant in Antarctica and its bryosphere cryptic biodiversity</t>
  </si>
  <si>
    <t>EXTREMOPHILES</t>
  </si>
  <si>
    <t>Antarctica; Moss carpet; Sanionia; Metabarcode; Diversity; HTS</t>
  </si>
  <si>
    <t>TERRESTRIAL ARTHROPOD FAUNA; LIVINGSTON-ISLAND; CONSERVATION TOOL; SPECIES-DIVERSITY; FUNGAL DIVERSITY; PROTECTED AREAS; ROSS ISLAND; BRYOPHYTES; REGENERATION; LAND</t>
  </si>
  <si>
    <t>As part of the reconstruction of the Brazilian Antarctic Station on King George Island, three areas of moss carpet were transplanted to minimize the impact of the new facilities on the local biodiversity. A total of 650 m(2) of moss carpet was transplanted to neighboring but previously uncolonized locations and has subsequently survived for the last 3 years. Antarctic moss carpets typically comprise low moss species diversity and are often monospecific. We investigated the cryptic biodiversity that was transplanted along with the carpets using a metabarcoding approach through high throughput sequencing. We targeted 16S rRNA for Bacteria and Archaea, ITS for Fungi and Viridiplantae and Cox1 for Metazoa. We detected DNA representing 263 taxa from five Kingdoms (Chromista, Fungi, Metazoa, Protista and Viridiplantae), two Domains (Archaea and Bacteria) and 33 Phyla associated with the carpet. This diversity included one Archaea, 189 Bacteria, 24 Chromista, 19 Fungi, eight Metazoa, seven Protista and 16 Viridiplantae. Bacteria was the most abundant, rich and diverse group, with Chromista second in diversity and richness. Metazoa was less diverse but second highest in dominance. This is the first study to attempt transplanting a significant area of moss carpet to minimize anthropogenic environmental damage in Antarctica and to use metabarcoding as a proxy to assess diversity associated with Antarctic moss carpets, further highlighting the importance of such habitats for other organisms and their importance for conservation.</t>
  </si>
  <si>
    <t>[Camara, Paulo E. A. S.; Silva, Micheline Carvalho; Henriques, Diego Knop] Univ Brasilia, Dept Botan, Brasilia, DF, Brazil; [Convey, Peter] British Antarct Survey, Cambridge, England; [Rangel, Sandro B.] IBAMA, Inst Brasileiro Meio Ambiente, Brasilia, Brazil; [Konrath, Marcelo] China Natl Elect Import &amp; Export Corp, CEIEC, Beijing, Peoples R China; [Barreto, Cristine Chaves] Univ Catolica Brasilia, Brasilia, Brazil; [Pinto, Otavio H. B.] Univ Brasilia, Dept Biol Mol, Brasilia, DF, Brazil; [de Oliveira, Hermeson Cassiano] Univ Estadual Piaui, Teresina, Brazil; [Rosa, Luiz H.] Univ Fed Minas Gerais, Dept Microbiol, Belo Horizonte, MG, Brazil</t>
  </si>
  <si>
    <t>Universidade de Brasilia; UK Research &amp; Innovation (UKRI); Natural Environment Research Council (NERC); NERC British Antarctic Survey; Universidade Catolica de Brasilia; Universidade de Brasilia; Universidade Estadual do Piaui (UESPI); Universidade Federal de Minas Gerais</t>
  </si>
  <si>
    <t>Câmara, PEAS (corresponding author), Univ Brasilia, Dept Botan, Brasilia, DF, Brazil.</t>
  </si>
  <si>
    <t>paducamara@gmail.com</t>
  </si>
  <si>
    <t>Camara, Paulo/GPP-2054-2022; Convey, Peter/AAV-5728-2020; Oliveira, Hermeson Cassiano de/X-2633-2019; Barreto, Cristine Chaves/G-2846-2013</t>
  </si>
  <si>
    <t>Camara, Paulo/0000-0002-3944-996X; Convey, Peter/0000-0001-8497-9903; Oliveira, Hermeson Cassiano de/0000-0002-1611-9562; Barreto, Cristine Chaves/0000-0001-5067-1329; Pinto, Otavio/0000-0002-8382-2987</t>
  </si>
  <si>
    <t>CNPq; PROANTAR; INCT Criosfera 2; NERC; NERC [bas0100036] Funding Source: UKRI</t>
  </si>
  <si>
    <t>CNPq(Conselho Nacional de Desenvolvimento Cientifico e Tecnologico (CNPQ)); PROANTAR; INCT Criosfera 2; NERC(UK Research &amp; Innovation (UKRI)Natural Environment Research Council (NERC)); NERC(UK Research &amp; Innovation (UKRI)Natural Environment Research Council (NERC))</t>
  </si>
  <si>
    <t>We thank the Brazilian Navy, Brazilian Air Force and the staff at Ferraz station (GB Ferraz). This study received financial support from CNPq, PROANTAR, INCT Criosfera 2. P. Convey is supported by NERC core funding to the BAS `Biodiversity, Evolution and Adaptation' Team. We also thank congresswoman Jo Moraes and the Biological Sciences Institute of the University of Brasilia.</t>
  </si>
  <si>
    <t>1431-0651</t>
  </si>
  <si>
    <t>1433-4909</t>
  </si>
  <si>
    <t>Extremophiles</t>
  </si>
  <si>
    <t>10.1007/s00792-021-01235-y</t>
  </si>
  <si>
    <t>Biochemistry &amp; Molecular Biology; Microbiology</t>
  </si>
  <si>
    <t>TD4MO</t>
  </si>
  <si>
    <t>WOS:000660467900001</t>
  </si>
  <si>
    <t>Trathan, PN; Fielding, S; Hollyman, PR; Murphy, EJ; Warwick-Evans, V; Collins, MA</t>
  </si>
  <si>
    <t>Trathan, P. N.; Fielding, S.; Hollyman, P. R.; Murphy, E. J.; Warwick-Evans, V; Collins, M. A.</t>
  </si>
  <si>
    <t>Enhancing the ecosystem approach for the fishery for Antarctic krill within the complex, variable, and changing ecosystem at South Georgia</t>
  </si>
  <si>
    <t>Antarctic krill; CCAMLR; ecosystem approach to fisheries management; ecosystem change; ecosystem monitoring; ecosystem variability; environment drivers; South Georgia</t>
  </si>
  <si>
    <t>MARINE ECOSYSTEM; EUPHAUSIA-SUPERBA; MANAGING FISHERIES; CLIMATE-CHANGE; INTERANNUAL VARIABILITY; OCEAN; MANAGEMENT; DENSITY; CCAMLR; IMPLEMENTATION</t>
  </si>
  <si>
    <t>The objective of the ecosystem approach to fisheries management is to sustain healthy marine ecosystems and the fisheries they support. One of the earliest implementations was in the Southern Ocean, where decision rules and stock reference points were developed for managing the Antarctic krill fishery, together with an ecosystem-monitoring programme intended to aid management decisions. This latter component has not been incorporated directly into management, so here, we consider variability in the krill fishery at South Georgia, relating it to physical and biological monitoring indices, finding sea surface temperature to be a key correlate with both annual catch and long-term biological indices. Some indices from krill predators showed significant positive relationships with krill harvesting in the preceding winter, presumably indicative of the importance of winter foraging conditions. We explore how ecological structure affects results, examining two monitoring sites 100km apart. Results suggest different biological conditions at the two sites, probably reflecting different scales of ecosystem operation, emphasizing that an appreciation of scale will enhance krill fishery management. Finally, in reviewing different drivers of ecological change, we identify important additional monitoring that would help better reflect ecosystem status, improve the utility of CEMP, providing information necessary for the ecosystem approach at South Georgia.</t>
  </si>
  <si>
    <t>[Trathan, P. N.; Fielding, S.; Hollyman, P. R.; Murphy, E. J.; Warwick-Evans, V; Collins, M. A.] British Antarctic Survey, NERC, Madingley Rd, Cambridge CB3 0ET, England</t>
  </si>
  <si>
    <t>Trathan, PN (corresponding author), British Antarctic Survey, NERC, Madingley Rd, Cambridge CB3 0ET, England.</t>
  </si>
  <si>
    <t>pnt@bas.ac.uk</t>
  </si>
  <si>
    <t>murphy, eugene/GZL-1620-2022; , Martin/ABE-6728-2020; Fielding, Sophie/E-5137-2012</t>
  </si>
  <si>
    <t>, Martin/0000-0001-7132-8650; Hollyman, Philip/0000-0003-2665-5075; Warwick-Evans, Victoria/0000-0002-0583-5504</t>
  </si>
  <si>
    <t>UKRI/BAS Ecosystems; Darwin Plus grant [DPLUS072]; Pew Charitable Trust [00034295]; NERC [bas0100035] Funding Source: UKRI</t>
  </si>
  <si>
    <t>UKRI/BAS Ecosystems; Darwin Plus grant; Pew Charitable Trust; NERC(UK Research &amp; Innovation (UKRI)Natural Environment Research Council (NERC))</t>
  </si>
  <si>
    <t>This work was supported by UKRI/BAS Ecosystems. VWE was supported by Darwin Plus grant DPLUS072 and Pew Charitable Trusts grant 00034295.</t>
  </si>
  <si>
    <t>10.1093/icesjms/fsab092</t>
  </si>
  <si>
    <t>WOS:000705457300011</t>
  </si>
  <si>
    <t>Parker, JRC; Saunders, BJ; Bennett, S; Harvey, ES</t>
  </si>
  <si>
    <t>Parker, Jack R. C.; Saunders, Benjamin J.; Bennett, Scott; Harvey, Euan S.</t>
  </si>
  <si>
    <t>Successful establishment of range-shifting, warm-water Labridae in temperate South Western Australia</t>
  </si>
  <si>
    <t>Temperate reefs; Climate change; Diver operated stereo-video; Range shift; Functional groups</t>
  </si>
  <si>
    <t>GROPER ACHOERODUS-GOULDII; REEF FISH; SPECIES-RICHNESS; CLIMATE-CHANGE; JUVENILE FISH; VISUAL CENSUS; ROCKY REEFS; BODY-SIZE; MARINE; GROWTH</t>
  </si>
  <si>
    <t>Climate change is rapidly altering the distributions of species and the composition of communities that have evolved over evolutionary time scales. Quantifying changes in species distributions and abundance in response to warming is critical to understanding how these changes modify structure, function and services provided by recipient communities. Changes in size structure of warm- and cool-affiliated species is an important indicator for climate-driven species redistributions over time, and has received relatively little attention. We quantified changes in length and biomass distributions of 25 species of Labridae fishes from 112 sites spanning 2000 km across a warm-cool temperate transition zone in south Western Australia. Length and biomass data were collected in 2005-2006 and 2014-2015 using diver operated stereo-video. In the decade between sampling events, south Western Australia experienced an extreme marine heatwave followed by repeated summers of anomalously warm ocean temperatures. Biomass of tropical and subtropical species increased 10-fold and 3-fold, respectively, between 2006 and 2015, whereas temperate species biomass remained relatively stable. In 2014-2015, the abundance and biomass of tropical species (e.g. Scarus ghobban) increased in the warmest regions and established multiple size classes poleward of their recorded 2005-2006 distributions, suggesting successful overwintering and recruitment where viable populations were not recorded in 2005-2006. Large, slow-growing temperate species such as Achoerodus gouldii and Bodianus frenchii decreased in small and medium size classes in warm regions. Our findings report a substantial change in the size structure and composition of labrid assemblages over a decade of climatic variability.</t>
  </si>
  <si>
    <t>[Parker, Jack R. C.; Saunders, Benjamin J.; Harvey, Euan S.] Curtin Univ, Sch Mol &amp; Life Sci, Perth, WA 6102, Australia; [Bennett, Scott] Univ Tasmania, Inst Marine &amp; Antarctic Studies, Hobart, Tas 7000, Australia</t>
  </si>
  <si>
    <t>Curtin University; University of Tasmania</t>
  </si>
  <si>
    <t>Parker, JRC (corresponding author), Curtin Univ, Sch Mol &amp; Life Sci, Perth, WA 6102, Australia.</t>
  </si>
  <si>
    <t>jack.parker1@curtin.edu.au</t>
  </si>
  <si>
    <t>Saunders, Benjamin/AAB-6617-2019; Bennett, Scott/A-8747-2016</t>
  </si>
  <si>
    <t>Saunders, Benjamin/0000-0003-1929-518X; Bennett, Scott/0000-0003-2969-7430</t>
  </si>
  <si>
    <t>JUN 10</t>
  </si>
  <si>
    <t>10.3354/meps13666</t>
  </si>
  <si>
    <t>SX8QL</t>
  </si>
  <si>
    <t>WOS:000665462100011</t>
  </si>
  <si>
    <t>Moreno-Pino, M; Ugalde, JA; Valdés, JH; Rodríguez-Marconi, S; Parada-Pozo, G; Trefault, N</t>
  </si>
  <si>
    <t>Moreno-Pino, Mario; Ugalde, Juan A.; Valdes, Jorge H.; Rodriguez-Marconi, Susana; Parada-Pozo, Genesis; Trefault, Nicole</t>
  </si>
  <si>
    <t>Bacteria Isolated From the Antarctic Sponge Iophon sp. Reveals Mechanisms of Symbiosis in Sporosarcina, Cellulophaga, and Nesterenkonia</t>
  </si>
  <si>
    <t>Antarctic sponges; symbiotic lifestyles; sponge microbiome; Antarctic ecosystem; sponge-associated bacteria</t>
  </si>
  <si>
    <t>CELL GENOMICS REVEALS; MARINE SPONGE; COMMUNITIES; CONVERGENCE; ANNOTATION; MICROBIOME; ALIGNMENT; ECOLOGY; TOOL</t>
  </si>
  <si>
    <t>Antarctic sponges harbor a diverse range of microorganisms that perform unique metabolic functions for nutrient cycles. Understanding how microorganisms establish functional sponge-microbe interactions in the Antarctic marine ecosystem provides clues about the success of these ancient animals in this realm. Here, we use a culture-dependent approach and genome sequencing to investigate the molecular determinants that promote a dual lifestyle in three bacterial genera Sporosarcina, Cellulophaga, and Nesterenkonia. Phylogenomic analyses showed that four sponge-associated isolates represent putative novel bacterial species within the Sporosarcina and Nesterenkonia genera and that the fifth bacterial isolate corresponds to Cellulophaga algicola. We inferred that isolated sponge-associated bacteria inhabit similarly marine sponges and also seawater. Comparative genomics revealed that these sponge-associated bacteria are enriched in symbiotic lifestyle-related genes. Specific adaptations related to the cold Antarctic environment are features of the bacterial strains isolated here. Furthermore, we showed evidence that the vitamin B5 synthesis-related gene, panE from Nesterenkonia E16_7 and E16_10, was laterally transferred within Actinobacteria members. Together, these findings indicate that the genomes of sponge-associated strains differ from other related genomes based on mechanisms that may contribute to the life in association with sponges and the extreme conditions of the Antarctic environment.</t>
  </si>
  <si>
    <t>[Moreno-Pino, Mario; Rodriguez-Marconi, Susana; Parada-Pozo, Genesis; Trefault, Nicole] Univ Mayor, Fac Sci, GEMA Ctr Gen Ecol &amp; Environm, Santiago, Chile; [Ugalde, Juan A.] Millennium Initiat Collaborat Res Bacterial Resis, Santiago, Chile; [Valdes, Jorge H.] Univ Mayor, Fac Sci, Ctr Genom &amp; Bioinformat, Santiago, Chile</t>
  </si>
  <si>
    <t>Universidad Mayor; Universidad Mayor</t>
  </si>
  <si>
    <t>Trefault, N (corresponding author), Univ Mayor, Fac Sci, GEMA Ctr Gen Ecol &amp; Environm, Santiago, Chile.</t>
  </si>
  <si>
    <t>nicole.trefault@umayor.cl</t>
  </si>
  <si>
    <t>Ugalde, Juan Antonio/GLV-2034-2022</t>
  </si>
  <si>
    <t>Ugalde, Juan Antonio/0000-0001-6638-0817; Moreno-Pino, Mario/0000-0002-4332-3315; Parada-Pozo, Genesis/0000-0003-3721-1488</t>
  </si>
  <si>
    <t>INACH [RG_31-15, DG_12-17, RT_34-17]; ANID-FONDECYT [1190879]; Direction of Research and Art Creation of Universidad Mayor; ANID Millennium Science Initiative/Millennium Initiative for Collaborative Research on Bacterial Resistance [NCN17_081]</t>
  </si>
  <si>
    <t>INACH; ANID-FONDECYT; Direction of Research and Art Creation of Universidad Mayor; ANID Millennium Science Initiative/Millennium Initiative for Collaborative Research on Bacterial Resistance</t>
  </si>
  <si>
    <t>This work has been funded by INACH grants RG_31-15, DG_12-17, RT_34-17, and ANID-FONDECYT grant no. 1190879. This work has also been funded by grants Puente Linking microbial community structure with their functional traits in Antarctic sponge symbionts: insights into the mechanisms of hostmicrobe interactions, FDP Funcionalidad en Comunidades Microbianas Asociadas a esponjas Antarticas, and the Ph.D. fellowship (to MM-P) from the Direction of Research and Art Creation of Universidad Mayor. JU was funded by the ANID Millennium Science Initiative/Millennium Initiative for Collaborative Research on Bacterial Resistance NCN17_081.</t>
  </si>
  <si>
    <t>10.3389/fmicb.2021.660779</t>
  </si>
  <si>
    <t>SX1MH</t>
  </si>
  <si>
    <t>WOS:000664975400001</t>
  </si>
  <si>
    <t>Caccavo, JA; Raclot, T; Poupart, T; Ropert-Coudert, Y; Angelier, F</t>
  </si>
  <si>
    <t>Caccavo, Jilda Alicia; Raclot, Thierry; Poupart, Timothee; Ropert-Coudert, Yan; Angelier, Frederic</t>
  </si>
  <si>
    <t>Anthropogenic activities are associated with shorter telomeres in chicks of Adelie penguin (Pygoscelis adeliae)</t>
  </si>
  <si>
    <t>Human activities exposure; Telomeres; Pygoscelis adeliae; Early-life conditions; Antarctic policy</t>
  </si>
  <si>
    <t>LONG-LIVED BIRD; GENTOO PENGUINS; POPULATION TRENDS; ENVIRONMENTAL-CONDITIONS; APTENODYTES-FORSTERI; HUMAN DISTURBANCE; BREEDING SUCCESS; DYNAMICS; STRESS; PAPUA</t>
  </si>
  <si>
    <t>Defining the impact of anthropogenic stressors on Antarctic wildlife is an active aim for investigators. Telomeres represent a promising molecular tool to investigate the fitness of wild populations, as their length may predict longevity and survival. We examined the relationship between telomere length and human exposure in Adelie penguin chicks (Pygoscelis adeliae) from East Antarctica. Telomere length was compared between chicks from areas with sustained human activity and on neighboring protected islands with little or no human presence. Adelie penguin chicks from sites exposed to human activity had significantly shorter telomeres than chicks from unexposed sites in nearby protected areas, with exposed chicks having on average 3.5% shorter telomeres than unexposed chicks. While sampling limitations preclude our ability to draw more sweeping conclusions at this time, our analysis nonetheless provides important insights into measures of colony vulnerability. More data are needed both to understand the proximate causes (e.g., stress, feeding events) leading to shorter telomeres in chicks from human exposed areas, as well as the fitness consequences of reduced telomere length. We suggest to further test the use of telomere length analysis as an eco-indicator of stress in wildlife among anthropized sites throughout Antarctica.</t>
  </si>
  <si>
    <t>[Caccavo, Jilda Alicia] Alfred Wegener Inst, Helmholtz Ctr Polar &amp; Marine Res, Bremerhaven, Germany; [Caccavo, Jilda Alicia] Berlin Ctr Gen Biodivers Res, Berlin, Germany; [Caccavo, Jilda Alicia] Leibniz Inst Zoo &amp; Wildlife Res, Dept Evolutionary Genet, Berlin, Germany; [Raclot, Thierry] Univ Strasbourg, Institut Pluridisciplinaire Hubert Curien, UMR7178 CNRS, Strasbourg, France; [Poupart, Timothee; Ropert-Coudert, Yan; Angelier, Frederic] Rochelle Univ, Centre D'Etudes Biologiques Chize, UMR 7372 CNRS, Villiers En Bois, France</t>
  </si>
  <si>
    <t>Helmholtz Association; Alfred Wegener Institute, Helmholtz Centre for Polar &amp; Marine Research; Leibniz Institut fur Zoo und Wildtierforschung; Universites de Strasbourg Etablissements Associes; Universite de Strasbourg; Centre National de la Recherche Scientifique (CNRS); CNRS - Institute of Ecology &amp; Environment (INEE)</t>
  </si>
  <si>
    <t>Caccavo, JA (corresponding author), Alfred Wegener Inst, Helmholtz Ctr Polar &amp; Marine Res, Bremerhaven, Germany.;Caccavo, JA (corresponding author), Berlin Ctr Gen Biodivers Res, Berlin, Germany.;Caccavo, JA (corresponding author), Leibniz Inst Zoo &amp; Wildlife Res, Dept Evolutionary Genet, Berlin, Germany.</t>
  </si>
  <si>
    <t>Caccavo, Jilda Alicia/GWN-1019-2022</t>
  </si>
  <si>
    <t>Caccavo, Jilda Alicia/0000-0002-8172-7855; Ropert-Coudert, Yan/0000-0001-6494-5300</t>
  </si>
  <si>
    <t>French Polar Institute Paul-Emile Victor (IPEV); WWF-UK; Cariparo Fellowship for foreign students; Antarctic Science International (ASI) Bursary; Scientific Committee on Antarctic Research (SCAR) Fellowship; Erasmus+ Student Traineeship; Alexander von Humboldt Foundation; Programme Zone Atelier de Recherches sur l'Environnement Antarctique et Subantarctique (i-LTER)</t>
  </si>
  <si>
    <t>French Polar Institute Paul-Emile Victor (IPEV); WWF-UK; Cariparo Fellowship for foreign students; Antarctic Science International (ASI) Bursary; Scientific Committee on Antarctic Research (SCAR) Fellowship; Erasmus+ Student Traineeship; Alexander von Humboldt Foundation(Alexander von Humboldt Foundation); Programme Zone Atelier de Recherches sur l'Environnement Antarctique et Subantarctique (i-LTER)</t>
  </si>
  <si>
    <t>This work was supported by the French Polar Institute Paul-Emile Victor (IPEV) through the polar program 1091, the WWF-UK (especially Rod Downie for his continuous support throughout the years), and the DProgramme Zone Atelier de Recherches sur l'Environnement Antarctique et Subantarctique (i-LTER). We thank Mathieu Casado (AWI, Potsdam) for his assistance in creation of the map figure. This work was completed while JAC was completing her PhD in Evolution, Ecology, and Conservation at the University of Padua, with funding from a Cariparo Fellowship for foreign students and additional support from an Antarctic Science International (ASI) Bursary, a Scientific Committee on Antarctic Research (SCAR) Fellowship, and an Erasmus+ Student Traineeship. JAC now acknowledges support from the Alexander von Humboldt Foundation in the form of a Humboldt Research Fellowship for Postdoctoral Researchers funding her current research at the Alfred Wegener Institute Helmholtz Center for Polar and Marine Research, the Berlin Center for Genomics in Biodiversity Research, and the Leibniz Institute for Zoo and Wildlife Research. We are indebted to Ursula Ellenberg and one anonymous reviewer who considerably enhanced the quality of the final version of the manuscript.</t>
  </si>
  <si>
    <t>10.1007/s00300-021-02892-7</t>
  </si>
  <si>
    <t>WOS:000659770600001</t>
  </si>
  <si>
    <t>Yarra, T; Ramesh, K; Blaxter, M; Hüning, A; Melzner, F; Clark, MS</t>
  </si>
  <si>
    <t>Yarra, Tejaswi; Ramesh, Kirti; Blaxter, Mark; Huening, Anne; Melzner, Frank; Clark, Melody S.</t>
  </si>
  <si>
    <t>Transcriptomic analysis of shell repair and biomineralization in the blue mussel, Mytilus edulis</t>
  </si>
  <si>
    <t>BMC GENOMICS</t>
  </si>
  <si>
    <t>Mollusc; Bivalve; Shell matrix proteins; Haemocytes; Calcium</t>
  </si>
  <si>
    <t>ACIDIC MATRIX PROTEIN; RNA-SEQ DATA; PEARL OYSTER; EXPRESSION ANALYSIS; POTASSIUM CHANNEL; CRYSTAL-FORMATION; PACIFIC OYSTER; NACRE; GENE; EVOLUTION</t>
  </si>
  <si>
    <t>Background Biomineralization by molluscs involves regulated deposition of calcium carbonate crystals within a protein framework to produce complex biocomposite structures. Effective biomineralization is a key trait for aquaculture, and animal resilience under future climate change. While many enzymes and structural proteins have been identified from the shell and in mantle tissue, understanding biomieralization is impeded by a lack of fundamental knowledge of the genes and pathways involved. In adult bivalves, shells are secreted by the mantle tissue during growth, maintenance and repair, with the repair process, in particular, amenable to experimental dissection at the transcriptomic level in individual animals. Results Gene expression dynamics were explored in the adult blue mussel, Mytilus edulis, during experimentally induced shell repair, using the two valves of each animal as a matched treatment-control pair. Gene expression was assessed using high-resolution RNA-Seq against a de novo assembled database of functionally annotated transcripts. A large number of differentially expressed transcripts were identified in the repair process. Analysis focused on genes encoding proteins and domains identified in shell biology, using a new database of proteins and domains previously implicated in biomineralization in mussels and other molluscs. The genes implicated in repair included many otherwise novel transcripts that encoded proteins with domains found in other shell matrix proteins, as well as genes previously associated with primary shell formation in larvae. Genes with roles in intracellular signalling and maintenance of membrane resting potential were among the loci implicated in the repair process. While haemocytes have been proposed to be actively involved in repair, no evidence was found for this in the M. edulis data. Conclusions The shell repair experimental model and a newly developed shell protein domain database efficiently identified transcripts involved in M. edulis shell production. In particular, the matched pair analysis allowed factoring out of much of the inherent high level of variability between individual mussels. This snapshot of the damage repair process identified a large number of genes putatively involved in biomineralization from initial signalling, through calcium mobilization to shell construction, providing many novel transcripts for future in-depth functional analyses.</t>
  </si>
  <si>
    <t>[Yarra, Tejaswi] Univ Edinburgh, Ashworth Labs, Inst Evolutionary Biol, Charlotte Auerbach Rd, Edinburgh EH9 3FL, Midlothian, Scotland; [Yarra, Tejaswi; Clark, Melody S.] British Antarctic Survey, Nat Environm Res Council, Madingley Rd, Cambridge CB3 0ET, England; [Ramesh, Kirti; Huening, Anne; Melzner, Frank] GEOMAR Helmholtz Ctr Ocean Res, D-24105 Kiel, Germany; [Blaxter, Mark] Sanger Inst, Wellcome Genome Campus, Saffron Walden CB10 1SA, Essex, England</t>
  </si>
  <si>
    <t>University of Edinburgh; UK Research &amp; Innovation (UKRI); Natural Environment Research Council (NERC); NERC British Antarctic Survey; Helmholtz Association; GEOMAR Helmholtz Center for Ocean Research Kiel</t>
  </si>
  <si>
    <t>Clark, MS (corresponding author), British Antarctic Survey, Nat Environm Res Council, Madingley Rd, Cambridge CB3 0ET, England.</t>
  </si>
  <si>
    <t>Clark, Melody S/D-7371-2014; Blaxter, Mark L/B-4113-2010; Melzner, Frank/X-4339-2018</t>
  </si>
  <si>
    <t>Melzner, Frank/0000-0002-5884-1318</t>
  </si>
  <si>
    <t>European Union [605051]; Kiel Excellence Cluster 'Future Ocean' project [CP1346]; UKRI-NERC core fund; BBSRC [BB/P024238/2, BB/P024238/1] Funding Source: UKRI; NERC [bas0100036] Funding Source: UKRI</t>
  </si>
  <si>
    <t>European Union(European Union (EU)); Kiel Excellence Cluster 'Future Ocean' project; UKRI-NERC core fund(UK Research &amp; Innovation (UKRI)Natural Environment Research Council (NERC)); BBSRC(UK Research &amp; Innovation (UKRI)Biotechnology and Biological Sciences Research Council (BBSRC)); NERC(UK Research &amp; Innovation (UKRI)Natural Environment Research Council (NERC))</t>
  </si>
  <si>
    <t>This manuscript was funded by the European Union Seventh Framework Programme [FP7] ITN project `CACHE: Calcium in a Changing Environment' (www.cache-itn.eu) under REA grant agreement 605051, which funded both TY and KR and the Kiel Excellence Cluster 'Future Ocean' project CP1346 (which paid for the sequencing part of this project). MSC was supported by UKRI-NERC core funding to the British Antarctic Survey.</t>
  </si>
  <si>
    <t>BMC</t>
  </si>
  <si>
    <t>CAMPUS, 4 CRINAN ST, LONDON N1 9XW, ENGLAND</t>
  </si>
  <si>
    <t>1471-2164</t>
  </si>
  <si>
    <t>BMC Genomics</t>
  </si>
  <si>
    <t>10.1186/s12864-021-07751-7</t>
  </si>
  <si>
    <t>Biotechnology &amp; Applied Microbiology; Genetics &amp; Heredity</t>
  </si>
  <si>
    <t>SQ0FB</t>
  </si>
  <si>
    <t>WOS:000660035700001</t>
  </si>
  <si>
    <t>Griffith, MJ; Dempsey, SM; Jackson, DR; Moffat-Griffin, T; Mitchell, NJ</t>
  </si>
  <si>
    <t>Griffith, Matthew J.; Dempsey, Shaun M.; Jackson, David R.; Moffat-Griffin, Tracy; Mitchell, Nicholas J.</t>
  </si>
  <si>
    <t>Winds and tides of the Extended Unified Model in the mesosphere and lower thermosphere validated with meteor radar observations</t>
  </si>
  <si>
    <t>ANNALES GEOPHYSICAE</t>
  </si>
  <si>
    <t>GRAVITY-WAVE ACTIVITY; DIURNAL TIDE; MIDDLE ATMOSPHERE; PLANETARY-WAVES; VARIABILITY; PARAMETERIZATION; STRATOSPHERE; CLIMATOLOGY; IONOSPHERE; WEATHER</t>
  </si>
  <si>
    <t>The mesosphere and lower thermosphere (MLT) is a critical region that must be accurately reproduced in general circulation models (GCMs) that aim to include the coupling between the lower and middle atmosphere and the thermosphere. An accurate representation of the MLT is thus important for improved climate modelling and the development of a whole atmosphere model. This is because the atmospheric waves at these heights are particularly large, and so the energy and momentum they carry is an important driver of climatological phenomena through the whole atmosphere, affecting terrestrial and space weather. The Extended Unified Model (ExUM) is the recently developed version of the Met Office's Unified Model which has been extended to model the MLT. The capability of the ExUM to model atmospheric winds and tides in the MLT is currently unknown. Here, we present the first study of winds and tides from the ExUM. We make a comparison against meteor radar observations of winds and tides from 2006 between 80 and 100 km over two radar stations - Rothera (68 degrees S, 68 degrees W) and Ascension Island (8 degrees S, 14 degrees W). These locations are chosen to study tides in two very different tidal regimes - the equatorial regime, where the diurnal (24 h) tide dominates, and the polar regime, where the semi-diurnal (12 h) tide dominates. The results of this study illustrate that the ExUM is capable of reproducing atmospheric winds and tides that capture many of the key characteristics seen in meteor radar observations, such as zonal and meridional wind maxima and minima, the increase in tidal amplitude with increasing height, and the decrease in tidal phase with increasing height. In particular, in the equatorial regime some essential characteristics of the background winds, tidal amplitudes and tidal phases are well captured but with significant differences in detail. In the polar regime, the difference is more pronounced. The ExUM zonal background winds in austral winter are primarily westward rather than eastward, and in austral summer they are larger than observed above 90 km. The ExUM tidal amplitudes here are in general consistent with observed values, but they are also larger than observed values above 90 km in austral summer. The tidal phases are generally well replicated in this regime. We propose that the bias in background winds in the polar regime is a consequence of the lack of in situ gravity wave generation to generate eastward fluxes in the MLT. The results of this study indicate that the ExUM has a good natural capability for modelling atmospheric winds and tides in the MLT but that there is room for improvement in the model physics in this region. This highlights the need for modifications to the physical parameterization schemes used in the model in this region - such as the non-orographic spectral gravity wave scheme - to improve aspects such as polar circulation. To this end, we make specific recommendations of changes that can be implemented to improve the accuracy of the ExUM in the MLT.</t>
  </si>
  <si>
    <t>[Griffith, Matthew J.] Univ Bath, Dept Math Sci, Bath BA2 7AY, Avon, England; [Dempsey, Shaun M.; Mitchell, Nicholas J.] Univ Bath, Dept Elect &amp; Elect Engn, Bath BA2 7AY, Avon, England; [Jackson, David R.] Met Off, Fitzroy Rd, Exeter EX1 3PB, Devon, England; [Moffat-Griffin, Tracy; Mitchell, Nicholas J.] British Antarctic Survey, High Cross,Madingley Rd, Cambridge CB3 0ET, England</t>
  </si>
  <si>
    <t>University of Bath; University of Bath; Met Office - UK; UK Research &amp; Innovation (UKRI); Natural Environment Research Council (NERC); NERC British Antarctic Survey</t>
  </si>
  <si>
    <t>Griffith, MJ (corresponding author), Univ Bath, Dept Math Sci, Bath BA2 7AY, Avon, England.</t>
  </si>
  <si>
    <t>mjg41@bath.ac.uk</t>
  </si>
  <si>
    <t>Jackson, David/0000-0001-6387-6876; Dempsey, Shaun/0000-0002-3693-963X; Griffith, Matthew/0000-0001-8615-2088</t>
  </si>
  <si>
    <t>University of Bath [NE/L002434/1]; Horizon 2020 Framework Programme, H2020 European Institute of Innovation and Technology (SWAMI) [776287]; Natural Environment Research Council [NE/R001391/1, NE/R001235/1]; H2020 - Industrial Leadership [776287] Funding Source: H2020 - Industrial Leadership; NERC [bas0100032, NE/R001235/1, NE/R001391/1] Funding Source: UKRI</t>
  </si>
  <si>
    <t>University of Bath; Horizon 2020 Framework Programme, H2020 European Institute of Innovation and Technology (SWAMI); Natural Environment Research Council(UK Research &amp; Innovation (UKRI)Natural Environment Research Council (NERC)); H2020 - Industrial Leadership(European Union (EU)H2020 - Industrial Leadership); NERC(UK Research &amp; Innovation (UKRI)Natural Environment Research Council (NERC))</t>
  </si>
  <si>
    <t>This research has been supported by the University of Bath (grant no. NE/L002434/1), the Horizon 2020 Framework Programme, H2020 European Institute of Innovation and Technology (SWAMI (grant no. 776287)), and the Natural Environment Research Council (grant nos. NE/R001391/1 and NE/R001235/1).</t>
  </si>
  <si>
    <t>0992-7689</t>
  </si>
  <si>
    <t>1432-0576</t>
  </si>
  <si>
    <t>ANN GEOPHYS-GERMANY</t>
  </si>
  <si>
    <t>Ann. Geophys.</t>
  </si>
  <si>
    <t>10.5194/angeo-39-487-2021</t>
  </si>
  <si>
    <t>Astronomy &amp; Astrophysics; Geosciences, Multidisciplinary; Meteorology &amp; Atmospheric Sciences</t>
  </si>
  <si>
    <t>Astronomy &amp; Astrophysics; Geology; Meteorology &amp; Atmospheric Sciences</t>
  </si>
  <si>
    <t>SS9TC</t>
  </si>
  <si>
    <t>WOS:000662094700001</t>
  </si>
  <si>
    <t>Lo Monaco, C; Metzl, N; Fin, J; Mignon, C; Cuet, P; Douville, E; Gehlen, M; Chau, TTT; Tribollet, A</t>
  </si>
  <si>
    <t>Lo Monaco, Claire; Metzl, Nicolas; Fin, Jonathan; Mignon, Claude; Cuet, Pascale; Douville, Eric; Gehlen, Marion; Thi Tuyet Trang Chau; Tribollet, Aline</t>
  </si>
  <si>
    <t>Distribution and long-term change of the sea surface carbonate system in the Mozambique Channel (1963-2019)</t>
  </si>
  <si>
    <t>DEEP-SEA RESEARCH PART II-TOPICAL STUDIES IN OCEANOGRAPHY</t>
  </si>
  <si>
    <t>Mozambique Channel; Ocean CO2; Acidification; Long-term trends</t>
  </si>
  <si>
    <t>OCEAN ACIDIFICATION; ANTHROPOGENIC CO2; INDIAN-OCEAN; DISSOCIATION-CONSTANTS; IN-SITU; ALKALINITY; DIOXIDE; WATER; PH; SEAWATER</t>
  </si>
  <si>
    <t>We report new oceanic carbonate system observations obtained during two cruises conducted in January 2004 (OISO-11) and April 2019 (CLIM-EPARSES) in the Mozambique Channel and estimate the long-term trend of sea surface fugacity of CO2 (fCO(2)) and pH using historical data. While in January 2004 the region was a large CO2 source, the ocean was near equilibrium in April 2019. Although this region experienced a dramatic cyclone event Idai in March 2019 leading to low salinity and low dissolved inorganic carbon (C-T) and total alkalinity (A(T)) concentrations in the central channel, salinity normalized A(T) were unchanged and C-T concentrations were higher in 2019 compared to 2004 by about 12 mu mol.kg(-1), likely due to anthropogenic CO2 uptake over 15 years. Compared to fCO(2) observations of 1963 in the channel, the oceanic fCO(2) was higher in 2004/2019 by about 100 mu atm, an increase close to that observed in the atmosphere (90 ppm). A part of the fCO(2) increase from 1963 to 2019 (about +10 mu atm) is due to the long-term ocean warming in this region (+0.011.C.decade(-1)). We estimated a mean decrease of 0.087 (+/- 0.007) pH unit between 1963 and 2019, typical of the preindustrial versus modern change in the global ocean. Using other observations in the southern part of the Mozambique Channel (around 25.S) we estimated a pH trend of 0.0129.decade(-1) (+/- 0.0042) for 1963-1995 and 0.0227.decade-1 (+/- 0.0048) for 1995-2019 suggesting a strengthening of acidification trend in the Mozambique Channel in agreement with the anthropogenic CO2 forcing. For the recent period, these rates were confirmed by reconstructed fCO(2) and pH monthly fields using a neural network model. We noted however that the pH trend in the Mozambique Channel appeared lower than previous estimates at the scale of the Indian Ocean. Based on historical atmospheric CO2 data we estimated that pH in the Mozambique Channel was about 8.18 (+/- 0.014) in the year 1800, i.e. 0.13 higher than in 2019. The concentration of C-T in the year 1800 was likely around 1915 (+/- 10) mu mol.kg(-1). These results will contribute to a better understanding of the impacts of ocean acidification on coral reefs since the industrial revolution by (1) providing a reference level for the reconstruction of pH from coral core samples that were collected at different locations in this region in 2019 and (2) by informing environmental authorities aiming at preserving and protecting those threatened ecosystems.</t>
  </si>
  <si>
    <t>[Lo Monaco, Claire; Metzl, Nicolas; Fin, Jonathan; Mignon, Claude; Tribollet, Aline] Sorbonne Univ, CNRS IRD MNHN, Lab LOCEAN IPSL, F-75005 Paris, France; [Cuet, Pascale] Univ Nouvelle Caledonie, Univ La Reunion, IFREMER, IRD,Lab ENTROPIE, F-97744 St Denis, La Reunion, France; [Cuet, Pascale] Univ Nouvelle Caledonie, Univ La Reunion, IFREMER, IRD,Lab Excellence CORAIL, F-97744 St Denis, La Reunion, France; [Douville, Eric; Gehlen, Marion; Thi Tuyet Trang Chau] Univ Paris Saclay, CEA CNRS UVSQ, Lab LSCE IPSL, F-91191 Gif Sur Yvette, France</t>
  </si>
  <si>
    <t>Sorbonne Universite; Museum National d'Histoire Naturelle (MNHN); Institut de Recherche pour le Developpement (IRD); Ifremer; Institut de Recherche pour le Developpement (IRD); University of La Reunion; Institut de Recherche pour le Developpement (IRD); Ifremer; University of La Reunion; Universite Paris Saclay; CEA; Universite Paris Cite</t>
  </si>
  <si>
    <t>Metzl, N (corresponding author), Sorbonne Univ, Lab LOCEAN, IPSL, CNRS IRD SU MNHN,UMR 7159, Case 100,4 Pl Jussieu, F-75252 Paris 05, France.</t>
  </si>
  <si>
    <t>nicolas.metzl@locean-ipsl.fr</t>
  </si>
  <si>
    <t>Chau, Thi Tuyet Trang/AAE-2386-2022</t>
  </si>
  <si>
    <t>Chau, Thi Tuyet Trang/0000-0003-0102-7427; Douville, Eric/0000-0002-6673-1768; metzl, nicolas/0000-0002-1165-1074</t>
  </si>
  <si>
    <t>IPEV (Institut Polaire PaulEmile Victor); European program CARBOOCEAN [511176]; European program CARBO-CHANGE [264879]; TAAF (Terres Australes et Antarctic Francaises); IRD (Institut de Recherche pour le Developpement); Fondation Prince Albert II de Monaco; INSU (Institut National des Sciences de l'Univers); CNRS (Centre National de Recherche Scientifique); Museum National d'Histoire Naturelle (MNHN); UMRs LOCEANIPSL; ENTROPIE; LSCE; French INSU-GMMC project PPRGreenGrog [5DSPPRGGREOG]; EU H2020 project AtlantOS [633211]; Copernicus Marine Environment Monitoring Service (project CMEMSTACMOB); French program SOERE/GreatGases</t>
  </si>
  <si>
    <t>IPEV (Institut Polaire PaulEmile Victor); European program CARBOOCEAN; European program CARBO-CHANGE; TAAF (Terres Australes et Antarctic Francaises); IRD (Institut de Recherche pour le Developpement); Fondation Prince Albert II de Monaco; INSU (Institut National des Sciences de l'Univers); CNRS (Centre National de Recherche Scientifique)(Centre National de la Recherche Scientifique (CNRS)); Museum National d'Histoire Naturelle (MNHN); UMRs LOCEANIPSL; ENTROPIE; LSCE; French INSU-GMMC project PPRGreenGrog; EU H2020 project AtlantOS; Copernicus Marine Environment Monitoring Service (project CMEMSTACMOB); French program SOERE/GreatGases</t>
  </si>
  <si>
    <t>The OISO program was supported by the French institutes INSU (Institut National des Sciences de l'Univers) and IPEV (Institut Polaire PaulEmile Victor) , the French program SOERE/GreatGases, and the European programs CARBOOCEAN (grant 511176) and CARBO-CHANGE (grant 264879) . The CLIM-EPARSES project is supported by TAAF (Terres Australes et Antarctic Francaises) , IRD (Institut de Recherche pour le Developpement) , Fondation Prince Albert II de Monaco ( www.fpa2.org) , INSU (Institut National des Sciences de l'Univers) , CNRS (Centre National de Recherche Scientifique) , Museum National d'Histoire Naturelle (MNHN) , UMRs LOCEANIPSL, ENTROPIE and LSCE. We thank the captains and crew of R.R.V. Marion Dufresne and the staff at the French Polar Institute (IPEV) . The development of the neural network model benefited from funding by the French INSU-GMMC project PPRGreenGrog (grant no 5DSPPRGGREOG) , the EU H2020 project AtlantOS (grant no 633211) , as well as through the Copernicus Marine Environment Monitoring Service (project CMEMSTACMOB) . Anna Conchon contributed to the development and computation of pCO2 and pH reconstructions. The Surface Ocean CO2 Atlas (SOCAT, www.socat.info) is an international effort, endorsed by the International Ocean Carbon Coordination Project (IOCCP) , the Surface Ocean Lower Atmosphere Study (SOLAS) and the Integrated Marine Biogeochemistry and Ecosystem Research program (IMBER) , to deliver a uniformly qualitycontrolled surface ocean CO2 database. We thank the two anonymous reviewers for making constructivesuggestions, which resulted in improvements of this paper and Raleigh Hood, Editor of this IIOE-2 special issue.</t>
  </si>
  <si>
    <t>0967-0645</t>
  </si>
  <si>
    <t>1879-0100</t>
  </si>
  <si>
    <t>DEEP-SEA RES PT II</t>
  </si>
  <si>
    <t>Deep-Sea Res. Part II-Top. Stud. Oceanogr.</t>
  </si>
  <si>
    <t>10.1016/j.dsr2.2021.104936</t>
  </si>
  <si>
    <t>SQ5WH</t>
  </si>
  <si>
    <t>Green Published, Green Submitted, hybrid</t>
  </si>
  <si>
    <t>WOS:000660425400001</t>
  </si>
  <si>
    <t>Queirós, JP; Ramos, JA; Cherel, Y; Franzitta, M; Duarte, B; Rosa, R; Monteiro, F; Figueiredo, A; Strugnell, JM; Fukuda, Y; Stevens, DW; Xavier, JC</t>
  </si>
  <si>
    <t>Queiros, Jose P.; Ramos, Jaime A.; Cherel, Yves; Franzitta, Marco; Duarte, Bernardo; Rosa, Rui; Monteiro, Filipa; Figueiredo, Andreia; Strugnell, Jan M.; Fukuda, Yuki; Stevens, Darren W.; Xavier, Jose C.</t>
  </si>
  <si>
    <t>Cephalopod fauna of the Pacific Southern Ocean using Antarctic toothfish (Dissostichus mawsoni) as biological samplers and fisheries bycatch specimens</t>
  </si>
  <si>
    <t>DNA barcoding; Amundsen Sea; D'Urville Sea; Cephalopoda; Stable isotopes; Trophic ecology</t>
  </si>
  <si>
    <t>SQUID MESONYCHOTEUTHIS-HAMILTONI; PENGUINS APTENODYTES-FORSTERI; STABLE-ISOTOPE SIGNATURES; ROSS SEA; PATAGONIAN TOOTHFISH; STOMACH CONTENTS; TROPHIC ECOLOGY; LIFE-HISTORY; GUT CONTENTS; ONTOGENIC CHANGES</t>
  </si>
  <si>
    <t>Cephalopods are an important component of Southern Ocean food webs but studies analysing their habitat and trophic ecology are scarce. Here, we use the Antarctic toothfish Dissostichus mawsoni as a biological sampler of Southern Ocean's cephalopods in the Ross, Amundsen, and D'Urville Seas. Ten cephalopod taxa were identified in the diet of the Antarctic toothfish, with Pareledone turqueti and Moroteuthopsis longimana being the only species present in all the three studied areas. DNA analysis conducted on squid flesh samples allowed identification of eight and two specimens of Mesonychoteuthis hamiltoni and M. longimana, respectively, proving this technique as a potential tool to improve the knowledge of cephalopods biodiversity and biogeography in the Southern Ocean. Stable isotopes were used to compare the habitat (delta C-13) and trophic ecology (delta N-15) between two life-stages of the two most abundant squid species (M. longimana and Psychroteuthis glacialis) from the D'Urville Sea (both squid species) and Amundsen Sea (only P. glacialis). Higher (delta C-13 values in M. longimana suggest that this species inhabits waters near the Antarctic Polar Front, with incursions into sub-Antarctic waters, whilst P. glacialis spends its entire life in Antarctic waters. The most recently deposited part of the beak is enriched in N-15 suggesting an increase in trophic level during squid growth. These results give us the first insights into the bathyal distribution of cephalopods in the Amundsen and D'Urville Seas, as well as into the ontogenetic changes of two of the most consumed squid species by top predators in this region. Such results are an important step towards improving the biogeography of Antarctic cephalopods, being of utmost importance to understand the biodiversity, food web structure, and functioning of this region.</t>
  </si>
  <si>
    <t>[Queiros, Jose P.; Ramos, Jaime A.; Xavier, Jose C.] Univ Coimbra, MARE Marine &amp; Environm Sci Ctr, Dept Life Sci, P-3000456 Coimbra, Portugal; [Cherel, Yves] La Rochelle Univ, UMR 7372 CNRS, Ctr Etud Biol Chize, F-79360 Villiers En Bois, France; [Franzitta, Marco; Rosa, Rui] Univ Lisbon, Fac Sci, MARE Marine &amp; Environm Sci Ctr, Lab Maritimo Guia, Lisbon, Portugal; [Duarte, Bernardo] Univ Lisbon, MARE Marine &amp; Environm Sci Ctr, Fac Ciencias, P-1749016 Lisbon, Portugal; [Duarte, Bernardo; Figueiredo, Andreia] Univ Lisbon, Dept Biol Vegetal, Fac Ciencias, P-174901 Lisbon, Portugal; [Monteiro, Filipa] Univ Lisbon, Fac Sci, Ctr Ecol Evolut &amp; Environm Changes cE3c, Lisbon, Portugal; [Monteiro, Filipa] Univ Lisbon, Inst Super Agron, Linking Landscape Environm Agr &amp; Food LEAF, Lisbon, Portugal; [Figueiredo, Andreia] Univ Lisbon, Fac Sci, BIOISI Biosyst &amp; Integrat Sci Inst, Lisbon, Portugal; [Strugnell, Jan M.] James Cook Univ, Coll Sci &amp; Engn, Ctr Sustainable Trop Fisheries &amp; Aquaculture, Townsville, Qld, Australia; [Fukuda, Yuki] Snow Parrot Ltd, Richmond, Tasman, New Zealand; [Stevens, Darren W.] NIWA Natl Inst Water &amp; Atmospher Res, 301 Evans Bay Parade, Wellington 6021, New Zealand; [Xavier, Jose C.] British Antarctic Survey, NERC, Madingley Rd, Cambridge CB3 0ET, England</t>
  </si>
  <si>
    <t>Universidade de Coimbra; Centre National de la Recherche Scientifique (CNRS); CNRS - Institute of Ecology &amp; Environment (INEE); Universidade de Lisboa; Universidade de Lisboa; Universidade de Lisboa; Universidade de Lisboa; Universidade de Lisboa; BIOISI; Universidade de Lisboa; James Cook University; National Institute of Water &amp; Atmospheric Research (NIWA) - New Zealand; UK Research &amp; Innovation (UKRI); Natural Environment Research Council (NERC); NERC British Antarctic Survey</t>
  </si>
  <si>
    <t>Queirós, JP (corresponding author), Univ Coimbra, MARE Marine &amp; Environm Sci Ctr, Dept Life Sci, P-3000456 Coimbra, Portugal.</t>
  </si>
  <si>
    <t>jqueiros@student.uc.pt</t>
  </si>
  <si>
    <t>Duarte, Bernardo/H-2001-2011; Figueiredo, Andreia/G-2887-2014; Ramos, Jaime A./B-6616-2018; Strugnell, Jan M/P-9921-2016; Xavier, José/KFB-6739-2024; Rosa, Rui/A-4580-2009; Queirós, José P./K-4158-2019</t>
  </si>
  <si>
    <t>Duarte, Bernardo/0000-0003-1914-7435; Figueiredo, Andreia/0000-0001-8156-7700; Ramos, Jaime A./0000-0002-9533-987X; Rosa, Rui/0000-0003-2801-5178; Queirós, José P./0000-0003-2763-2529; Cherel, Yves/0000-0001-9469-9489; Monteiro, Filipa/0000-0002-1505-2140; /0000-0002-9621-6660</t>
  </si>
  <si>
    <t>Portuguese Polar Program (PROPOLAR); NEP Japan; FCT [SFRH/BPD/114664/2016, UID/MAR/04292/2020, CEECIND/00511/2017, IF/008109/2015]; SCAR-EGBAMM; ICED; FCT/MCTES through national funds (PIDDAC)</t>
  </si>
  <si>
    <t>Portuguese Polar Program (PROPOLAR); NEP Japan; FCT(Fundacao para a Ciencia e a Tecnologia (FCT)); SCAR-EGBAMM; ICED; FCT/MCTES through national funds (PIDDAC)(Fundacao para a Ciencia e a Tecnologia (FCT))</t>
  </si>
  <si>
    <t>JQ was supported by FCT/MCTES through national funds (PIDDAC) and Portuguese Polar Program (PROPOLAR) . JQ onboard period was supported by NEP Japan. BD was supported by Investigator FCT program contract CEECIND/00511/2017. AF was supported by Investigator FCT program contract IF/008109/2015. FM was supported by the post-doc FCT grant SFRH/BPD/114664/2016. The work is funded by FCT through the strategic project UID/MAR/04292/2020, granted to MARE, and from SCAR-EGBAMM and ICED.</t>
  </si>
  <si>
    <t>10.1016/j.dsr.2021.103571</t>
  </si>
  <si>
    <t>XJ7TE</t>
  </si>
  <si>
    <t>WOS:000726984500001</t>
  </si>
  <si>
    <t>Lázaro, XA; Mackenzie, R; Jiménez, JE</t>
  </si>
  <si>
    <t>Lazaro, Xenabeth A.; Mackenzie, Roy; Jimenez, Jaime E.</t>
  </si>
  <si>
    <t>Evidence of endozoochory in upland geese Chloephaga picta and white-bellied seedsnipes Attagis malouinus in sub-Antarctic Chile</t>
  </si>
  <si>
    <t>birds; bryophyte dispersal; endozoochory; mosses; sub-Antarctic</t>
  </si>
  <si>
    <t>KELP GULL; CAPE HORN; BRYOPHYTES; DISPERSAL; CONSERVATION; TOLERANCE; HISTORY; RESERVE; BIOLOGY; PLANTS</t>
  </si>
  <si>
    <t>Birds are known to act as potential vectors for the exogenous dispersal of bryophyte diaspores. Given the totipotency of vegetative tissue of many bryophytes, birds could also contribute to endozoochorous bryophyte dispersal. Research has shown that fecal samples of the upland goose (Chloephaga picta) and white-bellied seedsnipe (Attagis malouinus) contain bryophyte fragments. Although few fragments from bird feces have been known to regenerate, the evidence for the viability of diaspores following passage through the bird intestinal tract remains ambiguous. We evaluated the role of endozoochory in these same herbivorous and sympatric bird species in sub-Antarctic Chile. We hypothesized that fragments of bryophyte gametophytes retrieved from their feces are viable and capable of regenerating new plant tissue. Eleven feces disk samples containing undetermined moss fragments from C. picta (N = 6) and A. malouinus (N = 5) and six moss fragment samples from wild-collected mosses (Conostomum tetragonum, Syntrichia robusta, and Polytrichum strictum) were grown ex situ in peat soil and in vitro using a agar Gamborg medium. After 91 days, 20% of fragments from A. malouinus feces, 50% of fragments from C. picta feces, and 67% of propagules from wild mosses produced new growth. The fact that moss diaspores remained viable and can regenerate under experimental conditions following the passage through the intestinal tracts of these robust fliers and altitudinal and latitudinal migrants suggests that sub-Antarctic birds might play a role in bryophyte dispersal. This relationship may have important implications in the way bryophytes disperse and colonize habitats facing climate change.</t>
  </si>
  <si>
    <t>[Lazaro, Xenabeth A.] Univ Florida, Dept Wildlife Ecol &amp; Conservat, Gainesville, FL USA; [Mackenzie, Roy] Univ Magallanes, Subantarctic Biocultural Conservat Program, Punta Arenas, Chile; [Mackenzie, Roy] Inst Ecol &amp; Biodivers, Santiago, Chile; [Jimenez, Jaime E.] Univ North Texas, Dept Biol Sci, Denton, TX 76203 USA; [Jimenez, Jaime E.] Univ North Texas, Adv Environm Res Inst, Denton, TX 76203 USA</t>
  </si>
  <si>
    <t>State University System of Florida; University of Florida; Universidad de Magallanes; University of North Texas System; University of North Texas Denton; University of North Texas System; University of North Texas Denton</t>
  </si>
  <si>
    <t>Mackenzie, R (corresponding author), Univ Magallanes, Ctr Invest &amp; Asistencia Tecn Puerto Williams, Teniente Munoz 166, Puerto Williams, Chile.</t>
  </si>
  <si>
    <t>roy.mackenzie@umag.cl</t>
  </si>
  <si>
    <t>Mackenzie, Roy/AAU-7621-2020</t>
  </si>
  <si>
    <t>Mackenzie, Roy/0000-0001-6620-1532; Lazaro, Xenabeth/0000-0003-2660-6150</t>
  </si>
  <si>
    <t>National Science Foundation-International Research Experience for Students [NSF-IRES 1658651]; National Agency for Research and Development (ANID) [PAI79170119, MPG190029]; University of North Texas; University of Magallanes</t>
  </si>
  <si>
    <t>National Science Foundation-International Research Experience for Students; National Agency for Research and Development (ANID); University of North Texas; University of Magallanes</t>
  </si>
  <si>
    <t>This research was funded by the National Science Foundation-International Research Experience for Students (NSF-IRES 1658651), the University of North Texas, and University of Magallanes. RM was funded by the National Agency for Research and Development (ANID) PAI79170119 and MPG190029. We are grateful to Bernard Goffinet and Lily Lewis for research advice and Leslie Mackenzie for Figure design. Additionally, we would like to thank Elke Schuttler and Tamara Contador for project logistic support, Jonilee Polanco and Taylor Gillum for assistance in the collection of data, Nicholas Russo and Michael Robertson for addressing project-related inquiries, and Javiera Videla for the detailed pictures.</t>
  </si>
  <si>
    <t>10.1002/ece3.7725</t>
  </si>
  <si>
    <t>TL6OC</t>
  </si>
  <si>
    <t>WOS:000659710400001</t>
  </si>
  <si>
    <t>Jin, J; Chen, X; Xu, LQ; Nie, YG; Wang, XY; Huang, HH; Emslie, SD; Liu, XD</t>
  </si>
  <si>
    <t>Jin, Jing; Chen, Xin; Xu, Liqiang; Nie, Yaguang; Wang, Xueying; Huang, Huihui; Emslie, Steven D.; Liu, Xiaodong</t>
  </si>
  <si>
    <t>Chronology and paleoclimatic implications of lacustrine sediments at Inexpressible Island, Ross Sea, Antarctica</t>
  </si>
  <si>
    <t>Late-Holocene; AMS(14)C dating; Organic carbon; MCA; Inexpressible Island</t>
  </si>
  <si>
    <t>TERRA-NOVA BAY; HOLOCENE PALEOENVIRONMENTAL CHANGES; NORTHERN VICTORIA LAND; ENVIRONMENTAL IMPLICATIONS; CLIMATE VARIABILITY; ORGANIC-MATTER; LAKE-SEDIMENTS; ICE-CORE; PENINSULA; RECORD</t>
  </si>
  <si>
    <t>Lacustrine sediments from ice-free areas of Antarctica record both paleoecological and paleoclimatic information. Four sediment profiles (IIL1, IIL3, IIL4 and IIL9) were collected at Inexpressible Island, Ross Sea, to establish a robust late-Holocene chronology using accelerator mass spectrometry (AMS) I-4 C dating and geochemical and lithological analyses. The IIL1 and IIL4 sediments were strongly affected by penguin guano, and their bottom (oldest) ages were dated to 1659 and 4820 yr BP, respectively, using a Mixed Marine SoHem mode. By contrast, the organic matter of IIL3 and IIL9 sediments were predominantly sourced from aquatic microbial mats with the bottom ages of these two cores at 3179 and 2945 yr BP, respectively, based on a SHCal13 mode. The mass accumulation rates of the four sediment profiles inferred from this chronology showed peaks during similar to 1400-800 yr BP, corresponding to greater mean grain size and higher sand fraction ratios in the IIL3 and IIL9 profiles, suggesting a strengthened hydrodynamic effect in this period. Our results indicate a relatively warm period occurred in the study area, in accordance with an 'optimum' warming in the Ross Sea region. From a regional view, this warm period was also consolidated with climatic records from the western Ross Sea, most likely corresponding to a well-recognized climate perturbation known as the Medieval Climate Anomaly (MCA) in many parts of the world.</t>
  </si>
  <si>
    <t>[Jin, Jing; Chen, Xin; Wang, Xueying; Huang, Huihui; Liu, Xiaodong] Univ Sci &amp; Technol China, Sch Earth &amp; Space Sci, Anhui Prov Key Lab Polar Environm &amp; Global Change, Hefei 230026, Anhui, Peoples R China; [Jin, Jing] USTC CityU Joint Adv Res Ctr, Suzhou 215123, Jiangsu, Peoples R China; [Xu, Liqiang] Hefei Univ Technol, Sch Resources &amp; Environm Engn, Hefei 230009, Anhui, Peoples R China; [Nie, Yaguang] Anhui Univ, Inst Phys Sci, Hefei 230601, Peoples R China; [Nie, Yaguang] Anhui Univ, Inst Informat Technol, Hefei 230601, Peoples R China; [Emslie, Steven D.] Univ North Carolina Wilmington, Dept Biol &amp; Marine Biol, 601 S,Coll Rd, Wilmington, NC 28403 USA</t>
  </si>
  <si>
    <t>Chinese Academy of Sciences; University of Science &amp; Technology of China, CAS; Hefei University of Technology; Chinese Academy of Sciences; Hefei Institutes of Physical Science, CAS; Anhui University; Anhui University; University of North Carolina; University of North Carolina Wilmington</t>
  </si>
  <si>
    <t>Liu, XD (corresponding author), Univ Sci &amp; Technol China, Sch Earth &amp; Space Sci, Anhui Prov Key Lab Polar Environm &amp; Global Change, Hefei 230026, Anhui, Peoples R China.</t>
  </si>
  <si>
    <t>jjin@mail.ustc.edu.cn; chenxust@mail.ustc.edu.cn; xlq@hfut.edu.cn; nyg@ahu.edu.cn; zkdwxy@mail.ustc.edu.cn; mrhuanghh@163.com; emslies@uncw.edu; ycx@ustc.edu.cn</t>
  </si>
  <si>
    <t>Xu, Liqiang/AGX-6674-2022</t>
  </si>
  <si>
    <t>Chinese Arctic and Antarctic Administration of the State Oceanic Administration; National Natural Science Foundation of China [41776188, 41576183]; Fundamental Research Funds for the Central Universities; NSF [ANT-1443386]</t>
  </si>
  <si>
    <t>Chinese Arctic and Antarctic Administration of the State Oceanic Administration; National Natural Science Foundation of China(National Natural Science Foundation of China (NSFC)); Fundamental Research Funds for the Central Universities(Fundamental Research Funds for the Central Universities); NSF(National Science Foundation (NSF))</t>
  </si>
  <si>
    <t>We would like to thank the Chinese Arctic and Antarctic Administration of the State Oceanic Administration for project support. This study was supported by the National Natural Science Foundation of China (Grant Nos. 41776188 and 41576183), the Fundamental Research Funds for the Central Universities and by NSF Grant ANT-1443386 to S. Emslie. We also thank the United States Antarctic Program (USAP), Antarctic Support Contract and the Italian Mario Zucchelli Station for logistical support. R. Murray and A. McKenzie provided valuable assistance in the field.</t>
  </si>
  <si>
    <t>10.1016/j.palaeo.2021.110497</t>
  </si>
  <si>
    <t>WOS:000668458200004</t>
  </si>
  <si>
    <t>Jordaan, RK; Reisinger, RR; Oosthuizen, WC; De Bruyn, PJN</t>
  </si>
  <si>
    <t>Jordaan, Rowan K.; Reisinger, Ryan R.; Oosthuizen, W. Chris; de Bruyn, P. J. Nico</t>
  </si>
  <si>
    <t>Seasonal fission and fusion of killer whale, Orcinus orca, social structure at sub-Antarctic Marion Island</t>
  </si>
  <si>
    <t>ANIMAL BEHAVIOUR</t>
  </si>
  <si>
    <t>association; delphinid; network; prey abundance; seasonality; sociality</t>
  </si>
  <si>
    <t>ECOLOGICAL DETERMINANTS; ELEPHANT SEALS; POPULATION; DYNAMICS; ASSOCIATION; AGGRESSION; BEHAVIOR; MECHANISMS; PREDATION; MOVEMENT</t>
  </si>
  <si>
    <t>Variation in the distribution and abundance of food resources are key factors affecting animal sociality. In environments with variable resources, dynamic social organization, such as the fission and fusion of groups, is thought to increase the benefits of group living, while reducing the costs. We investigated the relationship between social organization and prey abundance in a highly social predator, the killer whale. This was achieved by analysing 12 years (2006-2018) of seasonally delineated (coinciding with high and low prey abundances) association data obtained from nearly 90 000 identification photographs of killer whales in-shore at Marion Island in the sub-Antarctic Indian Ocean. Association network measures were compared between periods using randomized association matrices. Half-weight association index, degree, number of modules and group size were all greater during periods of high prey abundance while mean distance, centrality and modularity were lower during this same period. Results suggest that killer whales at Marion Island were more social, formed larger groups and had more associations during periods of high prey abundance. During periods of lower prey abundance, fewer interactions, stronger clustering and more division in the association network were observed. These results indicate that the social organization of this population of killer whales is seasonally dynamic, with increased sociality measures coinciding with periods of higher prey abundance. These results are similar to those of other social species, emphasizing the importance of resource abundance as a driver of social structure in animal societies. (c) 2021 The Association for the Study of Animal Behaviour. Published by Elsevier Ltd. All rights reserved.</t>
  </si>
  <si>
    <t>[Jordaan, Rowan K.; de Bruyn, P. J. Nico] Univ Pretoria, Mammal Res Inst, Dept Zool &amp; Entomol, Pretoria, South Africa; [Reisinger, Ryan R.] La Rochelle Univ, Ctr Etud Biol Chize CEBC, UMR 7372 CNRS, Villiers En Bois, France; [Reisinger, Ryan R.] Univ Calif Santa Cruz, Inst Marine Sci, Santa Cruz, CA 95064 USA; [Oosthuizen, W. Chris] Nelson Mandela Univ, Inst Coastal &amp; Marine Res, Marine Apex Predator Res Unit, Port Elizabeth, South Africa; [Oosthuizen, W. Chris] Nelson Mandela Univ, Dept Zool, Port Elizabeth, South Africa</t>
  </si>
  <si>
    <t>University of Pretoria; Centre National de la Recherche Scientifique (CNRS); CNRS - Institute of Ecology &amp; Environment (INEE); University of California System; University of California Santa Cruz; Nelson Mandela University; Nelson Mandela University</t>
  </si>
  <si>
    <t>Jordaan, RK (corresponding author), Univ Pretoria, Mammal Res Inst, Dept Zool &amp; Entomol, Pretoria, South Africa.</t>
  </si>
  <si>
    <t>rowan.jordaan@up.ac.za</t>
  </si>
  <si>
    <t>de Bruyn, P. J. Nico/E-4176-2010; Oosthuizen, W. Chris/I-2947-2016; Reisinger, Ryan/D-6151-2014</t>
  </si>
  <si>
    <t>de Bruyn, P. J. Nico/0000-0002-9114-9569; Oosthuizen, W. Chris/0000-0003-2905-6297; Reisinger, Ryan/0000-0002-8933-6875</t>
  </si>
  <si>
    <t>National Research Foundation's SANAP; International Whaling Commission Southern Ocean Research Partnership; Mohamed bin Zayed Species Conservation Fund [10251290]; FILAMO Mobility grant</t>
  </si>
  <si>
    <t>National Research Foundation's SANAP; International Whaling Commission Southern Ocean Research Partnership; Mohamed bin Zayed Species Conservation Fund; FILAMO Mobility grant</t>
  </si>
  <si>
    <t>We are indebted to the many fieldworkers and individuals who collected longterm data on killer whales at Marion Island. Marion Island killer whale research was conducted in accordancewith the provisions of the Marine Living Resources Act, 1998 (Act 18 of 1998) and the Prince Edward Islands Management Plan v0.2 (2010) . All research was also carried out under permit from the DirectorGeneral: Department of Forestry, Fisheries and the Environment (DFFE) , South Africa. The DFFE provided logistical support for ongoing fieldwork at Marion Island, through the South African National Antarctic Program (SANAP) . The South African Department of Science and Innovation (DSI) provided funding through the National Research Foundation's SANAP and Thuthuka programmes. Additional funding was provided through the International Whaling Commission Southern Ocean Research Partnership, as well as the Mohamed bin Zayed Species Conservation Fund (project number: 10251290) . R.K.J. was supported by a FILAMO Mobility grant. We are grateful for the comments and suggestions provided by two anonymous referees.</t>
  </si>
  <si>
    <t>0003-3472</t>
  </si>
  <si>
    <t>1095-8282</t>
  </si>
  <si>
    <t>ANIM BEHAV</t>
  </si>
  <si>
    <t>Anim. Behav.</t>
  </si>
  <si>
    <t>10.1016/j.anbehav.2021.05.007</t>
  </si>
  <si>
    <t>Behavioral Sciences; Zoology</t>
  </si>
  <si>
    <t>TD3JT</t>
  </si>
  <si>
    <t>WOS:000669227900023</t>
  </si>
  <si>
    <t>Manoj, MC; Thakur, B; Uddandam, PR</t>
  </si>
  <si>
    <t>Manoj, M. C.; Thakur, Biswajeet; Uddandam, Prem Raj</t>
  </si>
  <si>
    <t>Controls on rare earth elements distribution from Kerala coast, southwest India over the past 2000 years</t>
  </si>
  <si>
    <t>ENVIRONMENTAL FORENSICS</t>
  </si>
  <si>
    <t>Rare earth elements; estuary; provenance; climate</t>
  </si>
  <si>
    <t>AQUEOUS GEOCHEMISTRY; CONTINENTAL-SHELF; SEDIMENTARY-ROCKS; TROPICAL ESTUARY; MARINE-SEDIMENTS; MANDOVI ESTUARY; TIBETAN PLATEAU; RIVER CATCHMENT; CORE SEDIMENTS; INNER SHELF</t>
  </si>
  <si>
    <t>Climate changes on the Southwest coast of India have essential impacts on social and economic development, and the ecosystem of Southern India. Here, we present the last 2000 cal yr AD rare earth elemental records of the sediment core from the Cherai, Kerala coast, southwest India. The light rare earth elements (LREE) were the most abundant fraction in the core sediment, followed by medium rare earth elements (MREE) and heavy rare earth elements (HREE). Total REE (sigma REE) showed a significant correlation with fine fractions and Y, Al, Ti, Fe and total organic carbon content of the sediments, suggesting an intrinsic relationship between REE, total organic carbon and fine grain-size fraction. The LREE and MREE were enriched over the MREE due to their high adsorption with the fine fraction. The lack of correlation between terrigenous elements and low Y/Ho elemental ratio suggests a minor shift in the source materials. High sigma REE values during warm (Medieval Warm Period/ Medieval Climate Anomaly (MWP/MCA) and cold Little Ice Age (LIA) periods indicate a high influx of lithogenous materials during these intervals. The negative delta Ce values except MCA suggest a suboxic condition and the delta Eu values suggest feldspar-rich source rock material derived from moderately weathered sediments. It also indicates that the REE variations are controlled by factors like river supply, biological productivity and redox condition. A close link between monsoonal precipitation and REE records existed on the southwest coast of India. During the Dark Age Cold Period (DACP)/MWP transition, a sudden increase in monsoon is documented and the monsoon precipitation was further decreased during LIA and Current Warming Period. The Cherai core REE records synchronize with the episodes of centennial-scale warm/cool events and essentially follow the northern hemispheric climate cycles.</t>
  </si>
  <si>
    <t>[Manoj, M. C.; Thakur, Biswajeet; Uddandam, Prem Raj] Birbal Sahni Inst Palaeosci, 53 Univ Rd, Lucknow 226007, Uttar Pradesh, India; [Uddandam, Prem Raj] Banaras Hindu Univ, Dept Geol, Varanasi, Uttar Pradesh, India</t>
  </si>
  <si>
    <t>Department of Science &amp; Technology (India); Birbal Sahni Institute of Palaeobotany (BSIP); Banaras Hindu University (BHU)</t>
  </si>
  <si>
    <t>Manoj, MC (corresponding author), Birbal Sahni Inst Palaeosci, 53 Univ Rd, Lucknow 226007, Uttar Pradesh, India.</t>
  </si>
  <si>
    <t>manoj.mcm@gmail.com</t>
  </si>
  <si>
    <t>Manoj, M C/0000-0001-8112-6315</t>
  </si>
  <si>
    <t>Birbal Sahni Institute of Palaeobotany (BSIP), India</t>
  </si>
  <si>
    <t>The authors are grateful to the Director, Birbal Sahni Institute of Palaeobotany (BSIP), India for providing the funds and facilities extended. We are thankful to Dr. Thamban Meloth B.L. Redkar and Ashish Painginkar, National Centre for Antarctic and Ocean Research (NCAOR), India, for the timely help to carry out the geochemical analysis work at their ICP-MS facility. This is BSIP contribution No. 57/2019-2020.</t>
  </si>
  <si>
    <t>1527-5922</t>
  </si>
  <si>
    <t>1527-5930</t>
  </si>
  <si>
    <t>ENVIRON FORENSICS</t>
  </si>
  <si>
    <t>Environ. Forensics</t>
  </si>
  <si>
    <t>10.1080/15275922.2021.1940383</t>
  </si>
  <si>
    <t>E5SQ7</t>
  </si>
  <si>
    <t>WOS:000670472300001</t>
  </si>
  <si>
    <t>Morioka, Y; Iovino, D; Cipollone, A; Masina, S; Behera, S</t>
  </si>
  <si>
    <t>Morioka, Yushi; Iovino, Doroteaciro; Cipollone, Andrea; Masina, Simona; Behera, Swadhin</t>
  </si>
  <si>
    <t>Summertime sea-ice prediction in the Weddell Sea improved by sea-ice thickness initialization</t>
  </si>
  <si>
    <t>TROPICAL PACIFIC; IMPACT; ASSIMILATION; VARIABILITY; TRENDS; MODES; ENSO</t>
  </si>
  <si>
    <t>Skillful sea-ice prediction in the Antarctic Ocean remains a big challenge due to paucity of sea-ice observations and insufficient representation of sea-ice processes in climate models. Using a coupled general circulation model, this study demonstrates skillful prediction of the summertime sea-ice concentration (SIC) in the Weddell Sea with wintertime SIC and sea-ice thickness (SIT) initializations. During low sea-ice years of the Weddell Sea, negative SIT anomalies initialized in June retain the memory throughout austral winter owing to horizontal advection of the SIT anomalies. The SIT anomalies continue to develop in austral spring owing to more incoming solar radiation and the associated warming of mixed layer, contributing to further sea-ice decrease during late austral summer-early autumn. Concomitantly, the model reasonably reproduces atmospheric circulation anomalies during austral spring in the Amundsen-Bellingshausen Seas besides the Weddell Sea. These results provide evidence that the wintertime SIT initialization benefits skillful summertime sea-ice prediction in the Antarctic Seas.</t>
  </si>
  <si>
    <t>[Morioka, Yushi; Behera, Swadhin] JAMSTEC, Applicat Lab, VAiG, 3173-25 Showamachi, Yokohama, Kanagawa 2360001, Japan; [Iovino, Doroteaciro; Cipollone, Andrea; Masina, Simona] CMCC, Ocean Modelling &amp; Data Assimilat, Bologna, Italy</t>
  </si>
  <si>
    <t>Japan Agency for Marine-Earth Science &amp; Technology (JAMSTEC); Centro Euro-Mediterraneo sui Cambiamenti Climatici (CMCC)</t>
  </si>
  <si>
    <t>Morioka, Y (corresponding author), JAMSTEC, Applicat Lab, VAiG, 3173-25 Showamachi, Yokohama, Kanagawa 2360001, Japan.</t>
  </si>
  <si>
    <t>Iovino, Doroteaciro/E-9759-2015; Behera, Swadhin K./B-7839-2009; Morioka, Yushi/G-3431-2014</t>
  </si>
  <si>
    <t>Iovino, Doroteaciro/0000-0001-5132-7255; Behera, Swadhin K./0000-0001-8692-2388; Morioka, Yushi/0000-0002-2709-4911; Cipollone, Andrea/0000-0001-9590-0922</t>
  </si>
  <si>
    <t>The SINTEX-F2 was run on the Earth Simulator at the Japan Agency for Marine Earth Science and Technology (JAMSTEC). We are grateful to Drs. Takeshi Doi and Stefano Materia for valuable comments on the data analysis and model results. We also thank the three anonymous reviewers for constructive comments that helped to improve the quality of the discussions. The present research is supported by JSPS KAKENHI Grant Number 19K14800. We obtained the observed SST and SIC datasets from the NOAA/ OISSTv2 website (https:// www. esrl.noaa. gov/psd/data/gridded/data.noaa.oisst.v2.html), SIC and SIT from the CGLORSv7 are made available through CMCC website (http://c-glors.cmcc.it/index/index-9.html?sec=0 and it is also available from CMEMS catalogue). Also, we downloaded the atmospheric variables from the ERA-Interim website ( https://www.ecmwf. int/en/forecasts/datasets/reanalysis-datasets/era-interim). Due to confidentiality agreements, SINTEX-F2 model output can only be made available to bona fide researchers subject to a non-disclosure agreement. Details of the data and how to request access are available from the authors.</t>
  </si>
  <si>
    <t>JUN 9</t>
  </si>
  <si>
    <t>10.1038/s41598-021-91042-4</t>
  </si>
  <si>
    <t>SV4CU</t>
  </si>
  <si>
    <t>WOS:000663769100001</t>
  </si>
  <si>
    <t>Blasiak, R; Dauriach, A; Jouffray, JB; Folke, C; Österblom, H; Bebbington, J; Bengtsson, F; Causevic, A; Geerts, B; Gronbrekk, W; Henriksson, PJG; Käll, S; Leadbitter, D; McBain, D; Crespo, GO; Packer, H; Sakaguchi, I; Schultz, L; Selig, ER; Troell, M; Villalón, J; Wabnitz, CCC; Wassénius, E; Watson, RA; Yagi, N; Crona, B</t>
  </si>
  <si>
    <t>Blasiak, Robert; Dauriach, Alice; Jouffray, Jean-Baptiste; Folke, Carl; Osterblom, Henrik; Bebbington, Jan; Bengtsson, Frida; Causevic, Amar; Geerts, Bas; Gronbrekk, Wenche; Henriksson, Patrik J. G.; Kall, Sofia; Leadbitter, Duncan; McBain, Darian; Crespo, Guillermo Ortuno; Packer, Helen; Sakaguchi, Isao; Schultz, Lisen; Selig, Elizabeth R.; Troell, Max; Villalon, Jose; Wabnitz, Colette C. C.; Wassenius, Emmy; Watson, Reg A.; Yagi, Nobuyuki; Crona, Beatrice</t>
  </si>
  <si>
    <t>Evolving Perspectives of Stewardship in the Seafood Industry</t>
  </si>
  <si>
    <t>private governance; corporate biosphere stewardship; voluntary environmental programs; seafood boycotts; Marine Stewardship Council; keystone actors; ocean governance; systems perspective</t>
  </si>
  <si>
    <t>FISHERIES MANAGEMENT; ECOLOGICAL KNOWLEDGE; ADAPTIVE GOVERNANCE; COLLECTIVE ACTION; AQUACULTURE; OCEAN; FISH; FUTURE; SUSTAINABILITY; CERTIFICATION</t>
  </si>
  <si>
    <t>Humanity has never benefited more from the ocean as a source of food, livelihoods, and well-being, yet on a global scale this has been accompanied by trajectories of degradation and persistent inequity. Awareness of this has spurred policymakers to develop an expanding network of ocean governance instruments, catalyzed civil society pressure on the public and private sector, and motivated engagement by the general public as consumers and constituents. Among local communities, diverse examples of stewardship have rested on the foundation of care, knowledge and agency. But does an analog for stewardship exist in the context of globally active multinational corporations? Here, we consider the seafood industry and its efforts to navigate this new reality through private governance. We examine paradigmatic events in the history of the sustainable seafood movement, from seafood boycotts in the 1970s through to the emergence of certification measures, benchmarks, and diverse voluntary environmental programs. We note four dimensions of stewardship in which efforts by actors within the seafood industry have aligned with theoretical concepts of stewardship, which we describe as (1) moving beyond compliance, (2) taking a systems perspective, (3) living with uncertainty, and (4) understanding humans as embedded elements of the biosphere. In conclusion, we identify emerging stewardship challenges for the seafood industry and suggest the urgent need to embrace a broader notion of ocean stewardship that extends beyond seafood.</t>
  </si>
  <si>
    <t>[Blasiak, Robert; Dauriach, Alice; Jouffray, Jean-Baptiste; Osterblom, Henrik; Bengtsson, Frida; Crespo, Guillermo Ortuno; Schultz, Lisen; Troell, Max; Wassenius, Emmy; Crona, Beatrice] Stockholm Univ, Stockholm Resilience Ctr, Stockholm, Sweden; [Blasiak, Robert; Yagi, Nobuyuki] Univ Tokyo, Grad Sch Agr &amp; Life Sci, Tokyo, Japan; [Dauriach, Alice; Folke, Carl; Kall, Sofia; Wassenius, Emmy; Crona, Beatrice] Royal Swedish Acad Sci, Global Econ Dynam &amp; Biosphere Program, Stockholm, Sweden; [Folke, Carl; Troell, Max] Royal Swedish Acad Sci, Beijer Inst Ecol Econ, Stockholm, Sweden; [Bebbington, Jan] Univ Lancaster, Pentland Ctr Sustainabil Business, Lancaster, England; [Causevic, Amar] Stockholm Environm Inst, Stockholm, Sweden; [Geerts, Bas] Cefetra Grp BV, Rotterdam, Netherlands; [Gronbrekk, Wenche] Cermaq Grp AS, Oslo, Norway; [Henriksson, Patrik J. G.] WorldFish, Bayan Lepas, Malaysia; [Leadbitter, Duncan] Univ Wollongong, Australian Natl Ctr Ocean Resources &amp; Secur, Wollongong, NSW, Australia; [McBain, Darian] Univ Sydney, Sch Phys, Integrated Sustainabil Anal, Camperdown, NSW, Australia; [McBain, Darian] Thai Union, Samutsakorn, Thailand; [Packer, Helen] World Benchmarking Alliance, Amsterdam, Netherlands; [Sakaguchi, Isao] Gakushuin Univ, Fac Law, Toshima Ku, Nanto, Toyama, Japan; [Selig, Elizabeth R.; Wabnitz, Colette C. C.] Stanford Univ, Stanford Ctr Ocean Solut, Stanford, CA 94305 USA; [Villalon, Jose] Nutreco, Amersfoort, Netherlands; [Wabnitz, Colette C. C.] Univ British Columbia, Inst Oceans &amp; Fisheries, Vancouver, BC, Canada; [Watson, Reg A.] Univ Tasmania, Inst Marine &amp; Antarctic Studies, Battery Point, Tas, Australia</t>
  </si>
  <si>
    <t>Stockholm University; University of Tokyo; Royal Swedish Academy of Sciences; Global Economic Dynamics &amp; Biosphere - The Erling-Persson Family Academy Program; Royal Swedish Academy of Sciences; Beijer Institute of Ecological Economics; Lancaster University; Stockholm Environment Institute; CGIAR; Worldfish; University of Wollongong; University of Sydney; Gakushuin University; Stanford University; University of British Columbia; University of Tasmania</t>
  </si>
  <si>
    <t>Blasiak, R (corresponding author), Stockholm Univ, Stockholm Resilience Ctr, Stockholm, Sweden.;Blasiak, R (corresponding author), Univ Tokyo, Grad Sch Agr &amp; Life Sci, Tokyo, Japan.</t>
  </si>
  <si>
    <t>robert.blasiak@su.se</t>
  </si>
  <si>
    <t>Bengtsson, Frida/HNI-7463-2023; Yagi, Nobuyuki/ADE-0612-2022; Troell, Max/I-1724-2019; shi, danyang/ABG-6569-2021; Leadbitter, Duncan/GSD-2991-2022; Yagi, Nobuyuki/IZE-1746-2023; Jouffray, Jean-Baptiste/AAN-1329-2020; Henriksson, Patrik JG/K-8214-2013; Osterblom, Henrik G/D-4249-2012</t>
  </si>
  <si>
    <t>Bengtsson, Frida/0000-0003-4955-9625; Yagi, Nobuyuki/0000-0002-7140-8498; Troell, Max/0000-0002-7509-8140; Yagi, Nobuyuki/0000-0002-7140-8498; Jouffray, Jean-Baptiste/0000-0002-4105-6372; Osterblom, Henrik/0000-0002-1913-5197; Bebbington, Jan/0000-0001-7251-1780; Folke, Carl/0000-0002-4050-3281; Schultz, Lisen/0000-0003-4763-8872; Blasiak, Robert/0000-0002-0888-0159; Wassenius, Emmy/0000-0002-8756-1649</t>
  </si>
  <si>
    <t>Walton Family Foundation [2018-1371]; David and Lucile Packard Foundation [2019-68336]; Gordon and Betty Moore Foundation [GBMF5668.02]; Swedish Research Council Formas [2020-01048, 2016-00375]; FORMAS's Inequality and the Biosphere project [2020-00454]; SeaWin project [2016-00227]; CGIAR Research Programs on Fish Agri-Food Systems (FISH) by WorldFish; Beijer Foundation; Marianne and Marcus Wallenberg Foundation; Stockholm Environment Institute's BiH ESAP 2030 C project - Swedish Embassy in Bosnia and Herzegovina; Global Economic Dynamics; Biosphere Program of the Royal Swedish Academy of Sciences - Family Erling-Persson Foundation; Formas [2016-00227]; Pew Fellows Program in Marine Conservation [A-01984]; Ocean Risk and Resilience Action Alliance through the Government of Canada; Nippon Foundation (UTokyo Future Society Initiative Fund); Japan Society for the Promotion of Science [16H02565]; Formas [2020-00454, 2016-00375, 2020-01048] Funding Source: Formas; Grants-in-Aid for Scientific Research [16H02565] Funding Source: KAKEN</t>
  </si>
  <si>
    <t>Walton Family Foundation; David and Lucile Packard Foundation(The David &amp; Lucile Packard Foundation); Gordon and Betty Moore Foundation(Gordon and Betty Moore Foundation); Swedish Research Council Formas(Swedish Research Council Formas); FORMAS's Inequality and the Biosphere project(Swedish Research Council Formas); SeaWin project; CGIAR Research Programs on Fish Agri-Food Systems (FISH) by WorldFish; Beijer Foundation; Marianne and Marcus Wallenberg Foundation; Stockholm Environment Institute's BiH ESAP 2030 C project - Swedish Embassy in Bosnia and Herzegovina; Global Economic Dynamics; Biosphere Program of the Royal Swedish Academy of Sciences - Family Erling-Persson Foundation; Formas(Swedish Research Council Formas); Pew Fellows Program in Marine Conservation; Ocean Risk and Resilience Action Alliance through the Government of Canada; Nippon Foundation (UTokyo Future Society Initiative Fund); Japan Society for the Promotion of Science(Ministry of Education, Culture, Sports, Science and Technology, Japan (MEXT)Japan Society for the Promotion of Science); Formas(Swedish Research Council Formas); Grants-in-Aid for Scientific Research(Ministry of Education, Culture, Sports, Science and Technology, Japan (MEXT)Japan Society for the Promotion of ScienceGrants-in-Aid for Scientific Research (KAKENHI))</t>
  </si>
  <si>
    <t>RB, J-BJ, ES, JB, CW, HO, and BC received funding from the Walton Family Foundation (2018-1371), The David and Lucile Packard Foundation (2019-68336), and The Gordon and Betty Moore Foundation (GBMF5668.02). RB was also supported by the Swedish Research Council Formas (2020-01048). PH is funded by FORMAS's Inequality and the Biosphere project (2020-00454) and SeaWin project (2016-00227) and CGIAR Research Programs on Fish Agri-Food Systems (FISH) led by WorldFish. CF is supported from the Beijer Foundation and the Marianne and Marcus Wallenberg Foundation. AC is funded by the Stockholm Environment Institute's BiH ESAP 2030 C project, which is supported by the Swedish Embassy in Bosnia and Herzegovina. SK was supported by the Swedish Research Council Formas (2016-00375). AD, SK, EW, BC, and CF were supported by the Global Economic Dynamics and the Biosphere Program of the Royal Swedish Academy of Sciences, funded by the Family Erling-Persson Foundation. MT acknowledges the SEAWIN project funded by Formas (2016-00227). The Pew Fellows Program in Marine Conservation Grant Number A-01984. RB, J-BJ, and CW received additional support by the Ocean Risk and Resilience Action Alliance through the Government of Canada. NY received funds from the Nippon Foundation (UTokyo Future Society Initiative Fund) and Japan Society for the Promotion of Science (Kakenhi grant number 16H02565).</t>
  </si>
  <si>
    <t>10.3389/fmars.2021.671837</t>
  </si>
  <si>
    <t>SU9AS</t>
  </si>
  <si>
    <t>WOS:000663423100001</t>
  </si>
  <si>
    <t>Hogg, AE; Gilbert, L; Shepherd, A; Muir, AS; McMillan, M</t>
  </si>
  <si>
    <t>Hogg, Anna E.; Gilbert, Lin; Shepherd, Andrew; Muir, Alan S.; McMillan, Malcolm</t>
  </si>
  <si>
    <t>Extending the record of Antarctic ice shelf thickness change, from 1992 to 2017</t>
  </si>
  <si>
    <t>Ice shelf; Altimetry; Thickness change; Antarctica</t>
  </si>
  <si>
    <t>PINE ISLAND GLACIER; BASAL MELT RATES; DRIVEN; PENINSULA; PATTERN; RETREAT; SECTOR; LAND</t>
  </si>
  <si>
    <t>Over the past two decades, Antarctic ice shelves have retreated, thinned and suffered catastrophic collapse. In this study we extended the 25-year long record of ice shelf thickness change in Antarctica, from 2010 to 2017. In the Amundsen Sea Sector where widespread ice shelf thinning dominates the signal, a 51% slowdown in the rate of ice loss over the last 7-years can be attributed to a coincident decrease in ocean temperatures in the region since 2010. Overall, ice shelves in Antarctica have thickened by an average of 1.3 m between 2010 and 2017 as ice losses from West Antarctica are compensated by ice gains in East Antarctica and the Antarctic Peninsula, reversing the negative trend of the previous two decades. The detailed spatial pattern of ice shelf thickness change across Antarctica, demonstrates the need for future investment in high spatial resolution observations and techniques. (c) 2020 COSPAR. Published by Elsevier Ltd. This is an open access article under the CC BY license (http://creativecommons.org/licenses/by/4.0/).</t>
  </si>
  <si>
    <t>[Hogg, Anna E.; Shepherd, Andrew] Univ Leeds, Ctr Polar Observat &amp; Modelling, Sch Earth &amp; Environm, Leeds LS2 9JT, W Yorkshire, England; [Gilbert, Lin; Muir, Alan S.] UCL, Ctr Polar Observat &amp; Modelling, Dept Earth Sci, London WC1E 6BT, England; [McMillan, Malcolm] Univ Lancaster, Ctr Excellence Environm Data Sci, Ctr Polar Observat &amp; Modelling, Lancaster LA1 4YW, England</t>
  </si>
  <si>
    <t>University of Leeds; University of London; University College London; Lancaster University</t>
  </si>
  <si>
    <t>Hogg, AE (corresponding author), Univ Leeds, Ctr Polar Observat &amp; Modelling, Sch Earth &amp; Environm, Leeds LS2 9JT, W Yorkshire, England.</t>
  </si>
  <si>
    <t>A.E.Hogg@leeds.ac.uk</t>
  </si>
  <si>
    <t>McMillan, Malcolm/HLQ-1163-2023</t>
  </si>
  <si>
    <t>Muir, Alan/0000-0001-7754-088X; McMillan, Malcolm/0000-0002-5113-0177</t>
  </si>
  <si>
    <t>Natural Environment Research Council [cpom300001]; European Space Agency Living Planet independent research fellowship - European Space Agency [4000112797/15/I-SBo]; European Space Agency Living Planet independent research fellowship - University of Leeds [4000112797/15/I-SBo]; British Antarctic Survey; NERC Fellowship [NE/R012407/1]; NERC [NE/J005657/1, NE/R012407/1, NE/T009470/1, NE/J005681/1, cpom30001] Funding Source: UKRI</t>
  </si>
  <si>
    <t>Natural Environment Research Council(UK Research &amp; Innovation (UKRI)Natural Environment Research Council (NERC)); European Space Agency Living Planet independent research fellowship - European Space Agency(European Space Agency); European Space Agency Living Planet independent research fellowship - University of Leeds; British Antarctic Survey; NERC Fellowship(UK Research &amp; Innovation (UKRI)Natural Environment Research Council (NERC)); NERC(UK Research &amp; Innovation (UKRI)Natural Environment Research Council (NERC))</t>
  </si>
  <si>
    <t>This work was led by the NERC Centre for Polar Observation and Modelling, supported by the Natural Environment Research Council (cpom300001). AEH was funded by a European Space Agency Living Planet independent research fellowship (No. 4000112797/15/I-SBo) jointly funded by the European Space Agency, the University of Leeds, and the British Antarctic Survey, along with a NERC Fellowship (NE/R012407/1). Special thanks goes to Stephen Plummer who provided valuable guidance as the ESA Technical Officer on this project. The authors gratefully acknowledge the ESA for the use of CryoSat-2 data.</t>
  </si>
  <si>
    <t>10.1016/j.asr.2020.05.030</t>
  </si>
  <si>
    <t>SP6OY</t>
  </si>
  <si>
    <t>WOS:000659787700010</t>
  </si>
  <si>
    <t>Artana, C; Ferrari, R; Bricaud, C; Lellouche, JM; Garric, G; Sennéchael, N; Lee, JH; Park, YH; Provost, C</t>
  </si>
  <si>
    <t>Artana, Camila; Ferrari, Ramiro; Bricaud, Clement; Lellouche, Jean-Michel; Garric, Gilles; Sennechael, Nathalie; Lee, Jae-Hak; Park, Young-Hyang; Provost, Christine</t>
  </si>
  <si>
    <t>Twenty-five years of Mercator ocean reanalysis GLORYS12 at Drake Passage: Velocity assessment and total volume transport</t>
  </si>
  <si>
    <t>Satellite altimetry; Ocean reanalysis; Antarctic Circumpolar Current; Volume transport; Drake Passage</t>
  </si>
  <si>
    <t>ANTARCTIC CIRCUMPOLAR CURRENT; MALVINAS CURRENT; ARGO FLOATS; TIME-SERIES; IN-SITU; VARIABILITY; FRONTS; CIRCULATION; ALTIMETRY</t>
  </si>
  <si>
    <t>Velocities in Drake Passage from the 25-year GLORYS12 Mercator Ocean reanalysis were compared with satellite altimetry-derived surface velocities and independent in-situ velocity measurements from the DRAKE (2006-2009) and cDrake (2007-2011) experiments. GLORYS12 assimilates satellite along-track sea level anomalies and, as expected, model velocities are in rather good agreement with gridded altimetry derived velocities (r similar to 0.5, above 99% confidence level). GLORYS12 velocities also compared well with the current-meter data from the DRAKE (in the water column) and cDrake (50 m above seafloor) experiments in terms of means and standard deviations; most correlations between the reanalysis and directly measured velocity time series were significant (r similar to 0.5 for DRAKE and r similar to 0.4 for cDrake, above 99% confidence level). We used the GLORYS12 reanalysis to examine the Antarctic Circumpolar Current (ACC) total volume transport across three sections in Drake Passage. The 25 years of the ACC total volume transport has a mean of 155 +/- 3 Sv and a standard deviation of 6.7 Sv. Annual mean values span over a range of 12 Sv. The spectrum of the GLORYS12 total transport time series shows energy peaks (above 95% confidence level) at the intraseasonal, semi-annual and annual periods and no significant low-frequency variations (beyond 2 years) or trend, in agreement with previous studies. This first assessment of GLORYS12 velocities in Drake Passage is very encouraging for monitoring the regional variability of the ACC. (C) 2019 COSPAR. Published by Elsevier Ltd. All rights reserved.</t>
  </si>
  <si>
    <t>[Artana, Camila; Sennechael, Nathalie; Park, Young-Hyang; Provost, Christine] Univ Paris 06, Sorbonne Univ, Lab LOCEAN IPSL, UPMC,CNRS,IRD,MNHN, Paris, France; [Ferrari, Ramiro] CIMA CONICET UBA, Buenos Aires, DF, Argentina; [Ferrari, Ramiro] UMI IFAECI 3351, Buenos Aires, DF, Argentina; [Bricaud, Clement; Lellouche, Jean-Michel; Garric, Gilles] MERCATOR OCEAN, Parc Technol Canal, Ramonville St Agne, France; [Lee, Jae-Hak] KIOST, Busan, South Korea</t>
  </si>
  <si>
    <t>Centre National de la Recherche Scientifique (CNRS); Sorbonne Universite; Museum National d'Histoire Naturelle (MNHN); Institut de Recherche pour le Developpement (IRD); Consejo Nacional de Investigaciones Cientificas y Tecnicas (CONICET); University of Buenos Aires</t>
  </si>
  <si>
    <t>Artana, C; Provost, C (corresponding author), Univ Paris 06, Sorbonne Univ, Lab LOCEAN IPSL, UPMC,CNRS,IRD,MNHN, Paris, France.</t>
  </si>
  <si>
    <t>cartlod@locean-ipsl.upmc.fr; ramiro.ferrari@cima.fcen.uba.ar; clement.bricaud@mercator-ocean.fr; jean-michel.lellouche@mercator-ocean.fr; ggarric@mercator-ocean.fr; nas@locean-ipsl.upmc.fr; jhlee@kiost.ac.kr; yhpark@mnhn.fr; cp@locean-ipsl.upmc.fr</t>
  </si>
  <si>
    <t>Garric, Gilles/O-9065-2016</t>
  </si>
  <si>
    <t>Garric, Gilles/0000-0002-5385-710X</t>
  </si>
  <si>
    <t>10.1016/j.asr.2019.11.033</t>
  </si>
  <si>
    <t>SP8AV</t>
  </si>
  <si>
    <t>WOS:000659886500001</t>
  </si>
  <si>
    <t>Amory, C; Kittel, C; Le Toumelin, L; Agosta, C; Delhasse, A; Favier, V; Fettweis, X</t>
  </si>
  <si>
    <t>Amory, Charles; Kittel, Christoph; Le Toumelin, Louis; Agosta, Cecile; Delhasse, Alison; Favier, Vincent; Fettweis, Xavier</t>
  </si>
  <si>
    <t>Performance of MAR (v3.11) in simulating the drifting-snow climate and surface mass balance of Adelie Land, East Antarctica</t>
  </si>
  <si>
    <t>GREENLAND ICE-SHEET; BLOWING SNOW; ATMOSPHERIC-TURBULENCE; SNOWDRIFT SUSPENSION; WEST GREENLAND; MODEL; ACCUMULATION; SUBLIMATION; SEA; SENSITIVITY</t>
  </si>
  <si>
    <t>Drifting snow, or the wind-driven transport of snow particles originating from clouds and the surface below and above 2m above ground and their concurrent sublimation, is a poorly documented process on the Antarctic ice sheet, which is inherently lacking in most climate models. Since drifting snow mostly results from erosion of surface particles, a comprehensive evaluation of this process in climate models requires a concurrent assessment of simulated drifting-snow transport and the surface mass balance (SMB). In this paper a new version of the drifting-snow scheme currently embedded in the regional climate model MAR (v3.11) is extensively described. Several important modifications relative to previous version have been implemented and include notably a parameterization for drifting-snow compaction of the uppermost snowpack layer, differentiated snow density at deposition between precipitation and drifting snow, and a rewrite of the threshold friction velocity above which snow erosion initiates. Model results at high resolution (10 km) over Adelie Land, East Antarctica, for the period 2004-2018 are presented and evaluated against available near-surface meteorological observations at half-hourly resolution and annual SMB estimates. The evaluation demonstrates that MAR resolves the local drifting-snow frequency and transport up to the scale of the drifting-snow event and captures the resulting observed climate and SMB variability, suggesting that this model version can be used for continent-wide applications.</t>
  </si>
  <si>
    <t>[Amory, Charles; Kittel, Christoph; Delhasse, Alison; Fettweis, Xavier] Univ Liege, Dept Geog, UR SPHERES, Liege, Belgium; [Amory, Charles; Le Toumelin, Louis; Favier, Vincent] Univ Grenoble Alpes, Inst Geosci Environm, CNRS, Grenoble, France; [Le Toumelin, Louis] Univ Grenoble Alpes, Univ Toulouse, Meteo France, CNRS,CNRM,Ctr Etud Neige, Grenoble, France; [Agosta, Cecile] Univ Paris Saclay, Lab Sci Climat &amp; Environm, LSCE IPSL, CEA CNRS UVSQ, Gif Sur Yvette, France</t>
  </si>
  <si>
    <t>University of Liege; Communaute Universite Grenoble Alpes; Universite Grenoble Alpes (UGA); Centre National de la Recherche Scientifique (CNRS); Meteo France; Communaute Universite Grenoble Alpes; Universite Grenoble Alpes (UGA); Centre National de la Recherche Scientifique (CNRS); Universite Paris Cite; CEA; Centre National de la Recherche Scientifique (CNRS); Universite Paris Saclay</t>
  </si>
  <si>
    <t>Amory, C (corresponding author), Univ Liege, Dept Geog, UR SPHERES, Liege, Belgium.;Amory, C (corresponding author), Univ Grenoble Alpes, Inst Geosci Environm, CNRS, Grenoble, France.</t>
  </si>
  <si>
    <t>charles.amory@univ-grenoble-alpes.fr</t>
  </si>
  <si>
    <t>Agosta, Cécile/HLQ-5577-2023; Favier, Vincent/T-1936-2017; Agosta, Cecile/B-9625-2013</t>
  </si>
  <si>
    <t>Le Toumelin, Louis/0000-0002-9542-8733; Amory, Charles/0000-0002-5906-4303; Favier, Vincent/0000-0001-6024-9498; Kittel, Christoph/0000-0001-6586-9784; Agosta, Cecile/0000-0003-4091-1653; Delhasse, Alison/0000-0003-0961-1601; Fettweis, Xavier/0000-0002-4140-3813</t>
  </si>
  <si>
    <t>Fonds de la Recherche Scientifique de Belgique; TROIS-AS project [ANR-15-CE01-0005-01]; PROTECT from the European Union's Horizon 2020 research and innovation programme [869304]</t>
  </si>
  <si>
    <t>Fonds de la Recherche Scientifique de Belgique(Fonds de la Recherche Scientifique - FNRS); TROIS-AS project; PROTECT from the European Union's Horizon 2020 research and innovation programme</t>
  </si>
  <si>
    <t>This research has been supported by the Fonds de la Recherche Scientifique de Belgique, the TROIS-AS project (ANR-15-CE01-0005-01) and PROTECT, a project which has received funding from the European Union's Horizon 2020 research and innovation programme under grant agreement no. 869304.</t>
  </si>
  <si>
    <t>10.5194/gmd-14-3487-2021</t>
  </si>
  <si>
    <t>SS0YC</t>
  </si>
  <si>
    <t>WOS:000661467700001</t>
  </si>
  <si>
    <t>Southwell, C; Wotherspoon, S; Emmerson, L</t>
  </si>
  <si>
    <t>Southwell, Colin; Wotherspoon, Simon; Emmerson, Louise</t>
  </si>
  <si>
    <t>Emerging evidence of resource limitation in an Antarctic seabird metapopulation after 6 decades of sustained population growth</t>
  </si>
  <si>
    <t>Adelie penguin; Carrying capacity; Colonisation; Density dependence; Population synchrony</t>
  </si>
  <si>
    <t>PENGUINS PYGOSCELIS-ADELIAE; CLIMATE-CHANGE; BOTTOM-UP; TOP-DOWN; DISPERSAL; ABUNDANCE; COLONIES; SYNCHRONY; REVEALS; PREDATOR</t>
  </si>
  <si>
    <t>The influence of resource limitation on spatio-temporal population dynamics is a fundamental theme in ecology and the concepts of carrying capacity, density dependence and population synchrony are central to this theme. The life history characteristics of seabirds, which include use of disjunct patches of breeding habitat, high coloniality during breeding, strong philopatry, and central-place foraging, make this group well suited to studying this paradigm. Here, we investigate whether density-dependent processes are starting to limit population growth in the Adelie penguin metapopulation breeding in the Windmill Islands, East Antarctica, after 6 decades of growth. Our finding that the regional growth rate has slowed in recent decades, and that growth is slowing differentially across local populations as availability of breeding habitat and possibly food resources decrease, supports the notion of density-dependent regulation. Our observation of the first new colonisation of a breeding patch in a half-century of population growth by this highly philopatric species is further evidence for this. Given these emerging patterns of spatio-temporal population dynamics, this metapopulation may be at a point where the rate of change in density-dependent processes and rare events such as colonisations accelerates into the future, potentially providing new insights into spatio-temporal metapopulation dynamics of a long-lived species over a short time-frame. Continued long-term study of populations experiencing these circumstances provides an opportunity to expedite advances in understanding metapopulation processes. Our study highlights the importance of spatial heterogeneity and the mosaic of abiotic and biotic features of landscapes and seascapes in shaping species' metapopulation dynamics.</t>
  </si>
  <si>
    <t>[Southwell, Colin; Wotherspoon, Simon; Emmerson, Louise] Australian Antarctic Div, Dept Agr Water &amp; Environm, Channel Highway, Kingston, Tas 7050, Australia; [Wotherspoon, Simon] Univ Tasmania, Inst Marine &amp; Antarctic Studies, 20 Castray Esplanade, Battery Point, Tas 7004, Australia</t>
  </si>
  <si>
    <t>Australian Antarctic Division; University of Tasmania</t>
  </si>
  <si>
    <t>Southwell, C (corresponding author), Australian Antarctic Div, Dept Agr Water &amp; Environm, Channel Highway, Kingston, Tas 7050, Australia.</t>
  </si>
  <si>
    <t>colin.southwell@aad.gov.au</t>
  </si>
  <si>
    <t>AAS projects [2722, 4088, 4087, 4518]</t>
  </si>
  <si>
    <t>AAS projects</t>
  </si>
  <si>
    <t>We thank the logistical support and assistance provided by expeditioner staff at Casey station for field work, the pilots and engineers from Helicopter Resources in aerial survey work, the efforts of many expeditioners in maintaining the camera network in the Windmill Islands over the last 10 years. The work was conducted under AAS projects 2722, 4088, 4087 and 4518. The manuscript benefitted from the constructive comments from three anonymous reviewers.</t>
  </si>
  <si>
    <t>10.1007/s00442-021-04958-z</t>
  </si>
  <si>
    <t>WOS:000659401400001</t>
  </si>
  <si>
    <t>Kapustina, MV; Dorokhov, DV; Sivkov, VV</t>
  </si>
  <si>
    <t>Kapustina, Mariia, V; Dorokhov, Dmitry, V; Sivkov, Vadim V.</t>
  </si>
  <si>
    <t>Multibeam bathymetry data of the western part of the Romanche Trench (Equatorial Atlantic)</t>
  </si>
  <si>
    <t>Multibeam bathymetry; Digital elevation model; Geomorphology; The western part of the Romanche Trench; Equatorial Atlantic</t>
  </si>
  <si>
    <t>We present the multibeam bathymetry data of the western part of the Romanche Trench (Equatorial Atlantic) which is the main natural corridor that regulates inflow of Antarctic Bottom Water into the eastern basin of the Atlantic Ocean. Multibeam bathymetry survey was carried out during the 33th cruise of the research vessel Akademik Nikolaj Strakhov in November 2016. The data were collected using the multi beam echosounder RESON SeaBat 7150 and processed using PDS2000 software. The multibeam bathymetry data are presented as digital elevation models in XYZ tabular format ASCII (*.txt), ESRI ASCII grid (*.asc) and GeoTIFF raster ( *.tif) formats with a resolution of 100 m. The dataset is available with the article. (C) 2021 The Authors. Published by Elsevier Inc.</t>
  </si>
  <si>
    <t>[Kapustina, Mariia, V; Dorokhov, Dmitry, V; Sivkov, Vadim V.] Russian Acad Sci, Shirshov Inst Oceanol, 36 Nahimovskiy Prospekt, Moscow, Russia; [Dorokhov, Dmitry, V; Sivkov, Vadim V.] Immanuel Kant Baltic Fed Univ, Nevskogo St 14, Kaliningrad 236041, Kaliningrad Reg, Russia</t>
  </si>
  <si>
    <t>Russian Academy of Sciences; Shirshov Institute of Oceanology; Immanuel Kant Baltic Federal University</t>
  </si>
  <si>
    <t>Kapustina, MV (corresponding author), Russian Acad Sci, Shirshov Inst Oceanol, 36 Nahimovskiy Prospekt, Moscow, Russia.</t>
  </si>
  <si>
    <t>kapustina.mariya@ya.ru</t>
  </si>
  <si>
    <t>Russian Science Foundation [0128-2021-0012]; [19-17-00246]; Russian Science Foundation [19-17-00246] Funding Source: Russian Science Foundation</t>
  </si>
  <si>
    <t>Russian Science Foundation(Russian Science Foundation (RSF)); ; Russian Science Foundation(Russian Science Foundation (RSF))</t>
  </si>
  <si>
    <t>The expedition, data collection and processing were financially supported by the state assign-ment of IO RAS (theme No. 0128-2021-0012) , the DEM for the western part of the Romanche Trench was developed with a support from the Russian Science Foundation (project No. 19-17-00246) . The authors would like to thank colleagues from IO RAS: Alla Demenina and Viktor Pyatakov for collecting of the multibeam data and Leyla Bashirova for the fruitful discussion.</t>
  </si>
  <si>
    <t>10.1016/j.dib.2021.107198</t>
  </si>
  <si>
    <t>WOS:000689359300008</t>
  </si>
  <si>
    <t>Antacli, JC; Hernando, MP; De Troch, M; Malanga, G; Mendiolar, M; Hernández, DR; Varela, DE; Antoni, J; Sahade, RJ; Schloss, IR</t>
  </si>
  <si>
    <t>Antacli, J. C.; Hernando, M. P.; De Troch, M.; Malanga, G.; Mendiolar, M.; Hernandez, D. R.; Varela, D. E.; Antoni, J.; Sahade, R. J.; Schloss, I. R.</t>
  </si>
  <si>
    <t>Ocean warming and freshening effects on lipid metabolism in coastal Antarctic phytoplankton assemblages dominated by sub-Antarctic species</t>
  </si>
  <si>
    <t>Coastal Antarctica; Fatty acids; Lipid damage; Phytoplankton; Salinity decrease; Temperature increase</t>
  </si>
  <si>
    <t>FATTY-ACID-COMPOSITION; GEORGE ISLAND ANTARCTICA; OXIDATIVE STRESS; SEA-ICE; CHEMICAL-COMPOSITION; HOMEOVISCOUS ADAPTATION; BIOCHEMICAL-COMPOSITION; ELEVATED-TEMPERATURE; NUTRIENT LIMITATION; MARINE DIATOMS</t>
  </si>
  <si>
    <t>Marine phytoplankton can utilize different strategies to cope with ocean warming and freshening from glacial melting in polar regions, which are disproportionally impacted by global warming. In the present study, we investigated the individual and combined effects of a 4 degrees C increase in seawater temperature (T+) and a 4 psu decrease in salinity (S &amp; minus;) from ambient values on biomass, nutrient use, fatty acid composition and lipid damage biochemistry of natural phytoplankton assemblages from Potter Cove (25 de Mayo/King George Island, Antarctica). Experiments were conducted by exposing the assemblages to four treatments during a 7-day incubation period using microcosm located along shore from January 23 to 31, 2016. The N:P ratio decreased in all treatments from day 4 onwards, but especially under high temperature (T+). Lipid damage was mainly detected under S0T+ and S &amp; minus;T+ conditions, and it decreased when the production of the antioxidant alpha-tocopherol increased. This antioxidant protection resulted in a build-up of phytoplankton biomass, especially at T+. Under the combined effect of both stressors (S &amp; minus;T+), the concentration of omega 3 fatty acids increased, potentially leading to higher-quality FA composition. These results, which were related to the dominance of sub-Antarctic species in phytoplankton assemblages, contribute to the understanding of the potential consequences of ocean warming and increase seawater freshening on the trophic webs of the Southern Ocean. (c) 2021 Elsevier B.V. All rights reserved. Superscript/Subscript Available</t>
  </si>
  <si>
    <t>[Antacli, J. C.; Sahade, R. J.] Univ Nacl Cordoba, Fac Ciencias Exactas Fis &amp; Nat, Ecol Marina Av Velez Sarsfield 299, RA-5000 Cordoba Capital, Argentina; [Antacli, J. C.; Sahade, R. J.] Consejo Nacl Invest Cient &amp; Tecn CONICET, Inst Diversidad &amp; Ecol Anim IDEA, Cordoba Capital, Argentina; [Hernando, M. P.] Comis Nacl Energia Atom, Dept Radiobiol, Av Gral Paz 1499, Buenos Aires, DF, Argentina; [De Troch, M.] Univ Ghent, Marine Biol, Krijgslaan 281 S8, B-9000 Ghent, Belgium; [Hernando, M. P.] REMARCO, Red Invest Estresores Marinos Costeros America La, Trnava, Slovakia; [Malanga, G.] Univ Buenos Aires UBA CONICET Fisicoquim, Inst Bioquim &amp; Med Mol IBIMOL, Fac Farm &amp; Bioquim, Junin 956,C1113AAD, Buenos Aires, DF, Argentina; [Mendiolar, M.; Hernandez, D. R.] Inst Nacl Invest &amp; Desarrollo Pesquero INIDEP, Paseo Victoria Ocampo 1,B7602HSA, Mar Del Plata, Argentina; [Varela, D. E.] Univ Victoria, Dept Biol, Victoria, BC, Canada; [Varela, D. E.] Univ Victoria, Sch Earth &amp; Ocean Sci, Victoria, BC, Canada; [Antoni, J.] Consejo Nacl Invest Cient &amp; Tecn CONICET, Buenos Aires, DF, Argentina; [Antoni, J.] Univ Nacl La Plata, Fac Ciencias Nat &amp; Museo, Paseo del Bosque S-N, RA-1900 La Plata, Argentina; [Schloss, I. R.] Inst Antartico Argentino, 25 Mayo 1143, Buenos Aires, DF, Argentina; [Schloss, I. R.] Ctr Austral Invest Cient CADIC, CONICET, Bernardo Houssay 200, Ushuaia, Tierra Del Fueg, Argentina; [Schloss, I. R.] Univ Nacl Tierra Del Fuego, Ushuaia, Tierra Del Fueg, Argentina</t>
  </si>
  <si>
    <t>National University of Cordoba; Comision Nacional de Energia Atomica (CNEA); Ghent University; University of Buenos Aires; National Fisheries Research &amp; Development Institute (INIDEP); Consejo Nacional de Investigaciones Cientificas y Tecnicas (CONICET); University of Victoria; University of Victoria; Consejo Nacional de Investigaciones Cientificas y Tecnicas (CONICET); National University of La Plata; Museo La Plata; Instituto Antartico Argentino; Consejo Nacional de Investigaciones Cientificas y Tecnicas (CONICET)</t>
  </si>
  <si>
    <t>Antacli, JC (corresponding author), Univ Nacl Cordoba, Fac Ciencias Exactas Fis &amp; Nat, Ecol Marina Av Velez Sarsfield 299, RA-5000 Cordoba Capital, Argentina.</t>
  </si>
  <si>
    <t>jantacli@conicet.gov.ar</t>
  </si>
  <si>
    <t>Mendiolar, Manuela/0000-0002-8380-819X; De Troch, Marleen/0000-0002-6800-0299</t>
  </si>
  <si>
    <t>Agencia Nacional de Promociones Cientificas of Argentina [ANPCYT-PICT 2011-130]; EMBRC Belgium-FWO [20151029-03]; Hercules agreement [20140910-03]; CONICET-PIP [0635]; Ghent University (BOF-UGent); Canadian NSERC Discovery Grant; EU FP7-People-2012-IRSES programme [318718]; [872609]</t>
  </si>
  <si>
    <t>Agencia Nacional de Promociones Cientificas of Argentina; EMBRC Belgium-FWO; Hercules agreement; CONICET-PIP(Consejo Nacional de Investigaciones Cientificas y Tecnicas (CONICET)); Ghent University (BOF-UGent)(Ghent University); Canadian NSERC Discovery Grant(Natural Sciences and Engineering Research Council of Canada (NSERC)); EU FP7-People-2012-IRSES programme;</t>
  </si>
  <si>
    <t>This work was supported by grants ANPCYT-PICT 2011-130 Raices of the Agencia Nacional de Promociones Cientificas of Argentina to IRS, MPH and DEV, EMBRC Belgium-FWO agreement 20151029-03 and Hercules agreement 20140910-03 to MDT, and CONICET-PIP 0635 to GM. FA analyses were paid by the Special Research Fund of Ghent University (BOFUGent) . Funding from a Canadian NSERC Discovery Grant awarded to DEV was used to support particulate elemental analysis and partial travel costs for DEV. This research was also supported by EU FP7-People-2012-IRSES programme (IMCONet, agreement no. 318718) and is a contribution to CoastCarb (Funding ID 872609, H2020, MSCARISE2019, Research and Innovation Staff Exchange) . We thank Diego Gimenez (IDEA-CONICET) and Gwenaelle Gremion (ISMERUQAR, Rimouski, Canada) for their assistance during the experiments, as well as the personnel of the Carlini Station and the divers of the Prefectura Naval Argentina for their help during field work.</t>
  </si>
  <si>
    <t>OCT 10</t>
  </si>
  <si>
    <t>10.1016/j.scitotenv.2021.147879</t>
  </si>
  <si>
    <t>UA6QS</t>
  </si>
  <si>
    <t>WOS:000685285400009</t>
  </si>
  <si>
    <t>Collins, MA; Hollyman, PR; Clark, J; Soeffker, M; Yates, O; Phillips, RA</t>
  </si>
  <si>
    <t>Collins, M. A.; Hollyman, P. R.; Clark, J.; Soeffker, M.; Yates, O.; Phillips, R. A.</t>
  </si>
  <si>
    <t>Mitigating the impact of longline fisheries on seabirds: Lessons learned from the South Georgia Patagonian toothfish fishery (CCAMLR Subarea 48.3)</t>
  </si>
  <si>
    <t>Albatross; Petrel; Southern Ocean; Bycatch; Mitigation</t>
  </si>
  <si>
    <t>WHITE-CHINNED PETRELS; PROCELLARIA-AEQUINOCTIALIS; BY-CATCH; WANDERING ALBATROSSES; WEIGHTING REGIMES; FISHING GEAR; BIRD-ISLAND; MORTALITY; BYCATCH; CONSERVATION</t>
  </si>
  <si>
    <t>Seabird mortality in fisheries is a global problem and a major driver of the continued decline of many seabird populations. Unless appropriate mitigation is in place, longline fishing can cause high levels of seabird mortality. Here we describe the development and implementation of seabird mitigation measures in the Patagonian toothfish Dissostichus eleginoides fishery around the sub-Antarctic islands of South Georgia (CCAMLR Subarea 48.3), since the fishery began in the late 1980s. The initial high bycatch mortality ( 5000 birds / 0.59 birds per 1000 hooks in 1996) has been reduced to negligible levels (&lt;0.01 per 1000 hooks) through implementation of a suite of mitigation measures and a high level of compliance. The principal species killed in the fishery were black-browed albatross and white-chinned petrels, with most of the mortality occurring in April and early May. Whilst the synchronous introduction of much of the mitigation makes it is difficult to confirm which measures have been most effective, there is compelling evidence that the restriction of the fishery to the austral winter was a major factor. Night-setting and line-weighting measures have also been important in reducing mortality and the 100% observer coverage in the fishery has encouraged high levels of compliance. We also consider how different measures may be effective for different species and how novel measures, such as the use of marked hooks, have helped encourage compliance. The mitigation measures developed in the South Georgia fishery have subsequently been adopted in other CCAMLR fisheries and have helped guide global best practice in addressing seabird bycatch.</t>
  </si>
  <si>
    <t>[Collins, M. A.; Hollyman, P. R.; Phillips, R. A.] British Antarctic Survey, Nat Environm Res Council, Madingley Rd, Cambridge CB23 0ET, England; [Clark, J.] Marine Resources Assessment Grp, 18 Queen St, London W1J 5PN, England; [Soeffker, M.] Ctr Environm Fisheries &amp; Aquaculture Sci, Pakefield Rd, Lowestoft NR33 0HT, Suffolk, England; [Yates, O.] Birdlife Int Marine Programme, Sandy SG19 2DL, Beds, England</t>
  </si>
  <si>
    <t>UK Research &amp; Innovation (UKRI); Natural Environment Research Council (NERC); NERC British Antarctic Survey; Centre for Environment Fisheries &amp; Aquaculture Science; BirdLife International</t>
  </si>
  <si>
    <t>Collins, MA (corresponding author), British Antarctic Survey, Nat Environm Res Council, Madingley Rd, Cambridge CB23 0ET, England.</t>
  </si>
  <si>
    <t>, Martin/ABE-6728-2020; Soeffker, M/KBC-2650-2024; Soeffker, M/D-3258-2009</t>
  </si>
  <si>
    <t>, Martin/0000-0001-7132-8650; Soeffker, M/0000-0002-7131-5486; Hollyman, Philip/0000-0003-2665-5075</t>
  </si>
  <si>
    <t>UK Foreign, Commonwealth &amp; Development Office; Government of South Georgia &amp; the South Sandwich Islands; NERC [bas0100035] Funding Source: UKRI</t>
  </si>
  <si>
    <t>UK Foreign, Commonwealth &amp; Development Office; Government of South Georgia &amp; the South Sandwich Islands; NERC(UK Research &amp; Innovation (UKRI)Natural Environment Research Council (NERC))</t>
  </si>
  <si>
    <t>Thanks to the CCAMLR Secretariat, particularly Daphnis du Pooter for the provision of data and to the CCAMLR members that permitted the use of their data. Thanks to all the observers who worked in the South Georgia fishery, often in difficult conditions, to collect the data presented here. This work was funded by grants from the Government of South Georgia &amp; the South Sandwich Islands and the UK Foreign, Commonwealth &amp; Development Office.</t>
  </si>
  <si>
    <t>10.1016/j.marpol.2021.104618</t>
  </si>
  <si>
    <t>UD6EP</t>
  </si>
  <si>
    <t>WOS:000687298500005</t>
  </si>
  <si>
    <t>Connan, M; Perold, V; Dilley, B; Barbraud, C; Cherel, Y; Ryan, PG</t>
  </si>
  <si>
    <t>Connan, Maelle; Perold, Vonica; Dilley, Ben J.; Barbraud, Christophe; Cherel, Yves; Ryan, Peter G.</t>
  </si>
  <si>
    <t>The Indian Ocean 'garbage patch': Empirical evidence from floating macro-litter</t>
  </si>
  <si>
    <t>Plastic litter; At-sea survey; Southern Indian Ocean; Frontal system; Garbage patch</t>
  </si>
  <si>
    <t>MARINE DEBRIS; PLASTIC INGESTION; SUBTROPICAL GYRE; SEABIRDS; SEA; ACCUMULATION; ATLANTIC; POLLUTION; BOTTLES; THREATS</t>
  </si>
  <si>
    <t>Marine litter has become a global issue with 'garbage patches' documented in all ocean gyres. The Pacific and Atlantic garbage patches have been well described, but there are few empirical data for the Indian Ocean. In the austral summer 2019-2020, we conducted an at-sea survey of macro-litter in the rarely investigated south-west Indian Ocean. Over 24 days, 1623 man-made items were observed including plastic fragments, packaging and fishing-related items during 216 h of observations covering 5464 km. More than 99% of the litter items were plastics of which almost 60% were white. Floating litter was patchily distributed with only five items (0.2%) recorded south of 40 degrees S (0.1 items center dot km-2). Half of the items were encountered over a two-day period south-east of Madagascar (30 degrees S; 59-67 degrees E; 75.2 items center dot km-2). Our survey detected an accumulation of litter in the southern Indian Ocean and demonstrated that this area warrants more research.</t>
  </si>
  <si>
    <t>[Connan, Maelle] Nelson Mandela Univ, Inst Coastal &amp; Marine Res, Dept Zool, Marine Apex Predator Res Unit, Port Elizabeth, South Africa; [Perold, Vonica; Dilley, Ben J.; Ryan, Peter G.] Univ Cape Town, DSI NRF Ctr Excellence, FitzPatrick Inst African Ornithol, Rondebosch, South Africa; [Barbraud, Christophe; Cherel, Yves] La Rochelle Univ, Ctr Etud Biol Chize, UMR 7372 CNRS, F-79360 Villiers En Bois, France</t>
  </si>
  <si>
    <t>Nelson Mandela University; University of Cape Town; Centre National de la Recherche Scientifique (CNRS); CNRS - Institute of Ecology &amp; Environment (INEE)</t>
  </si>
  <si>
    <t>Connan, M (corresponding author), Nelson Mandela Univ, Inst Coastal &amp; Marine Res, Dept Zool, Marine Apex Predator Res Unit, Port Elizabeth, South Africa.</t>
  </si>
  <si>
    <t>maelle.connan@gmail.com</t>
  </si>
  <si>
    <t>Barbraud, Christophe/A-5870-2012; Connan, Maelle/A-8468-2008</t>
  </si>
  <si>
    <t>Barbraud, Christophe/0000-0003-0146-212X; Ryan, Peter/0000-0002-3356-2056; Connan, Maelle/0000-0002-1308-9118</t>
  </si>
  <si>
    <t>South African National Antarctic Programme through the National Research Foundation [110738]</t>
  </si>
  <si>
    <t>South African National Antarctic Programme through the National Research Foundation</t>
  </si>
  <si>
    <t>This work was supported by the South African National Antarctic Programme through the National Research Foundation (grant number: 110738; PIs M. Connan and P. Ryan).</t>
  </si>
  <si>
    <t>10.1016/j.marpolbul.2021.112559</t>
  </si>
  <si>
    <t>TR9YD</t>
  </si>
  <si>
    <t>WOS:000679313100017</t>
  </si>
  <si>
    <t>Guo, JX; Xiao, EZ; Deng, JZ; Li, L; Fu, L; Liu, WY; Chen, JC; Latif, K; Sun, B</t>
  </si>
  <si>
    <t>Guo, Jingxue; Xiao, Enzhao; Deng, Juzhi; Li, Lin; Fu, Lei; Liu, Wenyu; Chen, Jinchao; Latif, Khalid; Sun, Bo</t>
  </si>
  <si>
    <t>Electrical Structures of the Lithosphere Along the Prydz Belt: Magnetotelluric Study at Chinese Zhongshan Station, East Antarctica</t>
  </si>
  <si>
    <t>ARABIAN JOURNAL FOR SCIENCE AND ENGINEERING</t>
  </si>
  <si>
    <t>Magnetotelluric; Two-dimensional inversion; Prydz Orogenic Belt; East Antarctica</t>
  </si>
  <si>
    <t>PRINCE-CHARLES MOUNTAINS; ALBANY-FRASER OROGEN; GROVE MOUNTAINS; METASEDIMENTARY ROCKS; LARSEMANN HILLS; PASSIVE-MARGIN; RAUER GROUP; CONSTRAINTS; GONDWANA; AUSTRALIA</t>
  </si>
  <si>
    <t>Zhongshan Station (69 degrees 22 ' 24.76 '' s, 76 degrees 22 ' 14.28 '' E) is located in the Westoden Peninsula, Larsemann Hills area, Princess Elizabeth Islands, East Antarctica. Here, we report results from a magnetotelluric experiment and delineate the deep electrical conductivity structure beside the Zhongshan Station by using the data acquired during the 36th Chinese Antarctic Scientific Expedition. Magnetotelluric (MT) data have the advantages of wide range and large depth in geophysical surveying. Two-dimensional inversion of MT data was conducted using the nonlinear conjugate gradient algorithm, and the conductivity structure under the Larsemann Hills area was described. The simulation results show that the high resistivity level in the shallow layer represents the Quaternary glacial sediments on the surface of bedrock. Further, the underground electrical structure within the depth of 10 km in the middle section shows obvious horizontal difference and drastic longitudinal variation. The depth of 10-40 km is characterized by thick layer and low resistivity, the electrical structure is relatively uniform, and the low resistivity structure is geographically inclined slightly to the northeast. This section is characterized by low resistivity structure. The upper part of the southwest section is characterized by high resistance, and the middle and deep part (below 10 km) is characterized by relatively uniform and low resistance terranes. The discovery can be interpreted as follows: The low resistivity body in the southwest segment represents the core cratonic crustal structure of the southeast polar shield, while the low resistivity body with complex electrical structure in the middle 10 km depth of the section can be interpreted as the collision zone between the Prydz Orogenic Belt and the East Antarctic craton. Our study confirms the position of the Prydz Orogenic Belt under the Larsemann Hills of East Antarctica and depicts the electrical structure of the collisional amalgamation area, which provides evidence for further study of the splicing of the Gondwana archicontinent.</t>
  </si>
  <si>
    <t>[Guo, Jingxue; Xiao, Enzhao; Li, Lin; Sun, Bo] MNR, Key Lab Polar Sci, Polar Res Inst China, Shanghai 200136, Peoples R China; [Deng, Juzhi; Liu, Wenyu] East China Univ Technol, Sch Geophys &amp; Measurement Control Technol, Nanchang 310000, Peoples R China; [Fu, Lei] Southern Univ Sci &amp; Technol, Dept Earth &amp; Space Sci, Shenzhen 518055, Peoples R China; [Chen, Jinchao] Chengdu Univ Technol, Coll Geophys, Chengdu 610059, Peoples R China; [Latif, Khalid] Univ Peshawar, Natl Ctr Excellence Geol, Peshawar 25130, Pakistan</t>
  </si>
  <si>
    <t>Polar Research Institute of China; East China University of Technology; Southern University of Science &amp; Technology; Chengdu University of Technology; University of Peshawar</t>
  </si>
  <si>
    <t>Xiao, EZ (corresponding author), MNR, Key Lab Polar Sci, Polar Res Inst China, Shanghai 200136, Peoples R China.;Deng, JZ (corresponding author), East China Univ Technol, Sch Geophys &amp; Measurement Control Technol, Nanchang 310000, Peoples R China.</t>
  </si>
  <si>
    <t>xiaoenzhao@pric.org.cn; jzhdeng@ecut.edu.cn</t>
  </si>
  <si>
    <t>xiao, en zhao/0000-0003-3338-2423</t>
  </si>
  <si>
    <t>National Natural Science Foundation of China [41876227, 41941006, 41941007, 41974044]; Shanghai Sailing Program [21YF1452100]; National Key R&amp;D Program of China [2019YFC1509102]</t>
  </si>
  <si>
    <t>National Natural Science Foundation of China(National Natural Science Foundation of China (NSFC)); Shanghai Sailing Program; National Key R&amp;D Program of China</t>
  </si>
  <si>
    <t>This work was supported by the National Natural Science Foundation of China (41876227, 41941006, 41941007, 41974044), Shanghai Sailing Program (21YF1452100) and the National Key R&amp;D Program of China (2019YFC1509102). Subject Editor M.N. Caatay and the anonymous reviewers are thanked for their constructive suggestions and critical comments, which have greatly improved the quality of the paper.</t>
  </si>
  <si>
    <t>2193-567X</t>
  </si>
  <si>
    <t>2191-4281</t>
  </si>
  <si>
    <t>ARAB J SCI ENG</t>
  </si>
  <si>
    <t>Arab. J. Sci. Eng.</t>
  </si>
  <si>
    <t>10.1007/s13369-021-05793-3</t>
  </si>
  <si>
    <t>YU1JV</t>
  </si>
  <si>
    <t>WOS:000659031100010</t>
  </si>
  <si>
    <t>Smale, D; Strahan, SE; Querel, R; Friess, U; Nedoluha, GE; Nichol, SE; Robinson, J; Boyd, I; Kotkamp, M; Gomez, RM; Murphy, M; Tran, H; McGaw, J</t>
  </si>
  <si>
    <t>Smale, Dan; Strahan, Susan E.; Querel, Richard; Friess, Udo; Nedoluha, Gerald E.; Nichol, Sylvia E.; Robinson, John; Boyd, Ian; Kotkamp, Michael; Gomez, R. Michael; Murphy, Mark; Tran, Hue; McGaw, Jamie</t>
  </si>
  <si>
    <t>Evolution of observed ozone, trace gases, and meteorological variables over Arrival Heights, Antarctica (77.8°S, 166.7°E) during the 2019 Antarctic stratospheric sudden warming</t>
  </si>
  <si>
    <t>TELLUS SERIES B-CHEMICAL AND PHYSICAL METEOROLOGY</t>
  </si>
  <si>
    <t>Arrival Heights; Antarctica; stratospheric sudden warming; polar heterogeneous ozone depletion chemistry</t>
  </si>
  <si>
    <t>GROUND-BASED FTIR; INTERHEMISPHERIC DIFFERENCES; CHLORINE; CHEMISTRY; HOLE; HCL; OCLO; TRANSPORT; DEPLETION; PROFILES</t>
  </si>
  <si>
    <t>We use ground-based spectroscopic remote sensing measurements of the stratospheric trace gases O-3, HCl, ClO, BrO, HNO3, NO2, OClO, ClONO2, N2O and HF, along with radiosonde profiles of temperature to track the springtime development of the 2019 ozone hole over Arrival Heights (77.8 degrees S, 166.7 degrees E, AHTS), Antarctica, during, and after, the 2019 stratospheric sudden warming (SSW) event. Both measurements and model simulations show that the 2019 SSW caused an extraordinarily warm stratosphere within the polar vortex, resulting in record low ozone depletion over AHTS. We also contrast the evolution of the 2019 ozone hole to that in 2002, which also had a major springtime SSW event. The SSW event started around 28th August. By similar to 17th September, stratospheric temperatures inside the polar vortex over AHTS were similar to 45 K higher than the climatological average. The SSW did not cause an en masse displacement of mid-latitude air over AHTS as in the 2002 SSW event. However, the increased temperatures did cause an unusually early reduction in polar stratospheric clouds, halting the denitrification early and leading to increased gas-phase HNO3 and record high levels of NO2 (`renoxification'). This caused the earliest observed deactivation of chlorine, returning all active chlorine into the chlorine reservoir species, HCl and ClONO2. The deactivation rate into HCl remained relatively unaffected by the SSW, whilst there was a dramatic increase in ClONO2 formation. This chlorine deactivation pathway via ClONO2 is typical of the Arctic and atypical for the Antarctic. At AHTS, record high levels of springtime ozone were observed. The measured ozone total column did not drop below 220 DU. Record high stratospheric temperatures persisted until 7th October over AHTS. By 22nd October, AHTS was not beneath the polar vortex. The polar vortex break-up date on 9th November was one of the earliest observed.</t>
  </si>
  <si>
    <t>[Smale, Dan; Querel, Richard; Robinson, John; Kotkamp, Michael] Natl Inst Water &amp; Atmospher Res NIWA, Lauder, New Zealand; [Strahan, Susan E.] Univ Space Res Assoc, Columbia, MD USA; [Strahan, Susan E.] NASA, Goddard Space Flight Ctr, Greenbelt, MD USA; [Friess, Udo] Heidelberg Univ, Inst Environm Phys, Heidelberg, Germany; [Nedoluha, Gerald E.; Gomez, R. Michael] Naval Res Lab, Remote Sensing Div, Washington, DC USA; [Nichol, Sylvia E.; Murphy, Mark] Natl Inst Water &amp; Atmospher Res NIWA, Wellington, New Zealand; [Boyd, Ian] BC Sci Consulting LLC, Stony Brook, NY USA; [Tran, Hue; McGaw, Jamie] Antarctica New Zealand, Christchurch, New Zealand</t>
  </si>
  <si>
    <t>National Institute of Water &amp; Atmospheric Research (NIWA) - New Zealand; Universities Space Research Association (USRA); National Aeronautics &amp; Space Administration (NASA); NASA Goddard Space Flight Center; Ruprecht Karls University Heidelberg; United States Department of Defense; United States Navy; Naval Research Laboratory; National Institute of Water &amp; Atmospheric Research (NIWA) - New Zealand</t>
  </si>
  <si>
    <t>Smale, D (corresponding author), Natl Inst Water &amp; Atmospher Res NIWA, Lauder, New Zealand.</t>
  </si>
  <si>
    <t>dan.smale@niwa.co.nz</t>
  </si>
  <si>
    <t>Strahan, Susan E/H-1965-2012; Querel, Richard/D-3770-2015</t>
  </si>
  <si>
    <t>Querel, Richard/0000-0001-8792-2486</t>
  </si>
  <si>
    <t>NIWA through New Zealand's Ministry of Business, Innovation and Employment Strategic Science Investment Fund; NASA Upper Atmosphere Research Program</t>
  </si>
  <si>
    <t>NIWA through New Zealand's Ministry of Business, Innovation and Employment Strategic Science Investment Fund; NASA Upper Atmosphere Research Program(National Aeronautics &amp; Space Administration (NASA))</t>
  </si>
  <si>
    <t>Measurements at Arrival Heights and Scott Base are core-funded by NIWA through New Zealand's Ministry of Business, Innovation and Employment Strategic Science Investment Fund. The ClO measurements at Scott Base are supported by the NASA Upper Atmosphere Research Program</t>
  </si>
  <si>
    <t>1600-0889</t>
  </si>
  <si>
    <t>TELLUS B</t>
  </si>
  <si>
    <t>Tellus Ser. B-Chem. Phys. Meteorol.</t>
  </si>
  <si>
    <t>JUN 8</t>
  </si>
  <si>
    <t>10.1080/16000889.2021.1933783</t>
  </si>
  <si>
    <t>SS1KD</t>
  </si>
  <si>
    <t>WOS:000661499300001</t>
  </si>
  <si>
    <t>Davies, B; Rosendale, AJ; Gantz, JD; Lee, RE; Denlinger, DL; Benoit, JB</t>
  </si>
  <si>
    <t>Davies, Benjamin; Rosendale, Andrew J.; Gantz, Josiah D.; Lee, Richard E., Jr.; Denlinger, David L.; Benoit, Joshua B.</t>
  </si>
  <si>
    <t>Cross-tolerance and transcriptional shifts underlying abiotic stress in the seabird tick, Ixodes uriae</t>
  </si>
  <si>
    <t>Cold; Heat; Dehydration; RNA-seq; Cross-tolerance; Antarctic; Tick</t>
  </si>
  <si>
    <t>COLD-RESPONSIVE GENES; CHILL-COMA RECOVERY; ACARI IXODIDAE; RNA-SEQ; LOW-TEMPERATURE; DOG TICK; BIOCHEMICAL RESPONSE; ION HOMEOSTASIS; WEB SERVER; HEAT-SHOCK</t>
  </si>
  <si>
    <t>The seabird tick, Ixodes uriae, is a significant ectoparasite of penguins in Antarctica and of other seabirds, mainly in coastal, polar regions of the Northern and Southern hemispheres, but the tick's distribution extends into more temperate regions as well. The expansive range of this tick suggests that it is exposed to a wide range of abiotic stresses, including dehydration, heat, and cold. To better understand how I. uriae responds to stress exposure, we examined cross-tolerance between dehydration and thermal stress based on survival analyses and used RNA-seq to monitor transcriptional responses to cold, heat, and dehydration. Slight dehydration improved cold, but not heat tolerance, whereas severe dehydration reduced subsequent thermal tolerance. Dehydration exposure prompted transcript-level shifts underlying protein metabolism, recovery from stress, and processes allowing subsequent rehydration by water vapor uptake. Both cold and heat stress yielded expression changes involved in cuticle modification. One gene increased in expression (enzyme P450) and one decreased (transcription factor Hairy) in response to all three stresses. This study provides the groundwork for assessing stress tolerance in this bipolar ectoparasite.</t>
  </si>
  <si>
    <t>[Davies, Benjamin; Benoit, Joshua B.] Univ Cincinnati, Dept Biol Sci, Cincinnati, OH 45220 USA; [Rosendale, Andrew J.] Mt St Joseph Univ, Dept Biol, Cincinnati, OH USA; [Lee, Richard E., Jr.] Miami Univ, Dept Biol, Oxford, OH 45056 USA; [Gantz, Josiah D.] Hendrix Coll, Dept Biol &amp; Hlth Sci, Conway, AR USA; [Denlinger, David L.] Ohio State Univ, Dept Entomol &amp; Evolut, 1735 Neil Ave, Columbus, OH 43210 USA; [Denlinger, David L.] Ohio State Univ, Dept Ecol, Columbus, OH 43210 USA; [Denlinger, David L.] Ohio State Univ, Dept Organismal Biol, Columbus, OH 43210 USA</t>
  </si>
  <si>
    <t>University System of Ohio; University of Cincinnati; University System of Ohio; Mount St. Joseph University; University System of Ohio; Miami University; University System of Ohio; Ohio State University; University System of Ohio; Ohio State University; University System of Ohio; Ohio State University</t>
  </si>
  <si>
    <t>Benoit, JB (corresponding author), Univ Cincinnati, Dept Biol Sci, Cincinnati, OH 45220 USA.</t>
  </si>
  <si>
    <t>National Science Foundation [OPP-1341385, DEB-1654417, OPP-1341393]; United States Department of Agriculture [2018-67013-28495]; National Institutes of Health [1R01AI148551-01A1]</t>
  </si>
  <si>
    <t>National Science Foundation(National Science Foundation (NSF)); United States Department of Agriculture(United States Department of Agriculture (USDA)); National Institutes of Health(United States Department of Health &amp; Human ServicesNational Institutes of Health (NIH) - USA)</t>
  </si>
  <si>
    <t>This research was supported by the National Science Foundation grant DEB-1654417 (partially), United States Department of Agriculture 2018-67013-28495 (partially), and National Institutes of Health 1R01AI148551-01A1 (partially) to J.B.B. for computational support, National Science Foundation grant OPP-1341393 to D.L.D., and National Science Foundation grant OPP-1341385 to R.E.L. We thank the staff at Palmer Station, Antarctica for assistance in logistics and experiments. We appreciate Karen D. McCoy and Jingze Liu for serving as reviewers and providing helpful comments on the manuscript.</t>
  </si>
  <si>
    <t>10.1007/s00300-021-02887-4</t>
  </si>
  <si>
    <t>WOS:000659029100001</t>
  </si>
  <si>
    <t>Hallegraeff, GM; Anderson, DM; Belin, C; Bottein, MYD; Bresnan, E; Chinain, M; Enevoldsen, H; Iwataki, M; Karlson, B; McKenzie, CH; Sunesen, I; Pitcher, GC; Provoost, P; Richardson, A; Schweibold, L; Tester, PA; Trainer, VL; Yñiguez, AT; Zingone, A</t>
  </si>
  <si>
    <t>Hallegraeff, Gustaaf M.; Anderson, Donald M.; Belin, Catherine; Bottein, Marie-Yasmine Dechraoui; Bresnan, Eileen; Chinain, Mireille; Enevoldsen, Henrik; Iwataki, Mitsunori; Karlson, Bengt; McKenzie, Cynthia H.; Sunesen, Ines; Pitcher, Grant C.; Provoost, Pieter; Richardson, Anthony; Schweibold, Laura; Tester, Patricia A.; Trainer, Vera L.; Yniguez, Aletta T.; Zingone, Adriana</t>
  </si>
  <si>
    <t>Perceived global increase in algal blooms is attributable to intensified monitoring and emerging bloom impacts</t>
  </si>
  <si>
    <t>HARMFUL; PHYTOPLANKTON; GYMNODINIALES; METAANALYSIS; DINOPHYCEAE; ECOSYSTEMS; MORTALITY</t>
  </si>
  <si>
    <t>Global trends in the occurrence, toxicity and risk posed by harmful algal blooms to natural systems, human health and coastal economies are poorly constrained, but are widely thought to be increasing due to climate change and nutrient pollution. Here, we conduct a statistical analysis on a global dataset extracted from the Harmful Algae Event Database and Ocean Biodiversity Information System for the period 1985-2018 to investigate temporal trends in the frequency and distribution of marine harmful algal blooms. We find no uniform global trend in the number of harmful algal events and their distribution over time, once data were adjusted for regional variations in monitoring effort. Varying and contrasting regional trends were driven by differences in bloom species, type and emergent impacts. Our findings suggest that intensified monitoring efforts associated with increased aquaculture production are responsible for the perceived increase in harmful algae events and that there is no empirical support for broad statements regarding increasing global trends. Instead, trends need to be considered regionally and at the species level. The global occurrence of harmful algal bloom events is not increasing uniformly over time and the increase in recorded events is due to enhanced coastal monitoring and aquaculture, according to an analysis of a 33-year global dataset.</t>
  </si>
  <si>
    <t>[Hallegraeff, Gustaaf M.] Univ Tasmania, Inst Marine &amp; Antarctic Studies, Hobart, Tas, Australia; [Anderson, Donald M.] Woods Hole Oceanog Inst, Woods Hole, MA 02543 USA; [Belin, Catherine] IFREMER, Brest, France; [Bottein, Marie-Yasmine Dechraoui] Ecotoxicol &amp; Sustainable Dev Expertise ECODD, Valbonne, France; [Bresnan, Eileen] Marine Scotland, Aberdeen, Scotland; [Chinain, Mireille] Inst Louis Malarde UMR241 EIO, Lab Marine Biotoxins, Tahiti, French Polynesi, France; [Enevoldsen, Henrik] Univ Copenhagen, Intergovt Oceanog Commiss IOC UNESCO IOC Sci &amp; Co, Copenhagen, Denmark; [Iwataki, Mitsunori] Univ Tokyo, Asian Nat Environm Sci Ctr, Tokyo, Japan; [Karlson, Bengt] Swedish Meteorol &amp; Hydrol Inst, Oceanog Res, Vastra Frolunda, Sweden; [McKenzie, Cynthia H.] Fisheries &amp; Oceans Canada, Northwest Atlantic Fisheries Ctr, St John, NF, Canada; [Sunesen, Ines] CONICET UNLP, Div Ficol Dr Sebastian Guarrera, FCNyM, Paseo Bosque S-N, La Plata, Argentina; [Pitcher, Grant C.] Univ Cape Town, Dept Biol Sci, Rondebosch, South Africa; [Provoost, Pieter] Intergovt Oceanog Commiss UNESCO, IOC Project Off IODE, Oostende, Belgium; [Richardson, Anthony] CSIRO Oceans &amp; Atmosphere, Queensland Biosci Precinct QBP, St Lucia, Qld, Australia; [Richardson, Anthony] Univ Queensland, Sch Math &amp; Phys, St Lucia, Qld, Australia; [Schweibold, Laura] Inst Univ Europeen Mer, Plouzane, France; [Tester, Patricia A.] Ocean Tester LLC, Beaufort, NC USA; [Trainer, Vera L.] NOAA, Environm &amp; Fisheries Sci Div, Northwest Fisheries Sci Ctr, Natl Marine Fisheries Serv, Seattle, WA USA; [Yniguez, Aletta T.] Univ Philippines, Inst Marine Sci, Quezon City, Philippines; [Zingone, Adriana] Stn Zool Anton Dohrn, Naples, Italy</t>
  </si>
  <si>
    <t>University of Tasmania; Woods Hole Oceanographic Institution; Ifremer; Marine Scotland Science (MSS); University of Copenhagen; University of Tokyo; Swedish Meteorological &amp; Hydrological Institute; Fisheries &amp; Oceans Canada; Consejo Nacional de Investigaciones Cientificas y Tecnicas (CONICET); University of Cape Town; Commonwealth Scientific &amp; Industrial Research Organisation (CSIRO); University of Queensland; Universite de Bretagne Occidentale; Institut Universitaire Europeen de la Mer (IUEM); National Oceanic Atmospheric Admin (NOAA) - USA; University of the Philippines System; University of the Philippines Diliman; Stazione Zoologica Anton Dohrn di Napoli</t>
  </si>
  <si>
    <t>Hallegraeff, GM (corresponding author), Univ Tasmania, Inst Marine &amp; Antarctic Studies, Hobart, Tas, Australia.;Zingone, A (corresponding author), Stn Zool Anton Dohrn, Naples, Italy.</t>
  </si>
  <si>
    <t>Gustaaf.Hallegraeff@utas.edu.au</t>
  </si>
  <si>
    <t>Trainer, Vera/AAE-9306-2022; Karlson, Bengt/HII-5550-2022; Iwataki, Mitsunori/H-9640-2019; Zingone, Adriana/E-4518-2010; Dechraoui Bottein, Marie-Yasmine/KAM-3400-2024; Hallegraeff, Gustaaf/C-8351-2013; CHINAIN, Mireille/G-7055-2017</t>
  </si>
  <si>
    <t>Karlson, Bengt/0000-0002-7524-3504; Iwataki, Mitsunori/0000-0002-5844-2800; Schweibold, Laura/0000-0001-5513-045X; Hallegraeff, Gustaaf/0000-0001-8464-7343; , Vera/0009-0005-9585-6753; McKenzie, Cynthia H/0000-0001-6421-0603; CHINAIN, Mireille/0000-0001-6560-1278; Dechraoui Bottein, Marie-Yasmine/0000-0002-6468-7222</t>
  </si>
  <si>
    <t>IOC (Intergovernmental Oceanographic Commission of UNESCO); ICES (International Council for the Exploration of the Sea); PICES (North Pacific Marine Science Organisation); IAEA (International Atomic Energy Agency); Government of Flanders (Belgium)</t>
  </si>
  <si>
    <t>IOC (Intergovernmental Oceanographic Commission of UNESCO); ICES (International Council for the Exploration of the Sea); PICES (North Pacific Marine Science Organisation); IAEA (International Atomic Energy Agency)(International Atomic Energy Agency); Government of Flanders (Belgium)</t>
  </si>
  <si>
    <t>This work formed part of the Global Harmful Algae Status Reporting (GHSR) initiative, conducted under the auspices of IOC (Intergovernmental Oceanographic Commission of UNESCO), ICES (International Council for the Exploration of the Sea), PICES (North Pacific Marine Science Organisation), IAEA (International Atomic Energy Agency), and was sponsored by the Government of Flanders (Belgium).</t>
  </si>
  <si>
    <t>10.1038/s43247-021-00178-8</t>
  </si>
  <si>
    <t>SS7GM</t>
  </si>
  <si>
    <t>WOS:000661922900001</t>
  </si>
  <si>
    <t>McGaughran, A; Laver, R; Fraser, C</t>
  </si>
  <si>
    <t>McGaughran, Angela; Laver, Rebecca; Fraser, Ceridwen</t>
  </si>
  <si>
    <t>Evolutionary Responses to Warming</t>
  </si>
  <si>
    <t>TRENDS IN ECOLOGY &amp; EVOLUTION</t>
  </si>
  <si>
    <t>CLIMATE-CHANGE; MOLECULAR EVOLUTION; MUTATION-RATE; PHENOTYPIC PLASTICITY; ADAPTIVE EVOLUTION; THERMAL TOLERANCE; SPECIES RICHNESS; CLINAL VARIATION; TEMPERATURE; ENVIRONMENT</t>
  </si>
  <si>
    <t>In the current geological epoch, the Anthropocene, humans are both directly and indirectly driving new climatic trajectories, resulting in hotter climatic conditions and an array of associated effects on the biosphere [1]. Such changes are likely to result in the establishment of new abiotic gradients, to which organisms may respond with acclimation, adaptation, relocation, or extinction [2]. Some of the effects of temperature on organisms are observable across thermal gradients, Climate change is predicted to dramatically alter biological diversity and distributions, driving extirpations, extinctions, and extensive range shifts across the globe. Warming can also, however, lead to phenotypic or behavioural plasticity, as species adapt to new conditions. Recent genomic research indicates that some species are capable of rapid evolution as selection favours adaptive responses to environmental change and altered or novel niche spaces. New advances are providing mechanistic insights into how temperature might accelerate evolution in the Anthropocene. These discoveries highlight intriguing new research directions - such as using geothermal and polar systems combined with powerful genomic tools - that will help us to understand the processes underpinning adaptive evolution and better project how ecosystems will change in a warming world.</t>
  </si>
  <si>
    <t>[McGaughran, Angela] Univ Waikato, Te Aka Matuatua Sch Sci, Private Bag 3105, Hamilton 3240, New Zealand; [Laver, Rebecca] Australian Natl Univ, Res Sch Biol, Canberra, ACT 2601, Australia; [Fraser, Ceridwen] Univ Otago, Dept Marine Sci, POB 56, Dunedin 9054, New Zealand</t>
  </si>
  <si>
    <t>University of Waikato; Australian National University; University of Otago</t>
  </si>
  <si>
    <t>McGaughran, A (corresponding author), Univ Waikato, Te Aka Matuatua Sch Sci, Private Bag 3105, Hamilton 3240, New Zealand.</t>
  </si>
  <si>
    <t>ang.mcgaughran@gmail.com</t>
  </si>
  <si>
    <t>Laver, Rebecca J./I-9457-2019; McGaughran, Angela/C-5916-2014</t>
  </si>
  <si>
    <t>Laver, Rebecca J./0000-0002-6319-7213; McGaughran, Angela/0000-0002-3429-8699</t>
  </si>
  <si>
    <t>Australian Research Council [DP180100113]; Royal Society of New Zealand [RDF-UOO1803, 20-UOO-173]; New Zealand MBIEfunded Antarctic Science Platform; Royal Society of New Zealand [20-UOO-173] Funding Source: Royal Society of New Zealand</t>
  </si>
  <si>
    <t>Australian Research Council(Australian Research Council); Royal Society of New Zealand(Royal Society of New Zealand); New Zealand MBIEfunded Antarctic Science Platform; Royal Society of New Zealand(Royal Society of New Zealand)</t>
  </si>
  <si>
    <t>This work was supported by a Discovery Project from the Australian Research Council (DP180100113) . C.F. was also supported by the Royal Society of New Zealand (Rutherford Discovery Fellowship RDF-UOO1803 and Marsden Grant 20-UOO-173) and the New Zealand MBIEfunded Antarctic Science Platform.</t>
  </si>
  <si>
    <t>0169-5347</t>
  </si>
  <si>
    <t>1872-8383</t>
  </si>
  <si>
    <t>TRENDS ECOL EVOL</t>
  </si>
  <si>
    <t>Trends Ecol. Evol.</t>
  </si>
  <si>
    <t>10.1016/j.tree.2021.02.014</t>
  </si>
  <si>
    <t>Ecology; Evolutionary Biology; Genetics &amp; Heredity</t>
  </si>
  <si>
    <t>Environmental Sciences &amp; Ecology; Evolutionary Biology; Genetics &amp; Heredity</t>
  </si>
  <si>
    <t>SO8LO</t>
  </si>
  <si>
    <t>WOS:000659226800006</t>
  </si>
  <si>
    <t>Saravia, J; Paschke, K; Oyarzún-Salazar, R; Cheng, CHC; Navarro, JM; Vargas-Chacoff, L</t>
  </si>
  <si>
    <t>Saravia, Julia; Paschke, Kurt; Oyarzun-Salazar, Ricardo; Cheng, C-H Christina; Navarro, Jorge M.; Vargas-Chacoff, Luis</t>
  </si>
  <si>
    <t>Effects of warming rates on physiological and molecular components of response to CTMax heat stress in the Antarctic fish Harpagifer antarcticus</t>
  </si>
  <si>
    <t>JOURNAL OF THERMAL BIOLOGY</t>
  </si>
  <si>
    <t>Global climate change; Ectotherms; Plunder fish; Physiology; mRNA</t>
  </si>
  <si>
    <t>CRITICAL THERMAL MAXIMUM; UBIQUITIN-PROTEASOME PATHWAY; GENE-EXPRESSION; SHOCK RESPONSE; FRESH-WATER; TREMATOMUS-BERNACCHII; TEMPERATURE INCREASE; CLIMATE-CHANGE; NA+/K+-ATPASE; NEW-ZEALAND</t>
  </si>
  <si>
    <t>Maximum and minimum Critical thermal limits (CTMax and CTMin) have been studied extensively to assess thermal tolerance in ectotherms by means of ramping assays. Notothenioid fish have been proposed as particularly sensitive to temperature increases related to global climate change. However, there are large gaps in our understanding of the thermal responses of these extreme cold-adapted fish in assays with heating rates. We evaluated the effects of two commonly used heating rates (0.3 and 1 degrees C/min) on the cellular stress responses in the intertidal Antarctic fish Harpagifer antarcticus immediately after CTMax was reached, and at 2 and 4 h of recovery time in ambient water. We compared CTMax values, the relative transcript expression of genes relvant to heat shock response (Hsc70, Hsp70, Grp78), hypoxia (Hif1-alpha, LDHa, GR), ubiquitination (Ube2), and apoptosis (SMAC/DIABLO), and five plasma parameters - glucose, lactate, total protein, osmolality and cortisol. CTMax values between the two heating rates are not significantly different, and both rates elicited a similar stress response at molecular and physiological levels. We found a lack of up-regulated response of heat shock proteins, consistent with other Antarctic notothenioids. The general transcriptional pattern trended to downregulation, which was more evident in the slower 0.3 degrees C/min rate, and instances of upregulation were mainly related to ubiquitination. The faster 1 degrees C/min rate, rarely used for Antarctic fish, can be suitable for studying cold-adapted stenothermic fish without overestimating thermal tolerance or inducing damage from longer heat exposure.</t>
  </si>
  <si>
    <t>[Saravia, Julia; Oyarzun-Salazar, Ricardo] Univ Austral Chile, Escuela Grad Programa Doctorado Ciencias Acuicult, Puerto Montt, Chile; [Saravia, Julia; Oyarzun-Salazar, Ricardo; Navarro, Jorge M.; Vargas-Chacoff, Luis] Univ Austral Chile, Inst Ciencias Marinas &amp; Limnol, Valdivia, Chile; [Saravia, Julia; Paschke, Kurt; Oyarzun-Salazar, Ricardo; Navarro, Jorge M.; Vargas-Chacoff, Luis] Univ Austral Chile, Ctr Fondap Invest Altas Latitudes Fondap IDEAL, Valdivia, Chile; [Paschke, Kurt] Univ Austral Chile, Inst Acuicultura, Puerto Montt, Chile; [Cheng, C-H Christina] Univ Illinois, Dept Evolut Ecol &amp; Behav, Urbana, IL 61801 USA</t>
  </si>
  <si>
    <t>Universidad Austral de Chile; Universidad Austral de Chile; Universidad Austral de Chile; Universidad Austral de Chile; University of Illinois System; University of Illinois Urbana-Champaign</t>
  </si>
  <si>
    <t>Saravia, J; Vargas-Chacoff, L (corresponding author), Univ Austral Chile, Inst Ciencias Marinas &amp; Limnol, Valdivia, Chile.</t>
  </si>
  <si>
    <t>maria.saravia@alumnos.uach.cl; luis.vargas@uach.cl</t>
  </si>
  <si>
    <t>Saravia, Julia/JKI-0931-2023; Oyarzún-Salazar, Ricardo/HGU-6035-2022</t>
  </si>
  <si>
    <t>Saravia, Julia/0000-0002-8411-6718; Oyarzun-Salazar, Ricardo/0000-0003-3177-399X; Vargas-Chacoff, Luis/0000-0002-0497-2582</t>
  </si>
  <si>
    <t>Vicerrectoria de Investigacion (VIDCA); Universidad Austral de Chile; Programa de Doctorado en Ciencias de la Acuicultura; Fondap-Ideal Grant [15150003]; Comision Nacional de Investigacion Cientifica y Tecnologica; ANID [21170636]; Instituto Antartico Chileno (INACH) [DG_13-20]</t>
  </si>
  <si>
    <t>Vicerrectoria de Investigacion (VIDCA); Universidad Austral de Chile; Programa de Doctorado en Ciencias de la Acuicultura; Fondap-Ideal Grant; Comision Nacional de Investigacion Cientifica y Tecnologica; ANID; Instituto Antartico Chileno (INACH)</t>
  </si>
  <si>
    <t>The authors acknowledge Vicerrectoria de Investigacion (VIDCA) , Universidad Austral de Chile and Programa de Doctorado en Ciencias de la Acuicultura (both entities belonging to Universidad Austral de Chile) for their support. The authors also want to thank the anonymous re-viewers and Dr. Jochen Wilhelm for their comments that helped greatly to improve this manuscript. This study was funded by Fondap-Ideal Grant No. 15150003. Julia Saravia is funded by Comision Nacional de Investigacion Cientifica y Tecnologica through a national doctoral scholarship, Agencia Nacional de Investigacion y Desarrollo (CONICyT now ANID, Folio 21170636) and by Instituto Antartico Chileno (INACH) grant number DG_13-20. The authors also wish to acknowledge Instituto Antartico Chileno (INACH) for its support in Antarctica.</t>
  </si>
  <si>
    <t>0306-4565</t>
  </si>
  <si>
    <t>1879-0992</t>
  </si>
  <si>
    <t>J THERM BIOL</t>
  </si>
  <si>
    <t>J. Therm. Biol.</t>
  </si>
  <si>
    <t>10.1016/j.jtherbio.2021.103021</t>
  </si>
  <si>
    <t>Biology; Zoology</t>
  </si>
  <si>
    <t>Life Sciences &amp; Biomedicine - Other Topics; Zoology</t>
  </si>
  <si>
    <t>UE3JD</t>
  </si>
  <si>
    <t>WOS:000687787300009</t>
  </si>
  <si>
    <t>Hotaling, S; Borowiec, ML; Lins, LSF; Desvignes, T; Kelley, JL</t>
  </si>
  <si>
    <t>Hotaling, Scott; Borowiec, Marek L.; Lins, Luana S. F.; Desvignes, Thomas; Kelley, Joanna L.</t>
  </si>
  <si>
    <t>The biogeographic history of eelpouts and related fishes: Linking phylogeny, environmental change, and patterns of dispersal in a globally distributed fish group</t>
  </si>
  <si>
    <t>Phylogenetics; Biogeographic modeling; Biogeographic stochastic mapping; Southern Ocean; Antarctica; Polar fish</t>
  </si>
  <si>
    <t>MOLECULAR PHYLOGENY; MODEL SELECTION; ANTIFREEZE; EVOLUTION; PERCIFORMES; ALGORITHM; INFERENCE; ALIGNMENT; PROTEIN; PISCES</t>
  </si>
  <si>
    <t>Modern genetic data sets present unprecedented opportunities to understand the evolutionary origins of diverse taxonomic groups. When the timing of key events is known, it is possible to investigate biogeographic history in the context of major phenomena (e.g., cooling of a major ocean). In this study, we investigated the biogeographic history of the suborder Zoarcoidei, a globally distributed fish group that includes species inhabiting both poles that produce antifreeze proteins to survive chronic subfreezing temperatures. We first generated a multi-locus, time-calibrated phylogeny for the group. We then used biogeographic modeling to reconstruct ancestral ranges across the tree and to quantify the type and frequency of biogeographic events (e.g., founder, dispersal). With these results, we considered how the cooling of the Southern and Arctic Oceans, which reached their present-day subfreezing temperatures 10-15 million years ago (Mya) and 2-3 Mya, respectively, may have shaped the group's evolutionary history, with an emphasis on the most speciose and widely distributed family, eelpouts (family Zoarcidae). Our phylogenetic results clarified the Zoarcoidei taxonomy and showed that the group began to diversify in the Oligocene similar to 31-32 Mya, with the center of origin for all families in north temperate waters. Within-area speciation was the most common biogeographic event in the group's history (80% of all events) followed by dispersal (20%). Finally, we only found evidence, albeit limited, for ocean cooling underpinning diversification of eelpouts living in the high Antarctic over the last 10 million years.</t>
  </si>
  <si>
    <t>[Hotaling, Scott; Lins, Luana S. F.; Kelley, Joanna L.] Washington State Univ, Sch Biol Sci, Pullman, WA 99164 USA; [Borowiec, Marek L.] Univ Idaho, Dept Entomol Plant Pathol &amp; Nematol, Moscow, ID 83843 USA; [Lins, Luana S. F.] CSIRO, Australian Natl Insect Collect, Canberra, ACT, Australia; [Desvignes, Thomas] Univ Oregon, Inst Neurosci, Eugene, OR 97403 USA</t>
  </si>
  <si>
    <t>Washington State University; Idaho; University of Idaho; Commonwealth Scientific &amp; Industrial Research Organisation (CSIRO); University of Oregon</t>
  </si>
  <si>
    <t>Kelley, JL (corresponding author), Washington State Univ, Sch Biol Sci, Pullman, WA 99164 USA.</t>
  </si>
  <si>
    <t>joanna.l.kelley@wsu.edu</t>
  </si>
  <si>
    <t>Lins, Luana S/J-2175-2012; Kelley, Joanna L/H-1693-2012</t>
  </si>
  <si>
    <t>Kelley, Joanna L/0000-0002-7731-605X; Lins, Luana/0000-0003-0808-2154; Hotaling, Scott/0000-0002-5965-0986</t>
  </si>
  <si>
    <t>Antarctic Bursary, a Washington State University New Faculty Seed Grant; NSF [OPP-1543383, OPP-1947040, OPP-1906015]</t>
  </si>
  <si>
    <t>Antarctic Bursary, a Washington State University New Faculty Seed Grant; NSF(National Science Foundation (NSF))</t>
  </si>
  <si>
    <t>We acknowledge funding from the Antarctic Bursary, a Washington State University New Faculty Seed Grant, and NSF awards (OPP-1543383 and OPP-1947040 supporting T.D. and OPP-1906015 to J.L.K). We thank Keegan Paras and Charlotte Walker for their help with analyses. We also acknowledge the Computational Resources Core of the University of Idaho Institute for Bioinformatics and Evolutionary Studies (IBEST).</t>
  </si>
  <si>
    <t>10.1016/j.ympev.2021.107211</t>
  </si>
  <si>
    <t>TF2HD</t>
  </si>
  <si>
    <t>WOS:000670532000005</t>
  </si>
  <si>
    <t>Moles, J; Berning, MI; Hooker, Y; Padula, V; Wilson, NG; Schrodl, M</t>
  </si>
  <si>
    <t>Moles, Juan; Berning, Maria I.; Hooker, Yuri; Padula, Vinicius; Wilson, Nerida G.; Schrodl, Michael</t>
  </si>
  <si>
    <t>Due South: The evolutionary history of Sub-Antarctic and Antarctic Tritoniidae nudibranchs</t>
  </si>
  <si>
    <t>Sea slugs; Tritonia; Tritoniella; Marine biodiversity; Southern Ocean; Pseudocryptic speciation</t>
  </si>
  <si>
    <t>OPISTHOBRANCHIA; GASTROPODA; MOLLUSCA; MODEL; CLADOBRANCHIA; BIODIVERSITY; BIOGEOGRAPHY; ZOOGEOGRAPHY; BIPOLARITY; PHYLOGENY</t>
  </si>
  <si>
    <t>The Tritoniidae provides one of the most famous model species for neurophysiology and behaviour, yet a welldeveloped phylogenetic framework for this family is still incomplete. In this study, we explored the species-level taxonomy, phylogenetic relationships, and geographic distributions of the tritoniid nudibranchs. During numerous expeditions, specimens from southern South America, Sub-Antarctic Islands, and Antarctica were collected, documented alive, and fixed for anatomical descriptions and genetic sequencing. DNA from 167 specimens were extracted and sequenced for mitochondrial (COI, 16S) and nuclear (H3) markers. An additional 109 sequences of all available tritoniids plus additional outgroups were downloaded from GenBank for comparative purposes. Maximum Likelihood under the GHOST model of evolution and Bayesian inference using the GTR + GAMMA model produced congruent topologies from concatenated alignments. The results of ABGD, GMYC, bPTP, and mPTP species delimitation analyses suggest many separately evolving units that do not coincide with traditionally recognized species limits. Southern Ocean Tritoniella and Tritonia species split into several previously unrecognized species. This result is in accordance with the limited dispersal abilities of some southern tritoniids. Along with the most complete phylogeny of Tritoniidae to date, we also provided many taxonomic notes at the species and genus level. Tritoniidae species are yet another example of under-recognized diversity in the Southern Ocean.</t>
  </si>
  <si>
    <t>[Moles, Juan; Berning, Maria I.; Schrodl, Michael] SNSB Bavarian State Collect Zool, Sect Mollusca, Munchhausenstr 21, D-81247 Munich, Germany; Ludwig Maximilians Univ Munchen, Biozentrum Ludwig Maximilians Univ, Munich, Germany; [Moles, Juan; Schrodl, Michael] Ludwig Maximilians Univ Munchen, GeoBio Ctr, Munich, Germany; [Hooker, Yuri] Univ Peruana Cayetano Heredia, Lab Biol Marina, Fac Ciencias &amp; Filosofia, Lima, Peru; [Padula, Vinicius] Univ Fed Rio de Janeiro, Fed Univ Rio de Janeiro, Natl Museum, BR-20940040 Rio de Janeiro, RJ, Brazil; [Wilson, Nerida G.] Western Australian Museum, Collect &amp; Res, 49 Kew St, Perth, WA 6106, Australia; [Wilson, Nerida G.] Univ Western Australia, Sch Biol Sci, 35 Stirling Hwy, Crawley, WA 6009, Australia</t>
  </si>
  <si>
    <t>University of Munich; University of Munich; Universidad Peruana Cayetano Heredia; Universidade Federal do Rio de Janeiro; Western Australian Museum; University of Western Australia</t>
  </si>
  <si>
    <t>Moles, J (corresponding author), SNSB Bavarian State Collect Zool, Sect Mollusca, Munchhausenstr 21, D-81247 Munich, Germany.</t>
  </si>
  <si>
    <t>moles.sanchez@gmail.com</t>
  </si>
  <si>
    <t>Moles, Juan/H-4786-2018; Wilson, Nerida/G-8433-2011</t>
  </si>
  <si>
    <t>Moles, Juan/0000-0003-4511-4055; Wilson, Nerida/0000-0002-0784-0200</t>
  </si>
  <si>
    <t>GeoBio-Center; CNPq-Brazil; DAAD-Germany; Alexander von Humboldt Foundation (Germany); [DFG-SPP1158]; [SCHR667/15-1]</t>
  </si>
  <si>
    <t>GeoBio-Center; CNPq-Brazil(Conselho Nacional de Desenvolvimento Cientifico e Tecnologico (CNPQ)); DAAD-Germany(Deutscher Akademischer Austausch Dienst (DAAD)); Alexander von Humboldt Foundation (Germany)(Alexander von Humboldt Foundation); ;</t>
  </si>
  <si>
    <t>We are indebted to the crew and participants of the RV Polarstern (AWI, Germany) during the ANT XVII/3, ANT XIX/5, and ANT-XXVIII/4, the RV Nathaniel B. Palmer (NSF, USA) during the NBP11-05 and NBP13-03 (National Science Foundation; ANT-1043749), and the Yepayek (CONAF, Chile) during the South Chile Fjord Expedition of 2006. For kind help in the field, we would like to thank the following friends: Roland Anton, Liz Atwood, Gunter Forsterra, Sebastian Gigglinger, Vreni Haussermann, Katrin Linse (BAS), Roland Melzer (ZSM), Sandra Millen, Martin Rauschert, Nicola Reiff, Greg Rouse, Klaus Salger, Xavier Sanchez, Dirk Schories, and Philippe Willenz. The Victor Hensen Magellan Campaign 1994 coordinated by Wolf Arntz (AWI) provided the material from the Beagle Channel. Special thanks go to Philippe Bouchet (BNHN, France), Matthias Glaubrecht (ZMB, Germany), David Reid (BMNH, UK), Anders Waren (SMNH, Sweden), Alejandro Tablado (MACN, Argentina), Fabian Tricarico (MACN), Greg Rouse, and Charlotte Seid (BIC-SIO, USA). We appreciate Dirk Schories for kindly providing photographs of live specimens and Joan Gimenez for helping with the map design. Software and literature were supported by the Faculty of Arts and Sciences, Harvard University, and Gonzalo Giribet. Three anonymous reviewers provided comments that helped improve this paper. This project was supported by the GeoBio-Center and funded by the DFG-SPP1158 to MS (SCHR667/15-1). This study was part of the PhD of VP funded by CNPq-Brazil and DAAD-Germany. JM postdoctoral fellowship was supported by the Alexander von Humboldt Foundation (Germany).</t>
  </si>
  <si>
    <t>10.1016/j.ympev.2021.107209</t>
  </si>
  <si>
    <t>WOS:000670532000004</t>
  </si>
  <si>
    <t>Bertinetti, S; Ardini, F; Caiazzo, L; Grotti, M</t>
  </si>
  <si>
    <t>Bertinetti, Stefano; Ardini, Francisco; Caiazzo, Laura; Grotti, Marco</t>
  </si>
  <si>
    <t>Determination of major elements in Antarctic snow by inductively coupled plasma optical emission spectrometry using a total-consumption sample introduction system</t>
  </si>
  <si>
    <t>SPECTROCHIMICA ACTA PART B-ATOMIC SPECTROSCOPY</t>
  </si>
  <si>
    <t>Antarctica; Snow; Trace metals; Sample introduction; Atomic emission spectrometry</t>
  </si>
  <si>
    <t>MASS SPECTROMETRY; ICE CORES; CHEMISTRY; CHAMBER; IONS</t>
  </si>
  <si>
    <t>A new procedure for the determination of Al, Ba, Ca, Fe, K, Mg, Na and Sr in snow samples by inductively coupled plasma optical emission spectrometry (ICP-OES) has been developed. The analytes were 100-fold preconcentrated by sample volume reduction and quantified by ICP-OES using the heated torch-integrated sample introduction system (hTISIS). After multivariate optimization of the hTISIS/ICP-OES operating parameters for maximum sensitivity and plasma robustness, fit-for-purpose performances were achieved, requiring only 20 mL of sample (as water equivalent). The analytical recovery was quantitative (except for Ba at low concentration, approximate to 80%) and the precision of the procedure was better than 5%. The limits of detection (Al: 0.10 ng g-1; Ba: 0.013 ng g-1; Ca: 0.52 ng g-1; Fe: 0.13 ng g-1; K: 0.38 ng g-1; Mg: 0.04 ng g-1; Na: 0.39 ng g-1; Sr: 0.003 ng g-1) were suitable for the analysis of Antarctic snow, with some limitation for Ba. The accuracy of the method was assessed by the analysis of the certified reference water NIST SRM 1640a. The application of the analytical method to sixty snow samples collected at Dome C, on the East Antarctic Plateau, provided self-consistent results, in good agreement with literature data.</t>
  </si>
  <si>
    <t>[Bertinetti, Stefano; Ardini, Francisco; Grotti, Marco] Univ Genoa, Dept Chem &amp; Ind Chem, Via Dodecaneso 31, I-16146 Genoa, Italy; [Caiazzo, Laura] Univ Florence, Dept Chem Ugo Schiff, Via Lastruccia 3, I-50019 Sesto Fiorentino, Italy; [Caiazzo, Laura] INFN Florence, Via Sansone 1, I-50019 Sesto Fiorentino, Italy</t>
  </si>
  <si>
    <t>University of Genoa; University of Florence; Istituto Nazionale di Fisica Nucleare (INFN)</t>
  </si>
  <si>
    <t>Grotti, M (corresponding author), Univ Genoa, Dept Chem &amp; Ind Chem, Via Dodecaneso 31, I-16146 Genoa, Italy.</t>
  </si>
  <si>
    <t>grotti@chimica.unige.it</t>
  </si>
  <si>
    <t>Bertinetti, Stefano/HTQ-6650-2023; Bertinetti, Stefano/AAZ-2831-2021; Caiazzo, Laura/AAT-1502-2020; Grotti, Marco/HGU-3949-2022</t>
  </si>
  <si>
    <t>Bertinetti, Stefano/0000-0003-1982-247X; Caiazzo, Laura/0000-0001-7932-2499; Grotti, Marco/0000-0001-6956-5761</t>
  </si>
  <si>
    <t>Italian National Antarctic Research Program [PNRA14_00091, PNRA16_00252]</t>
  </si>
  <si>
    <t>Italian National Antarctic Research Program</t>
  </si>
  <si>
    <t>This study was financially supported by the Italian National Antarctic Research Program (projects PNRA14_00091 and PNRA16_00252) . The authors wish to thank Dr. Elisa Parodi for the help in the sample analysis and Dr. Laura Magnasco for the collection of the literature data on major elements in Antarctic snow samples.</t>
  </si>
  <si>
    <t>0584-8547</t>
  </si>
  <si>
    <t>1873-3565</t>
  </si>
  <si>
    <t>SPECTROCHIM ACTA B</t>
  </si>
  <si>
    <t>Spectroc. Acta Pt. B-Atom. Spectr.</t>
  </si>
  <si>
    <t>10.1016/j.sab.2021.106231</t>
  </si>
  <si>
    <t>Spectroscopy</t>
  </si>
  <si>
    <t>TA9ED</t>
  </si>
  <si>
    <t>WOS:000667547300002</t>
  </si>
  <si>
    <t>Rees, ABH; Holt, KA; Hinojosa, JL; Newnham, RM; Eaves, S; Vandergoes, MJ; Sessions, AL; Wilmshurst, JM</t>
  </si>
  <si>
    <t>Rees, Andrew B. H.; Holt, Katherine A.; Hinojosa, Jessica L.; Newnham, Rewi M.; Eaves, Shaun; Vandergoes, Marcus J.; Sessions, Alex L.; Wilmshurst, Janet M.</t>
  </si>
  <si>
    <t>Duelling narratives of chironomids and pollen explain climate enigmas during The Last Glacial-Interglacial transition in North Island New Zealand</t>
  </si>
  <si>
    <t>Seasonality; Paleoclimatology; Interglacial; Late pleistocene; Holocene; New Zealand; Chironomids; Pollen; n-Alkanes; Transfer function</t>
  </si>
  <si>
    <t>SOUTHERN ALPS; YOUNGER DRYAS; HOLOCENE VEGETATION; LATE PLEISTOCENE; CHATHAM RISE; TONGARIRO REGION; ATMOSPHERIC CO2; WESTERLY WINDS; TRAINING SET; SW PACIFIC</t>
  </si>
  <si>
    <t>The Last Glacial-Interglacial Transition (LGIT) was a dynamic stage of Earth's history, and the difficulty of reconstructing this complex interval may be compounded by divergent proxy records, often collected from the same archive. To overcome this obstacle, we exploit the contrasting biological preferences of chironomids to both summer temperature and degree days (positive) and pollen to both the length of the growing season (positive) and winter duration (negative), recorded by a small lake in the central North Island of New Zealand. The climate proxy records are anchored to shifting zonal boundaries (e.g., southern westerly wind belt) via the hydrogen isotope ratios of leaf wax n-alkanes (delta D-wax). These results enable us to interrogate the structure of the LGIT and address two fundamental questions: 1) Is there evidence for Holocene-like temperatures during the early deglacial? and 2) Were early Holocene summers cool? Lake sediment delta D-wax values indicate a poleward retreat of the westerlies around 18,000 calibrated years before present (cal kyr BP), signalling the onset of climate amelioration for the region. Remarkably, the independently derived summer and mean annual temperature reconstructions are anti-phased. Chironomid-inferred summer temperatures surpass modern values by 17.5 cal kyr BP, whereas polleninferred mean annual temperatures remain supressed. Summers cool from 17.5 to 11 cal kyr BP, when they reach a minimum for the record, while winter and mean annual temperatures simultaneously warm to a maximum. The chironomid record generally traces regional insolation, although an Antarctic template imprints on this trend with declining summer temperatures during the Antarctic Cold Reversal (ACR) and warming during the Younger Dryas (YD). Forest development during the early LGIT, on the other hand, is supressed by cool, dry winters, punctuated by severe frosts, despite being set against a backdrop of overall warming; the successional pattern is best explained by a latitudinal retreat of the westerlies. Our findings underscore the complementarity of multiple bioproxy responses and reveal the importance of seasonal heat and energy distribution during the LGIT. (C) 2021 Elsevier Ltd. All rights reserved.</t>
  </si>
  <si>
    <t>[Rees, Andrew B. H.; Newnham, Rewi M.; Eaves, Shaun] Victoria Univ Wellington, Sch Geog Environm &amp; Earth Sci, Wellington 6012, New Zealand; [Holt, Katherine A.] Massey Univ, Sch Agr &amp; Environm, Palmerston North 4410, New Zealand; [Hinojosa, Jessica L.; Sessions, Alex L.] CALTECH, Dept Geol &amp; Planetary Sci, Pasadena, CA 91125 USA; [Vandergoes, Marcus J.] GNS Sci, Lower Hutt 5040, New Zealand; [Wilmshurst, Janet M.] Manaaki Whenua Landcare Res, Lincoln 7608, New Zealand; [Wilmshurst, Janet M.] Univ Auckland, Sch Environm, Private Bag 92019, Auckland 1142, New Zealand</t>
  </si>
  <si>
    <t>Victoria University Wellington; Massey University; California Institute of Technology; GNS Science - New Zealand; Landcare Research - New Zealand; University of Auckland</t>
  </si>
  <si>
    <t>Rees, ABH (corresponding author), Victoria Univ Wellington, Sch Geog Environm &amp; Earth Sci, Wellington 6012, New Zealand.</t>
  </si>
  <si>
    <t>andrew.rees@vuw.ac.nz; k.holt@massey.ac.nz; hinojosa@gps.caltech.edu; rewi.newnham@vuw.ac.nz; shaun.eaves@vuw.ac.nz; m.vandergoes@gns.cri.nz; sessions@caltech.edu; wilmshurstj@landcareresearch.co.nz</t>
  </si>
  <si>
    <t>Wilmshurst, Janet M/C-2209-2009; Rees, Andrew/Q-1417-2017</t>
  </si>
  <si>
    <t>Rees, Andrew/0000-0003-4026-7765</t>
  </si>
  <si>
    <t>Massey University Research Fund (MURF); NZ Natural Hazards Research Platform through the Learning to Live with Volcanic Risk programme</t>
  </si>
  <si>
    <t>We are very grateful to the indigenous occupants of the area, Nga?ti Rangi, for their permission and blessing to access and core Lake Rangatauanui. We thank David Feek, Shane Cronin, Michael Turner, and Anja Moebis for undertaking the coring, and Anja Moebis for generating the EMPA data. We are grateful for the lab work performed by Siwen Wang and supported by Fenfang Wu at Caltech to generate the leaf wax data. We would also like to thank the efforts of our two reviewers, who made this a better manuscript. This work was funded by the Massey University Research Fund (MURF) and NZ Natural Hazards Research Platform through the Learning to Live with Volcanic Risk programme.</t>
  </si>
  <si>
    <t>10.1016/j.quascirev.2021.106997</t>
  </si>
  <si>
    <t>SV1YQ</t>
  </si>
  <si>
    <t>WOS:000663620900005</t>
  </si>
  <si>
    <t>Fang, M</t>
  </si>
  <si>
    <t>Fang, Miao</t>
  </si>
  <si>
    <t>A GA-Based BP Artificial Neural Network for Estimating Monthly Surface Air Temperature of the Antarctic during 1960-2019</t>
  </si>
  <si>
    <t>ADVANCES IN METEOROLOGY</t>
  </si>
  <si>
    <t>SPATIAL INTERPOLATION; MASS-BALANCE; ICE SHELVES; CLIMATE; PRECIPITATION; 21ST-CENTURY; ELEVATION</t>
  </si>
  <si>
    <t>The spatial sparsity and temporal discontinuity of station-based SAT data do not allow to fully understand Antarctic surface air temperature (SAT) variations over the last decades. Generating spatiotemporally continuous SAT fields using spatial interpolation represents an approach to address this problem. This study proposed a backpropagation artificial neural network (BPANN) optimized by a genetic algorithm (GA) to estimate the monthly SAT fields of the Antarctic continent for the period 1960-2019. Cross-validations demonstrate that the interpolation accuracy of GA-BPANN is higher than that of two benchmark methods, i.e., BPANN and multiple linear regression (MLR). The errors of the three interpolation methods feature month-dependent variations and tend to be lower (larger) in warm (cold) months. Moreover, the annual SAT had a significant cooling trend during 1960-1989 (trend = -0.07 degrees C/year; p=0.04) and a significant warming trend during 1990-2019 (trend = 0.06 degrees C/year; p=0.05). The monthly SAT did not show consistent cooling or warming trends in all months, e.g., SAT did not show a significant cooling trend in January and December during 1960-1989 and a significant warming trend in January, June, July, and December during 1990-2019. Furthermore, the Antarctic SAT decreases with latitude and the distance away from the coastline, but the eastern Antarctic is overall colder than the western Antarctic. Spatiotemporal inconsistencies on SAT trends are apparent over the Antarctic continent, e.g., most of the Antarctic continent showed a cooling trend during 1960-1989 (trend = -0.20 similar to 0 degrees C/year; p=0.01 similar to 0.27) with a peak over the central part of the eastern Antarctic continent, while the entire Antarctic continent showed a warming trend during 1990-2019 (trend = 0 similar to 0.10 degrees C/year; p=0.04 similar to 0.42) with a peak over the higher latitudes.</t>
  </si>
  <si>
    <t>[Fang, Miao] Chinese Acad Sci, Northwest Inst Ecoenvironm &amp; Resource, Lanzhou 730000, Peoples R China</t>
  </si>
  <si>
    <t>Chinese Academy of Sciences</t>
  </si>
  <si>
    <t>Fang, M (corresponding author), Chinese Acad Sci, Northwest Inst Ecoenvironm &amp; Resource, Lanzhou 730000, Peoples R China.</t>
  </si>
  <si>
    <t>mfang@lzb.ac.cn</t>
  </si>
  <si>
    <t>Fang, Miao/0000-0003-3021-2728</t>
  </si>
  <si>
    <t>Strategic Priority Research Program of the Chinese Academy of Sciences [XDA19070103]; National Key R&amp;D Program of China [2017YFA0603302]; National Science Foundation of China [41701046]; CAS Light of West China Program</t>
  </si>
  <si>
    <t>Strategic Priority Research Program of the Chinese Academy of Sciences(Chinese Academy of Sciences); National Key R&amp;D Program of China; National Science Foundation of China(National Natural Science Foundation of China (NSFC)); CAS Light of West China Program</t>
  </si>
  <si>
    <t>This work was jointly supported by the Strategic Priority Research Program of the Chinese Academy of Sciences (Grant no. XDA19070103), the National Key R&amp;D Program of China (Grant no. 2017YFA0603302), the National Science Foundation of China project under (Grant no. 41701046), and the CAS Light of West China Program.</t>
  </si>
  <si>
    <t>1687-9309</t>
  </si>
  <si>
    <t>1687-9317</t>
  </si>
  <si>
    <t>ADV METEOROL</t>
  </si>
  <si>
    <t>Adv. Meteorol.</t>
  </si>
  <si>
    <t>JUN 7</t>
  </si>
  <si>
    <t>10.1155/2021/8278579</t>
  </si>
  <si>
    <t>TA2EJ</t>
  </si>
  <si>
    <t>WOS:000667065400001</t>
  </si>
  <si>
    <t>Davidsen, JG; Bordeleau, X; Eldoy, SH; Whoriskey, F; Power, M; Crossin, GT; Buhariwalla, C; Gaudin, P</t>
  </si>
  <si>
    <t>Davidsen, Jan Grimsrud; Bordeleau, Xavier; Eldoy, Sindre Havarstein; Whoriskey, Frederick; Power, Michael; Crossin, Glenn T.; Buhariwalla, Colin; Gaudin, Philippe</t>
  </si>
  <si>
    <t>Marine habitat use and feeding ecology of introduced anadromous brown trout at the colonization front of the sub-Antarctic Kerguelen archipelago</t>
  </si>
  <si>
    <t>CHARR SALVELINUS-ALPINUS; SALMO-TRUTTA-L; ARCTIC CHARR; STABLE-ISOTOPES; TROPHIC POSITION; STOMACH CONTENTS; ENERGY-INTAKE; MIGRATION; FOOD; CONTINUUM</t>
  </si>
  <si>
    <t>In 1954, brown trout were introduced to the Kerguelen archipelago (49 degrees S, 70 degrees E), a pristine, sub-Antarctic environment previously devoid of native freshwater fishes. Trout began spreading rapidly via coastal waters to colonize adjacent watersheds, however, recent and unexpectedly the spread has slowed. To better understand the ecology of the brown trout here, and why their expansion has slowed, we documented the marine habitat use, foraging ecology, and environmental conditions experienced over one year by 50 acoustically tagged individuals at the colonization front. Trout mainly utilized the marine habitat proximate to their tagging site, ranging no further than 7 km and not entering any uncolonized watersheds. Nutritional indicators showed that trout were in good condition at the time of tagging. Stomach contents and isotope signatures in muscle of additional trout revealed a diet of amphipods (68%), fish (23%), isopods (6%), and zooplankton (6%). The small migration distances observed, presence of suitable habitat, and rich local foraging opportunities suggest that trout can achieve their resource needs close to their home rivers. This may explain why the expansion of brown trout at Kerguelen has slowed.</t>
  </si>
  <si>
    <t>[Davidsen, Jan Grimsrud; Eldoy, Sindre Havarstein] Norwegian Univ Sci &amp; Technol, NTNU Univ Museum, Trondheim, Norway; [Bordeleau, Xavier; Crossin, Glenn T.] Dalhousie Univ, Dept Biol, Halifax, NS, Canada; [Bordeleau, Xavier] Maurice Lamontagne Inst, Dept Fisheries &amp; Oceans Canada, Mont Joli, PQ G5H 3Z4, Canada; [Whoriskey, Frederick] Dalhousie Univ, Ocean Tracking Network, 1355 Oxford St, Halifax, NS B3H 4R2, Canada; [Power, Michael] Univ Waterloo, Dept Biol, Waterloo, ON N2L 3G1, Canada; [Buhariwalla, Colin] Nova Scotia Dept Fisheries &amp; Aquaculture, Pictou, NS, Canada; [Gaudin, Philippe] Univ Pau &amp; Pays Adour, E2s UPPA, INRAE, ECOBIOP,Aquapole INRAE, St Pee Sur Nivelle, France</t>
  </si>
  <si>
    <t>Norwegian University of Science &amp; Technology (NTNU); Dalhousie University; Fisheries &amp; Oceans Canada; Dalhousie University; University of Waterloo; INRAE; Universite de Pau et des Pays de l'Adour</t>
  </si>
  <si>
    <t>Davidsen, JG (corresponding author), Norwegian Univ Sci &amp; Technol, NTNU Univ Museum, Trondheim, Norway.</t>
  </si>
  <si>
    <t>jan.davidsen@ntnu.no</t>
  </si>
  <si>
    <t>Davidsen, Jan Grimsrud/KFC-1539-2024; Davidsen, Jan Grimsrud/AAN-5974-2020</t>
  </si>
  <si>
    <t>Davidsen, Jan Grimsrud/0000-0002-7253-2327; Eldoy, Sindre Havarstein/0000-0002-7992-4921</t>
  </si>
  <si>
    <t>French Polar Institute (IPEV, Institut Polaire Paul-Emile Victor); LTSER (Zone Atelier Antarctique et Terres Australes); NTNU University Museum; Dalhousie University's Ocean Tracking Network; NSERC</t>
  </si>
  <si>
    <t>French Polar Institute (IPEV, Institut Polaire Paul-Emile Victor); LTSER (Zone Atelier Antarctique et Terres Australes); NTNU University Museum; Dalhousie University's Ocean Tracking Network; NSERC(Natural Sciences and Engineering Research Council of Canada (NSERC))</t>
  </si>
  <si>
    <t>The project was financed by the French Polar Institute (IPEV, Institut Polaire Paul-Emile Victor) as a part of the SALMEVOL program and the LTSER (Zone Atelier Antarctique et Terres Australes), with additional support from the NTNU University Museum and Dalhousie University's Ocean Tracking Network. We especially thank Lucie Aulus, Mathieu Buoro, Jacques Labonne, Clement Rio, Jessy Monod and Armand Patoir for assistance with field work and Aurelie Manicki for genetic analyses Stable isotope analyses were supported by an NSERC Discovery Grant to MP. Stomach contents were analysed by Lars Ronning and aging was done by Aslak Darre Sjursen. Thanks to Lucie Aulus-Giacosa for providing Fig. 1 and to Marc Daverdin with Fig. 2. The logistical support provided by the Terres Australes et Antarctiques Francaises administration and the Southern French Natural Reserve at Kerguelen was invaluable, and much appreciated as well was the help and support of the IPEV logistics team at Kerguelen.</t>
  </si>
  <si>
    <t>10.1038/s41598-021-91405-x</t>
  </si>
  <si>
    <t>SU1AA</t>
  </si>
  <si>
    <t>WOS:000662871900022</t>
  </si>
  <si>
    <t>Cavanagh, RD; Melbourne-Thomas, J; Grant, SM; Barnes, DKA; Hughes, KA; Halfter, S; Meredith, MP; Murphy, EJ; Trebilco, R; Hill, SL</t>
  </si>
  <si>
    <t>Cavanagh, Rachel D.; Melbourne-Thomas, Jess; Grant, Susie M.; Barnes, David K. A.; Hughes, Kevin A.; Halfter, Svenja; Meredith, Michael P.; Murphy, Eugene J.; Trebilco, Rowan; Hill, Simeon L.</t>
  </si>
  <si>
    <t>Future Risk for Southern Ocean Ecosystem Services Under Climate Change (vol 7, 615214, 2021)</t>
  </si>
  <si>
    <t>Southern Ocean; Antarctic krill; blue carbon; ecosystem services; climate change; Antarctic tourism; Antarctic Treaty System; IPCC (Intergovernmental Panel on Climate Change)</t>
  </si>
  <si>
    <t>[Cavanagh, Rachel D.; Grant, Susie M.; Barnes, David K. A.; Hughes, Kevin A.; Meredith, Michael P.; Murphy, Eugene J.; Hill, Simeon L.] British Antarctic Survey, Cambridge, England; [Melbourne-Thomas, Jess; Trebilco, Rowan] CSIRO Oceans &amp; Atmosphere, Hobart, Tas, Australia; [Melbourne-Thomas, Jess; Trebilco, Rowan] Univ Tasmania, Ctr Marine Socioecol, Hobart, Tas, Australia; [Halfter, Svenja] Univ Tasmania, Inst Marine &amp; Antarctic Studies, Hobart, Tas, Australia</t>
  </si>
  <si>
    <t>UK Research &amp; Innovation (UKRI); Natural Environment Research Council (NERC); NERC British Antarctic Survey; Commonwealth Scientific &amp; Industrial Research Organisation (CSIRO); University of Tasmania; University of Tasmania</t>
  </si>
  <si>
    <t>Cavanagh, RD (corresponding author), British Antarctic Survey, Cambridge, England.</t>
  </si>
  <si>
    <t>rcav@bas.ac.uk</t>
  </si>
  <si>
    <t>murphy, eugene/GZL-1620-2022; Melbourne-Thomas, Jess/N-2437-2019; Simeon, Hill L/B-2307-2008; Halfter, Svenja/AGW-5810-2022; Hughes, Kevin/JVZ-0793-2024; Trebilco, Rowan/I-5311-2012</t>
  </si>
  <si>
    <t>Melbourne-Thomas, Jess/0000-0001-6585-876X; Halfter, Svenja/0000-0002-0480-0350; Trebilco, Rowan/0000-0001-9712-8016</t>
  </si>
  <si>
    <t>10.3389/fmars.2021.707934</t>
  </si>
  <si>
    <t>SU1DB</t>
  </si>
  <si>
    <t>WOS:000662879900001</t>
  </si>
  <si>
    <t>Lhardy, F; Bouttes, N; Roche, DM; Crosta, X; Waelbroeck, C; Paillard, D</t>
  </si>
  <si>
    <t>Lhardy, Fanny; Bouttes, Nathaelle; Roche, Didier M.; Crosta, Xavier; Waelbroeck, Claire; Paillard, Didier</t>
  </si>
  <si>
    <t>Impact of Southern Ocean surface conditions on deep ocean circulation during the LGM: a model analysis</t>
  </si>
  <si>
    <t>LAST GLACIAL MAXIMUM; MERIDIONAL OVERTURNING CIRCULATION; ANTARCTIC SEA-ICE; LATE QUATERNARY; INTERMEDIATE COMPLEXITY; CLIMATE; ATLANTIC; TEMPERATURE; SENSITIVITY; RECONSTRUCTION</t>
  </si>
  <si>
    <t>Changes in water mass distribution are considered to be a significant contributor to the atmospheric CO2 concentration drop to around 186 ppm recorded during the Last Glacial Maximum (LGM). Yet simulating a glacial Atlantic Meridional Overturning Circulation (AMOC) in agreement with paleotracer data remains a challenge, with most models from previous Paleoclimate Modelling Intercomparison Project (PMIP) phases showing a tendency to simulate a strong and deep North Atlantic Deep Water (NADW) instead of the shoaling inferred from proxy records of water mass distribution. Conversely, the simulated Antarctic Bottom Water (AABW) is often reduced compared to its preindustrial volume, and the Atlantic Ocean stratification is underestimated with respect to paleoproxy data. Inadequate representation of surface conditions, driving deep convection around Antarctica, may explain inaccurately simulated bottom water properties in the Southern Ocean. We investigate here the impact of a range of surface conditions in the Southern Ocean in the iLOVECLIM model using nine simulations obtained with different LGM boundary conditions associated with the ice sheet reconstruction (e.g., changes of elevation, bathymetry, and land-sea mask) and/or modeling choices related to sea-ice export, formation of salty brines, and freshwater input. Based on model-data comparison of sea-surface temperatures and sea ice, we find that only simulations with a cold Southern Ocean and a quite extensive sea-ice cover show an improved agreement with proxy records of sea ice, despite systematic model biases in the seasonal and regional patterns. We then show that the only simulation which does not display a much deeper NADW is obtained by parameterizing the sinking of brines along Antarctica, a modeling choice reducing the open-ocean convection in the Southern Ocean. These results highlight the importance of the representation of convection processes, which have a large impact on the water mass properties, while the choice of boundary conditions appears secondary for the model resolution and variables considered in this study.</t>
  </si>
  <si>
    <t>[Lhardy, Fanny; Bouttes, Nathaelle; Roche, Didier M.; Paillard, Didier] Univ Paris Saclay, CEA, CNRS, UVSQ,Lab Sci Climat &amp; Environm,LSCE,IPSL, F-91198 Gif Sur Yvette, France; [Roche, Didier M.] Vrije Univ Amsterdam, Fac Sci, Cluster Earth &amp; Climate, de Boelelaan 1085, NL-1081 HV Amsterdam, Netherlands; [Crosta, Xavier] Univ Bordeaux, CNRS, EPHE, UMR 5805,EPOC, F-33615 Pessac, France; [Waelbroeck, Claire] Univ Paris 06, Lab Oceanog &amp; Climat Expt &amp; Approches Numer LOCEA, IPSL, F-75005 Paris, France</t>
  </si>
  <si>
    <t>Universite Paris Saclay; CEA; Centre National de la Recherche Scientifique (CNRS); Universite Paris Cite; Vrije Universiteit Amsterdam; Universite de Bordeaux; Centre National de la Recherche Scientifique (CNRS); CNRS - National Institute for Earth Sciences &amp; Astronomy (INSU); Universite PSL; Ecole Pratique des Hautes Etudes (EPHE); Universite Paris Cite; Sorbonne Universite</t>
  </si>
  <si>
    <t>Lhardy, F (corresponding author), Univ Paris Saclay, CEA, CNRS, UVSQ,Lab Sci Climat &amp; Environm,LSCE,IPSL, F-91198 Gif Sur Yvette, France.</t>
  </si>
  <si>
    <t>fanny.lhardy@lsce.ipsl.fr</t>
  </si>
  <si>
    <t>IPO, PAGES/JXY-7546-2024; Roche, Didier M./C-9875-2010</t>
  </si>
  <si>
    <t>Lhardy, Fanny/0000-0001-6694-8695; Roche, Didier M./0000-0001-6272-9428</t>
  </si>
  <si>
    <t>French National program LEFE (Les Enveloppes Fluides et l'Environnement); Centre national de la recherche scientifique (CNRS); Vrije Universiteit Amsterdam; Commisariat a l'energie atomatique et aux energies alternatives (CEA); Universite Versailles Saint-Quentin-en-Yvelines (UVSQ); European Research Council</t>
  </si>
  <si>
    <t>French National program LEFE (Les Enveloppes Fluides et l'Environnement); Centre national de la recherche scientifique (CNRS)(Centre National de la Recherche Scientifique (CNRS)); Vrije Universiteit Amsterdam; Commisariat a l'energie atomatique et aux energies alternatives (CEA); Universite Versailles Saint-Quentin-en-Yvelines (UVSQ); European Research Council(European Research Council (ERC))</t>
  </si>
  <si>
    <t>The authors acknowledge the support from the French National program LEFE (Les Enveloppes Fluides et l'Environnement). Fanny Lhardy acknowledges the use of the LSCE storage and computing facilities. Didier M. Roche, Nathaelle Bouttes, Claire Waelbroeck, and Xavier Crosta are supported by the Centre national de la recherche scientifique (CNRS). Didier M. Roche is also supported by the Vrije Universiteit Amsterdam. Didier Paillard is supported by the Commisariat a l'energie atomatique et aux energies alternatives (CEA) and Fanny Lhardy by the Universite Versailles Saint-Quentin-en-Yvelines (UVSQ). Claire Waelbroeck acknowledges the support from the European Research Council. We thank Aurelien Quiquet for scientific discussions and technical support on the use of iLOVECLIM. We also thank Masa Kageyama and Jean-Yves Peterschmitt for their technical help. Last but not least, we thank the two anonymous reviewers for their help with the manuscript.</t>
  </si>
  <si>
    <t>10.5194/cp-17-1139-2021</t>
  </si>
  <si>
    <t>SR7WA</t>
  </si>
  <si>
    <t>WOS:000661256000001</t>
  </si>
  <si>
    <t>Zou, X; Bromwich, DH; Montenegro, A; Wang, SH; Bai, LS</t>
  </si>
  <si>
    <t>Zou, Xun; Bromwich, David H.; Montenegro, Alvaro; Wang, Sheng-Hung; Bai, Lesheng</t>
  </si>
  <si>
    <t>Major surface melting over the Ross Ice Shelf part II: Surface energy balance</t>
  </si>
  <si>
    <t>clouds; polar WRF; surface energy balance; West Antarctic surface melting</t>
  </si>
  <si>
    <t>POLAR WEATHER RESEARCH; MCMURDO DRY VALLEYS; ANTARCTIC PENINSULA; MIXED-PHASE; FOEHN WINDS; CLOUDS; MICROPHYSICS; MODEL; IMPACT; REANALYSES</t>
  </si>
  <si>
    <t>The West Antarctic climate is under the combined impact of synoptic and regional drivers. Regional factors have contributed to more frequent surface melting with a similar pattern recently, which accelerates ice loss and favors global sea-level rise. Part I of this research identified and quantified the two leading drivers of Ross Ice Shelf (RIS) melting, viz. foehn effect and direct marine air advection, based on Polar WRF (PWRF) simulations. In this article (Part II), the impact of clouds and the pattern of surface energy balance (SEB) during melting are analyzed, as well as the relationship among these three factors. In general, net shortwave radiation dominates the surface melting with a daily mean value above 100 W center dot m(-2). Foehn clearance and decreasing surface albedo respectively increase the downward shortwave radiation and increase the absorbed shortwave radiation, significantly contributing to surface melting in areas such as western Marie Byrd Land. Also, extensive downward longwave radiation caused by low-level liquid cloud favors the melting expansion over the middle and coastal RIS. With significant moisture transport occurring over more than 40% of the time during the melting period, the impact from net radiation can be amplified. Moreover, frequent foehn cases can enhance the turbulent mixing on the leeside. With a Froude number (Fr) around 1 or slightly larger, fast downdrafts or reversed wind flows can let the warm foehn air penetrate down to the surface with up to 20 W center dot m(-2) in sensible heat flux transfer to the ground. However, when the Froude number is close to infinity with breaking waves on the leeside, the contribution of turbulence to the surface warming is reduced. With better understanding of the regional factors for the surface melting, prediction of the future stability of West Antarctic ice shelves can be improved.</t>
  </si>
  <si>
    <t>[Zou, Xun; Bromwich, David H.; Wang, Sheng-Hung; Bai, Lesheng] Ohio State Univ, Byrd Polar &amp; Climate Res Ctr, Polar Meteorol Grp, 1090 Carmack Rd,Scott Hall, Columbus, OH 43210 USA; [Zou, Xun; Bromwich, David H.; Montenegro, Alvaro] Ohio State Univ, Dept Geog, Atmospher Sci Program, Columbus, OH 43210 USA</t>
  </si>
  <si>
    <t>University System of Ohio; Ohio State University; University System of Ohio; Ohio State University</t>
  </si>
  <si>
    <t>Zou, X (corresponding author), Ohio State Univ, Byrd Polar &amp; Climate Res Ctr, Polar Meteorol Grp, 1090 Carmack Rd,Scott Hall, Columbus, OH 43210 USA.</t>
  </si>
  <si>
    <t>zou.219@osu.edu</t>
  </si>
  <si>
    <t>zou, xun/AAV-1306-2020; Keyes, Dennis/AAZ-9285-2021; Montenegro, Alvaro/B-4744-2013; zou, xun/I-2438-2015</t>
  </si>
  <si>
    <t>Bromwich, David/0000-0003-4608-8071; Montenegro, Alvaro/0000-0001-6848-1996; Wang, Sheng-Hung/0000-0002-8057-835X; zou, xun/0000-0003-1620-3198</t>
  </si>
  <si>
    <t>Division of Antarctic Sciences [PLR1341695, PLR1443443]; Office of Polar Programs [1823135]; Office of Polar Programs (OPP); Directorate For Geosciences [1823135] Funding Source: National Science Foundation</t>
  </si>
  <si>
    <t>Division of Antarctic Sciences; Office of Polar Programs(National Science Foundation (NSF)NSF - Directorate for Geosciences (GEO)); Office of Polar Programs (OPP); Directorate For Geosciences(National Science Foundation (NSF)NSF - Directorate for Geosciences (GEO))</t>
  </si>
  <si>
    <t>Division of Antarctic Sciences, Grant/Award Numbers: PLR1341695, PLR1443443; Office of Polar Programs, Grant/Award Number: 1823135</t>
  </si>
  <si>
    <t>10.1002/qj.4105</t>
  </si>
  <si>
    <t>TU1NL</t>
  </si>
  <si>
    <t>WOS:000658418700001</t>
  </si>
  <si>
    <t>Gálvez, FE; Saldarriaga-Córdoba, M; Huovinen, P; Silva, AX; Gómez, I</t>
  </si>
  <si>
    <t>Galvez, Francisca E.; Saldarriaga-Cordoba, Monica; Huovinen, Pirjo; Silva, Andrea X.; Gomez, Ivan</t>
  </si>
  <si>
    <t>Revealing the Characteristics of the Antarctic Snow Alga Chlorominima collina gen. et sp. nov. Through Taxonomy, Physiology, and Transcriptomics</t>
  </si>
  <si>
    <t>Antarctic; Chlorominima; polyphasic approach; psychrophilic; snow algae; cysts; transcriptome</t>
  </si>
  <si>
    <t>MOLECULAR PHYLOGENY; SECONDARY STRUCTURE; WINDMILL ISLANDS; SEA-ICE; CHLOROMONAS; VOLVOCALES; CHLOROPHYCEAE; CHLAMYDOMONAS; ITS2; TEMPERATURE</t>
  </si>
  <si>
    <t>Snow algae play crucial roles in cold ecosystems, however, many aspects related to their biology, adaptations and especially their diversity are not well known. To improve the identification of snow algae from colored snow, in the present study we used a polyphasic approach to describe a new Antarctic genus, Chlorominima with the species type Chlorominima collina. This new taxon was isolated of colored snow collected from the Collins Glacier (King George Island) in the Maritime Antarctic region. Microscopy revealed biflagellated ellipsoidal cells with a rounded posterior end, a C-shaped parietal chloroplast without a pyrenoid, eyespot, and discrete papillae. Several of these characteristics are typical of the genus Chloromonas, but the new isolate differs from the described species of this genus by the unusual small size of the cells, the presence of several vacuoles, the position of the nucleus and the shape of the chloroplast. Molecular analyzes confirm that the isolated alga does not belong to Chloromonas and therefore forms an independent lineage, which is closely related to other unidentified Antarctic and Arctic strains, forming a polar subclade in the Stephanosphaerinia phylogroup within the Chlamydomonadales. Secondary structure comparisons of the ITS2 rDNA marker support the idea that new strain is a distinct taxon within of Caudivolvoxa. Physiological experiments revealed psychrophilic characteristics, which are typical of true snow algae. This status was confirmed by the partial transcriptome obtained at 2 degrees C, in which various cold-responsive and cryoprotective genes were identified. This study explores the systematics, cold acclimatization strategies and their implications for the Antarctic snow flora.</t>
  </si>
  <si>
    <t>[Galvez, Francisca E.; Huovinen, Pirjo; Gomez, Ivan] Univ Austral Chile, Fac Ciencias, Inst Ciencias Marinas &amp; Limnol, Valdivia, Chile; [Galvez, Francisca E.; Huovinen, Pirjo; Gomez, Ivan] Ctr FONDAP Invest Dinam Ecosistemas Marinos Altas, Valdivia, Chile; [Saldarriaga-Cordoba, Monica] Univ Bernardo OHiggins, Ctr Invest Recursos Nat &amp; Sustentabilidad CIRENYS, Santiago, Chile; [Silva, Andrea X.] Univ Austral Chile, Fac Ciencias, Inst Ciencias Ambientales &amp; Evolut, Valdivia, Chile; [Silva, Andrea X.] Univ Austral Chile, Vicerrectoria Invest Desarrollo &amp; Creac Artist, AUSTRAL Omics, Valdivia, Chile</t>
  </si>
  <si>
    <t>Universidad Austral de Chile; Universidad Bernardo O'Higgins; Universidad Austral de Chile; Universidad Austral de Chile</t>
  </si>
  <si>
    <t>Gálvez, FE (corresponding author), Univ Austral Chile, Fac Ciencias, Inst Ciencias Marinas &amp; Limnol, Valdivia, Chile.;Gálvez, FE (corresponding author), Ctr FONDAP Invest Dinam Ecosistemas Marinos Altas, Valdivia, Chile.</t>
  </si>
  <si>
    <t>franciscaelibethgalvez@gmail.com</t>
  </si>
  <si>
    <t>Huovinen, Pirjo/0000-0002-7754-4933; Gomez, Ivan/0000-0001-8381-3792; Saldarriaga-Cordoba, Monica/0000-0002-4768-4919</t>
  </si>
  <si>
    <t>Fondecyt [1161129, 1201053]; Fondap IDEAL [15150003]; INACh [DG_12_19]</t>
  </si>
  <si>
    <t>Fondecyt(Comision Nacional de Investigacion Cientifica y Tecnologica (CONICYT)CONICYT FONDECYT); Fondap IDEAL; INACh</t>
  </si>
  <si>
    <t>This research was funded by the grants Fondecyt 1161129, Fondecyt 1201053 and Fondap IDEAL 15150003 to IG and PH, and INACh DG_12_19 to FEG.</t>
  </si>
  <si>
    <t>10.3389/fpls.2021.662298</t>
  </si>
  <si>
    <t>SV4WZ</t>
  </si>
  <si>
    <t>WOS:000663823700001</t>
  </si>
  <si>
    <t>Chen, CJ; Zhang, SH; Zhao, Y; Pei, JL; Liu, JM; Gao, L</t>
  </si>
  <si>
    <t>Chen, Changjian; Zhang, Shuan-Hong; Zhao, Yue; Pei, Jun-Ling; Liu, Jian-Min; Gao, Liang</t>
  </si>
  <si>
    <t>Genetic relations between enclaves and their host granitoids from Doumer Island, northern Antarctic Peninsula: Evidence from mineral chemistry, Sr-Nd and Li isotopes</t>
  </si>
  <si>
    <t>LITHOS</t>
  </si>
  <si>
    <t>Enclave; Sr-Nd isotopes; Li isotope; Restite; Crystallized margin</t>
  </si>
  <si>
    <t>CENTRAL SIERRA-NEVADA; EASTERN PALMER LAND; MICROGRANULAR ENCLAVES; TRACE-ELEMENTS; LITHIUM; MAGMA; ROCKS; FRACTIONATION; CRUSTAL; ORIGIN</t>
  </si>
  <si>
    <t>Dark enclaves in the late Paleocene granitoids of Doumer Island, northern Antarctic Peninsula, were examined by field investigations, zircon U-Pb geochronology, mineral chemistry, whole-rock major-and trace-elements, and Sr-Nd-Li isotopes to elucidate their origins and genetic relationships with host granitoids. The enclaves and host granitoids have similar zircon U-Pb ages of 54.6-55.7 Ma and indistinguishable Nd-Sr isotopes of epsilon(Nd(t)) = 4.7-6.1, I-Sr = 0.7036-0.7039, indicating a cogenetic relationship. A pyroxene-dioritic enclave (WA16-06-3) is a cognate restite with peritectic phases that resulted from amphibole-dehydration melting at temperatures above 800 degrees C and at low-P (7-10 kbar). Two other enclaves (WA16-07-2 and WA15-27-3) are fragments of the chilled margins of the conduits entrained in the later insurgent felsic magma. The flat, right-leaning REE patterns are accompanied by positive Eu anomalies (Eu/Eu* = 1.07-1.16) in the dark enclaves and negative Eu anomalies (Eu/Eu* = 0.72-0.88) in the host intrusions. The accumulation of restitic plagioclase and peritectic pyroxene could have induced the positive Eu anomalies in the dark enclaves. The P-T conditions estimated from cummingtonite rims on pyroxene in the pyroxene-dioritic enclave suggest near-isothermal decompression in an environment of fast exhumation. Enclave WA16-07-2 is part of an intense swarm of enclaves near the pluton margin, and crystallized from a less evolved melt that was mechanically eroded by the host magma, indicating a transient state of magma flow. The dioritic enclaves were transported in the form of ductile crystal-melt mushes that were rotated in the insurgent viscous granitoid magma. The enclaves become rounder and sparser towards the interior of the host pluton. Dehydration melting of metabasalt could have produced these melts that are rich in delta Li-7 while leaving a lighter delta Li-7 pyroxene-rich residue at the source. The underlying cause of these events was the retreat of the subducting proto-Pacific (Phoenix) oceanic slab beneath the western Antarctic Peninsula that triggered melting of asthenospheric mantle, with basaltic magma underplating and melting a juvenile metabasaltic lower crust. (C) 2021 Elsevier B.V. All rights reserved.</t>
  </si>
  <si>
    <t>[Chen, Changjian; Zhang, Shuan-Hong; Zhao, Yue; Pei, Jun-Ling; Liu, Jian-Min] Chinese Acad Geol Sci, Inst Geomech, MNR Key Lab Paleomagnetism &amp; Tecton Reconstruct, Beijing 100081, Peoples R China; [Chen, Changjian; Zhang, Shuan-Hong; Zhao, Yue; Pei, Jun-Ling; Liu, Jian-Min] China Geol Survey, Res Ctr Polar Geosci, Beijing 100081, Peoples R China; [Chen, Changjian] Guilin Univ Technol, Gemol Inst, Guilin 541004, Peoples R China; [Gao, Liang] China Univ Geosci, Sch Ocean Sci, Beijing 100083, Peoples R China</t>
  </si>
  <si>
    <t>China Geological Survey; Chinese Academy of Geological Sciences; Institute of Geomechanics, Chinese Academy of Geological Sciences; China Geological Survey; Guilin University of Technology; China University of Geosciences</t>
  </si>
  <si>
    <t>Zhang, SH (corresponding author), Chinese Acad Geol Sci, Inst Geomech, MNR Key Lab Paleomagnetism &amp; Tecton Reconstruct, Beijing 100081, Peoples R China.;Zhang, SH (corresponding author), China Geol Survey, Res Ctr Polar Geosci, Beijing 100081, Peoples R China.</t>
  </si>
  <si>
    <t>tozhangshuanhong@163.com</t>
  </si>
  <si>
    <t>Zhang, Shuan-Hong/G-6488-2010</t>
  </si>
  <si>
    <t>Zhang, Shuan-Hong/0000-0002-2177-9039; Gao, Liang/0000-0003-3741-9377</t>
  </si>
  <si>
    <t>National Natural Science Foundation of China [41930218, 41941004, 41725011]; China Geological Survey</t>
  </si>
  <si>
    <t>National Natural Science Foundation of China(National Natural Science Foundation of China (NSFC)); China Geological Survey(China Geological Survey)</t>
  </si>
  <si>
    <t>Funding for this research was provided by the National Natural Science Foundation of China [grant no. 41930218, 41941004, 41725011] and China Geological Survey. We thank staffs from Chilean Antarctic Institute/INACH for logistic support. We are grateful to Yilin Xiao and Fang Huang who help make arrangements for Li isotopic analyses at USTC, and to Xiaolong Huang and Linli Chen who aided in arrangement of CAMECA electronic probe analyses. We appreciate very detailed reviews with thoughtful and constructive comments from two anonymous reviewers and Editor (Prof. Michael Roden), which significantly improved the quality of our paper.</t>
  </si>
  <si>
    <t>0024-4937</t>
  </si>
  <si>
    <t>1872-6143</t>
  </si>
  <si>
    <t>Lithos</t>
  </si>
  <si>
    <t>10.1016/j.lithos.2021.106235</t>
  </si>
  <si>
    <t>Geochemistry &amp; Geophysics; Mineralogy</t>
  </si>
  <si>
    <t>UD6DC</t>
  </si>
  <si>
    <t>WOS:000687294400003</t>
  </si>
  <si>
    <t>Hughes, KA; Convey, P; Turner, J</t>
  </si>
  <si>
    <t>Hughes, Kevin A.; Convey, Peter; Turner, John</t>
  </si>
  <si>
    <t>Developing resilience to climate change impacts in Antarctica: An evaluation of Antarctic Treaty System protected area policy</t>
  </si>
  <si>
    <t>ENVIRONMENTAL SCIENCE &amp; POLICY</t>
  </si>
  <si>
    <t>Antarctic Treaty; Antarctic Specially Managed Area; Environmental Protocol; Management plan; Climate warming; Antarctic Peninsula</t>
  </si>
  <si>
    <t>KING GEORGE ISLAND; BIOLOGICAL INVASIONS; SIGNY ISLAND; CIERVA POINT; TERRESTRIAL; CONSERVATION; PENINSULA; BIODIVERSITY; METHODOLOGY; ERADICATION</t>
  </si>
  <si>
    <t>Antarctica is increasingly vulnerable to climate change impacts, with the continent predicted to warm by -4 degrees C by 2100 under a 'business as usual' greenhouse gas emission scenario. Simultaneously, human activity, primarily in the form of scientific research and the fishing and tourism industries, is putting increasing pressure on Antarctic and Southern Ocean environments and ecosystems. We evaluate the effectiveness of the Antarctic area protection system in promoting resilience to climate change impacts. Under the framework of the Antarctic Treaty System (ATS), terrestrial and marine areas can be designated to protect locations of scientific, environmental, historic and intrinsic value and to facilitate operational coordination to minimise environmental impact. However, climate change is not mentioned explicitly in the Protocol on Environmental Protection to the Antarctic Treaty and is little considered in guidelines for the designation and management of the region's existing protected areas. Climate change impacts are considered in only 17% of Antarctic Specially Protected Area (ASPA) management plans and, at a time when threats to Antarctic environments are increasing, the last decade has seen an 84% decline in ASPA designation rate compared with levels in the 1980s. Nevertheless, momentum is building within the Scientific Committee on Antarctic Research (SCAR) and the ATS' s Committee on Environmental Protection (CEP) to deliver an evidence-based, integrated response to climate change that includes the use of protected areas. The Antarctic scientific community is well-placed to support decision-makers in the use of existing conservation management tools through provision of climate change forecasts at sub-regional scales, data on anticipated environmental change, and predicted species and ecosystems responses. Ultimately, reducing global greenhouse gas emission will provide the greatest protection from climate change impacts within Antarctica.</t>
  </si>
  <si>
    <t>[Hughes, Kevin A.; Convey, Peter; Turner, John] British Antarctic Survey, Nat Environm Res Council, Madingley Rd, Cambridge CB3 0ET, England</t>
  </si>
  <si>
    <t>Hughes, KA (corresponding author), British Antarctic Survey, Nat Environm Res Council, Madingley Rd, Cambridge CB3 0ET, England.</t>
  </si>
  <si>
    <t>kehu@bas.ac.uk</t>
  </si>
  <si>
    <t>Convey, Peter/AAV-5728-2020; Hughes, Kevin/JVZ-0793-2024; Mokhtara, Charafeddine/ACV-5174-2022</t>
  </si>
  <si>
    <t>Convey, Peter/0000-0001-8497-9903; Mokhtara, Charafeddine/0000-0002-4643-3798; Turner, John/0000-0002-6111-5122</t>
  </si>
  <si>
    <t>Natural Environment Research Council; NERC [bas0100036, bas0100032] Funding Source: UKRI</t>
  </si>
  <si>
    <t>Natural Environment Research Council(UK Research &amp; Innovation (UKRI)Natural Environment Research Council (NERC)); NERC(UK Research &amp; Innovation (UKRI)Natural Environment Research Council (NERC))</t>
  </si>
  <si>
    <t>This paper contributes to the British Antarctic Survey (BAS) Polar Science for Planet Earth `Biodiversity, Evolution and Adaptation' Team, the BAS Environment Office Long Term Monitoring and Survey project (EO-LTMS) and the `State of the Antarctic Ecosystem' (AntEco) and `Integrated Science to Inform Antarctic and Southern Ocean Conservation' (Ant-ICON) research programmes of the Scientific Committee on Antarctic Research (SCAR). The authors are supported by Natural Environment Research Council core funding to BAS. We thank Laura Gerrish from the Mapping and Geographic Information Centre, BAS, for preparing Fig. 2 using data from the SCAR Antarctic Digital Database. We are grateful to Tony Phillips (BAS) for the preparation of Fig. 1 and to Michael Meredith for discussions on the impacts of climate change on the Southern Ocean. We acknowledge the helpful comments of three anonymous reviewers.</t>
  </si>
  <si>
    <t>1462-9011</t>
  </si>
  <si>
    <t>1873-6416</t>
  </si>
  <si>
    <t>ENVIRON SCI POLICY</t>
  </si>
  <si>
    <t>Environ. Sci. Policy</t>
  </si>
  <si>
    <t>10.1016/j.envsci.2021.05.023</t>
  </si>
  <si>
    <t>UK2DP</t>
  </si>
  <si>
    <t>WOS:000691785800002</t>
  </si>
  <si>
    <t>Ostwald, A; Tulloch, VJD; Kyne, PM; Bax, NJ; Dunstan, PK; Ferreira, LC; Thums, M; Upston, J; Adams, VM</t>
  </si>
  <si>
    <t>Ostwald, Ashlea; Tulloch, Vivitskaia J. D.; Kyne, Peter M.; Bax, Nicholas J.; Dunstan, Piers K.; Ferreira, Luciana C.; Thums, Michele; Upston, Judy; Adams, Vanessa M.</t>
  </si>
  <si>
    <t>Mapping threats to species: Method matters</t>
  </si>
  <si>
    <t>Threat management; North Marine Region; Migratory marine species; Conservation; Threatened marine species; Cumulative impact</t>
  </si>
  <si>
    <t>MARINE; IMPACT; MAP; MANAGEMENT; STRESSORS</t>
  </si>
  <si>
    <t>Mapping the various anthropogenic threats to species is a key tool to support and guide effective decisions for management of these threats. While there are a range of approaches to mapping threats, the extent to which these provide consistent or differing results has not been investigated. The overall aim of this study was to address this gap by explicitly testing how threat mapping methods vary. To achieve this, we examined the extent to which conservation management priorities change depending on the method used to map threats. This includes methods with increasing levels of spatial and species-specific information: (1) cumulative threats; (2) cumulative threats restricted to species distributions; (3) threat-species hotspots; and, (4) cumulative impacts. We used Australia's North Marine Region as a case study and focused on 16 species deemed the highest priority for threat management due to their heightened vulnerability to these threats. Visual and tabulated comparisons of these four maps reveal how refining the underlying detail transforms the spatial footprint of each map and therefore, the management implications. Across all four methods there was consistent identification of the coastal zone as the area with highest threats. We found that the cumulative impact method required the greatest data inputs, but in return provided the greatest level of detail in terms of where to act and which threats to manage for vulnerable species.</t>
  </si>
  <si>
    <t>[Ostwald, Ashlea; Adams, Vanessa M.] Univ Tasmania, Sch Geog Planning &amp; Spatial Sci, Hobart, Tas 7000, Australia; [Tulloch, Vivitskaia J. D.; Kyne, Peter M.] Charles Darwin Univ, Res Inst Environm &amp; Livelihoods, Darwin, NT 0909, Australia; [Tulloch, Vivitskaia J. D.] Univ British Columbia, Dept Forest &amp; Conservat Sci, Vancouver, BC, Canada; [Bax, Nicholas J.; Dunstan, Piers K.; Upston, Judy] CSIRO Oceans &amp; Atmosphere, Hobart, Tas 7001, Australia; [Bax, Nicholas J.] Univ Tasmania, Inst Marine &amp; Antarctic Sci, Hobart, Tas 7000, Australia; [Ferreira, Luciana C.; Thums, Michele] Univ Western Australia, Indian Ocean Marine Res Ctr, Australian Inst Marine Sci, Crawley, WA, Australia</t>
  </si>
  <si>
    <t>University of Tasmania; Charles Darwin University; University of British Columbia; Commonwealth Scientific &amp; Industrial Research Organisation (CSIRO); University of Tasmania; Australian Institute of Marine Science; University of Western Australia</t>
  </si>
  <si>
    <t>Adams, VM (corresponding author), Univ Tasmania, Sch Geog Planning &amp; Spatial Sci, Hobart, Tas 7000, Australia.</t>
  </si>
  <si>
    <t>vm.adams@utas.edu.au</t>
  </si>
  <si>
    <t>Bax, Nicholas J/A-2321-2012; Dunstan, Piers K/B-7309-2016; Thums, Michele/A-3850-2013; Adams, Vanessa M./A-3834-2012; Tulloch, Vivitskaia/GNH-4554-2022</t>
  </si>
  <si>
    <t>Adams, Vanessa M./0000-0002-3509-7901; Kyne, Peter/0000-0003-4494-2625; Cerqueira Ferreira, Luciana/0000-0001-6755-2799</t>
  </si>
  <si>
    <t>Marine Biodiversity Hub; Australian Government's National Environmental Science Program (NESP)</t>
  </si>
  <si>
    <t>Marine Biodiversity Hub; Australian Government's National Environmental Science Program (NESP)(Australian Government)</t>
  </si>
  <si>
    <t>VT, MT, LF, NJB, PD, and PMK were supported by the Marine Biodiversity Hub, a collaborative partnership supported through funding from the Australian Government's National Environmental Science Program (NESP). We thank all data providers and in particular: Australian Fisheries Management Authority, Queensland Fisheries, Northern Territory Government, National Outfall Database, The Environmental Resources Information Network of the Department of Agriculture, Water and the Environment and the NESP Marine Biodiversity Hub (a full list of threat data sources are provided in the Appendix).</t>
  </si>
  <si>
    <t>10.1016/j.marpol.2021.104614</t>
  </si>
  <si>
    <t>WOS:000687298500002</t>
  </si>
  <si>
    <t>Hop, H; Wold, A; Meyer, A; Bailey, A; Hatlebakk, M; Kwasniewski, S; Leopold, P; Kuklinski, P; Soreide, JE</t>
  </si>
  <si>
    <t>Hop, Haakon; Wold, Anette; Meyer, Amelie; Bailey, Allison; Hatlebakk, Maja; Kwasniewski, Slawomir; Leopold, Peter; Kuklinski, Piotr; Soreide, Janne E.</t>
  </si>
  <si>
    <t>Winter-Spring Development of the Zooplankton Community Below Sea Ice in the Arctic Ocean</t>
  </si>
  <si>
    <t>plankton bloom; phytoplankton; ice algae; zooplankton; Calanus; seasonal migration; Arctic; sea ice</t>
  </si>
  <si>
    <t>DIEL VERTICAL MIGRATION; WATER BOUNDARY CURRENT; CALANUS-GLACIALIS; OVERWINTERING CALANUS; YERMAK PLATEAU; NANSEN BASIN; LIFE-CYCLE; ATLANTIC; NORTH; SVALBARD</t>
  </si>
  <si>
    <t>The impact of the rapidly changing Arctic on zooplankton community structure and seasonal behaviour is not yet understood. Here we examine 6 months of under-ice zooplankton observations from the N-ICE2015 expedition (January to June 2015) in the Nansen Basin and on the Yermak Plateau north of Svalbard. Stratified sampling in the water column was done with MultiNet during the entire expedition, and sampling in the upper 5 m below sea ice was performed during April-May by divers using a hand-held net. Hydrographic conditions were dominated by northward-flowing warm and saline Atlantic Water at intermediate depth, and southward-flowing cold Polar Surface Water in the upper 100 m. The mesozooplankton was dominated by copepods. Most numerous were the small ubiquitous Oithona similis in the upper 200 m, with Microcalanus spp. and Triconia borealis further down the water column. Calanus finmarchicus dominated among the Calanus species while Metridia longa was also numerous. The most abundant deep-water copepods were Paraeuchaeta spp. and Spinocalanus spp. Arrow worms (Chaetognatha) and comb jellies (Ctenophora) were the most numerous non-copepods. The mesozooplankton community was more dependent on surrounding water mass characteristics, such as salinity and depth, than geographical location. Algal food availability, which was closely linked to seasonality, explained the community changes seen in surface waters in May and June due to seasonal ascent and recruitment. Seasonal changes from winter to spring mostly involved an increase in the herbivorous C. finmarchicus and its nauplii in the upper 200 m of the water column coinciding with the peak of the phytoplankton bloom in late May. The Yermak Plateau and adjacent Nansen Basin were characterised by oceanic North Atlantic and Arctic species, many of which are deep water specialists. Despite the late onset of the spring bloom due to consolidated sea ice, both North Atlantic and Arctic species successfully reproduced in the study area. This explains the species-rich mesozooplankton community in this region as opposed to the less productive central Arctic Ocean. Future prospects of less sea ice and earlier onset of the bloom will likely be positive for the overall secondary production by both Arctic and boreal zooplankton in this region.</t>
  </si>
  <si>
    <t>[Hop, Haakon; Wold, Anette; Meyer, Amelie; Bailey, Allison; Leopold, Peter] Norwegian Polar Res Inst, Fram Ctr, Tromso, Norway; [Meyer, Amelie] Univ Tasmania, Inst Marine &amp; Antarctic Studies, Hobart, Tas, Australia; [Meyer, Amelie] Univ Tasmania, Australian Res Council Ctr Excellence Climate Ext, Hobart, Tas, Australia; [Hatlebakk, Maja; Soreide, Janne E.] Univ Ctr Svalbard, Longyearbyen, Norway; [Kwasniewski, Slawomir; Kuklinski, Piotr] Polish Acad Sci, Inst Oceanol, Sopot, Poland</t>
  </si>
  <si>
    <t>Norwegian Polar Institute; University of Tasmania; University of Tasmania; University Centre Svalbard (UNIS); Polish Academy of Sciences; Institute of Oceanology of the Polish Academy of Sciences</t>
  </si>
  <si>
    <t>Hop, H (corresponding author), Norwegian Polar Res Inst, Fram Ctr, Tromso, Norway.</t>
  </si>
  <si>
    <t>Haakon.Hop@npolar.no</t>
  </si>
  <si>
    <t>Wold, Anette/JXN-7159-2024; Soreide, Janne/HNI-3758-2023</t>
  </si>
  <si>
    <t>Kuklinski, Piotr/0000-0002-1507-215X; Kwasniewski, Slawomir/0000-0003-3104-0761</t>
  </si>
  <si>
    <t>Centre of Ice, Climate and Ecosystems at the Norwegian Polar Institute through the N-ICE2015 project; Ministry of Foreign Affairs, Norway, through the ID Arctic project; FADE project of the Arctic Ocean Flagship of the Fram Centre; ARC Centre of Excellence for Climate Extremes [CE170100023]; Polish Scientific Council project KongHau_ZOOM [2375/Svalbard/2012/2]</t>
  </si>
  <si>
    <t>Centre of Ice, Climate and Ecosystems at the Norwegian Polar Institute through the N-ICE2015 project; Ministry of Foreign Affairs, Norway, through the ID Arctic project; FADE project of the Arctic Ocean Flagship of the Fram Centre; ARC Centre of Excellence for Climate Extremes; Polish Scientific Council project KongHau_ZOOM</t>
  </si>
  <si>
    <t>This study was supported by the Centre of Ice, Climate and Ecosystems at the Norwegian Polar Institute through the N-ICE2015 project. Additional support was provided by the Ministry of Foreign Affairs, Norway, through the ID Arctic project, and the FADE project of the Arctic Ocean Flagship of the Fram Centre. AM acknowledges support from the ARC Centre of Excellence for Climate Extremes (CE170100023) . Financing support was also provided from the Polish Scientific Council project KongHau_ZOOM (2375/Svalbard/2012/2) .</t>
  </si>
  <si>
    <t>JUN 4</t>
  </si>
  <si>
    <t>10.3389/fmars.2021.609480</t>
  </si>
  <si>
    <t>SU1YL</t>
  </si>
  <si>
    <t>WOS:000662937900001</t>
  </si>
  <si>
    <t>Fudge, M; Leith, P</t>
  </si>
  <si>
    <t>Fudge, Maree; Leith, Peat</t>
  </si>
  <si>
    <t>Rethinking Participation in Commons Governance: Political Representation and Participation</t>
  </si>
  <si>
    <t>SOCIETY &amp; NATURAL RESOURCES</t>
  </si>
  <si>
    <t>Citizen participation; common pool resources; natural resource governance; stakeholders; political representation; legitimacy; democracy; institutional analysis</t>
  </si>
  <si>
    <t>STAKEHOLDER PARTICIPATION; ENVIRONMENTAL-MANAGEMENT; PUBLIC-PARTICIPATION; DEMOCRACY; LEGITIMACY; POLICY; ENGAGEMENT; LESSONS; OCEANS</t>
  </si>
  <si>
    <t>Participatory practices are prominent strategies for increasing the legitimacy and effectiveness of resource commons governance. Despite increases in participatory practices legitimacy of such governance is in decline. Remaining commons are sites of conflict echoing wider disillusionment in democratic governance across mature liberal democracies. Much participatory governance literature argues that more involvement of citizens in deliberation and decision-making is the solution, turning away from representative practices to strengthen direct participation in commons governance. In this paper we draw on seminal work in political representation theory to examine legitimacy and political agency in participatory governance practices. We develop a conceptual lens drawing on key elements of: Hannah Pitkin's The Concept of Representation; Michael Saward's Representative Claim; and, Vivan Schmidt's throughput model of legitimacy. The lens comprises three 'conditions' for analyzing how political agency of participants is constituted through institutional processes: authorization, dissent and exit, and accountability. We argue that this conceptual lens can serve the participatory turn in commons governance by enabling explicit consideration of the links between political participation and representation as foundations of democratic legitimacy.</t>
  </si>
  <si>
    <t>[Fudge, Maree] Univ Tasmania, Inst Marine &amp; Antarctic Studies, Hobart, Tas, Australia; [Fudge, Maree] Univ Tasmania, Ctr Marine Socioecol, Private Bag 129, Hobart, Tas 7001, Australia; [Leith, Peat] Univ Tasmania, Tasmanian Inst Agr, Hobart, Tas, Australia; [Leith, Peat] CSIRO, Agr &amp; Food, Hobart, Tas, Australia</t>
  </si>
  <si>
    <t>University of Tasmania; University of Tasmania; University of Tasmania; Commonwealth Scientific &amp; Industrial Research Organisation (CSIRO)</t>
  </si>
  <si>
    <t>Fudge, M (corresponding author), Univ Tasmania, Inst Marine &amp; Antarctic Studies, Hobart, Tas, Australia.;Fudge, M (corresponding author), Univ Tasmania, Ctr Marine Socioecol, Private Bag 129, Hobart, Tas 7001, Australia.</t>
  </si>
  <si>
    <t>maree.fudge@utas.edu.au</t>
  </si>
  <si>
    <t>Leith, Peat/ABB-2829-2021</t>
  </si>
  <si>
    <t>Fudge, Maree/0000-0003-1327-0053</t>
  </si>
  <si>
    <t>0894-1920</t>
  </si>
  <si>
    <t>1521-0723</t>
  </si>
  <si>
    <t>SOC NATUR RESOUR</t>
  </si>
  <si>
    <t>Soc. Nat. Resour.</t>
  </si>
  <si>
    <t>10.1080/08941920.2021.1931592</t>
  </si>
  <si>
    <t>Development Studies; Environmental Studies; Regional &amp; Urban Planning; Sociology</t>
  </si>
  <si>
    <t>Development Studies; Environmental Sciences &amp; Ecology; Public Administration; Sociology</t>
  </si>
  <si>
    <t>TY9DC</t>
  </si>
  <si>
    <t>WOS:000659393400001</t>
  </si>
  <si>
    <t>Buizert, C; Fudge, TJ; Roberts, WHG; Steig, EJ; Sherriff-Tadano, S; Ritz, C; Lefebvre, E; Edwards, J; Kawamura, K; Oyabu, I; Motoyama, H; Kahle, EC; Jones, TR; Abe-Ouchi, A; Obase, T; Martin, C; Corr, H; Severinghaus, JP; Beaudette, R; Epifanio, JA; Brook, EJ; Martin, K; Chappellaz, J; Aoki, S; Nakazawa, T; Sowers, TA; Alley, RB; Ahn, J; Sigl, M; Severi, M; Dunbar, NW; Svensson, A; Fegyveresi, JM; He, CF; Liu, ZY; Zhu, J; Otto-Bliesner, BL; Lipenkov, VY; Kageyama, M; Schwander, J</t>
  </si>
  <si>
    <t>Buizert, Christo; Fudge, T. J.; Roberts, William H. G.; Steig, Eric J.; Sherriff-Tadano, Sam; Ritz, Catherine; Lefebvre, Eric; Edwards, Jon; Kawamura, Kenji; Oyabu, Ikumi; Motoyama, Hideaki; Kahle, Emma C.; Jones, Tyler R.; Abe-Ouchi, Ayako; Obase, Takashi; Martin, Carlos; Corr, Hugh; Severinghaus, Jeffrey P.; Beaudette, Ross; Epifanio, Jenna A.; Brook, Edward J.; Martin, Kaden; Chappellaz, Jerome; Aoki, Shuji; Nakazawa, Takakiyo; Sowers, Todd A.; Alley, Richard B.; Ahn, Jinho; Sigl, Michael; Severi, Mirko; Dunbar, Nelia W.; Svensson, Anders; Fegyveresi, John M.; He, Chengfei; Liu, Zhengyu; Zhu, Jiang; Otto-Bliesner, Bette L.; Lipenkov, Vladimir Y.; Kageyama, Masa; Schwander, Jakob</t>
  </si>
  <si>
    <t>Antarctic surface temperature and elevation during the Last Glacial Maximum</t>
  </si>
  <si>
    <t>ABRUPT CLIMATE-CHANGE; EPICA DOME-C; ATMOSPHERIC NITROUS-OXIDE; CORE WD2014 CHRONOLOGY; VOSTOK ICE CORE; AIR-CONTENT; SIPLE DOME; POLAR ICE; VOLCANIC SYNCHRONIZATION; ISOTOPIC COMPOSITION</t>
  </si>
  <si>
    <t>Water-stable isotopes in polar ice cores are a widely used temperature proxy in paleoclimate reconstruction, yet calibration remains challenging in East Antarctica. Here, we reconstruct the magnitude and spatial pattern of Last Glacial Maximum surface cooling in Antarctica using borehole thermometry and firn properties in seven ice cores. West Antarctic sites cooled similar to 10 degrees C relative to the preindustrial period. East Antarctic sites show a range from similar to 4 degrees to similar to 7 degrees C cooling, which is consistent with the results of global climate models when the effects of topographic changes indicated with ice core air-content data are included, but less than those indicated with the use of water-stable isotopes calibrated against modern spatial gradients. An altered Antarctic temperature inversion during the glacial reconciles our estimates with water-isotope observations.</t>
  </si>
  <si>
    <t>[Buizert, Christo; Edwards, Jon; Epifanio, Jenna A.; Brook, Edward J.; Martin, Kaden] Oregon State Univ, Coll Earth Ocean &amp; Atmospher Sci, Corvallis, OR 97331 USA; [Fudge, T. J.; Steig, Eric J.; Kahle, Emma C.] Univ Washington, Dept Earth &amp; Space Sci, Seattle, WA 98195 USA; [Roberts, William H. G.] Northumbria Univ, Geog &amp; Environm Sci, Newcastle Upon Tyne, Tyne &amp; Wear, England; [Sherriff-Tadano, Sam; Abe-Ouchi, Ayako; Obase, Takashi] Univ Tokyo, Atmosphere &amp; Ocean Res Inst, Kashiwa, Chiba 2778568, Japan; [Ritz, Catherine; Lefebvre, Eric; Chappellaz, Jerome] Univ Grenoble Alpes, IGE, CNRS, IRD, Grenoble, France; [Kawamura, Kenji; Oyabu, Ikumi; Motoyama, Hideaki] Natl Inst Polar Res, Tachikawa, Tokyo, Japan; [Kawamura, Kenji] Grad Univ Adv Studies SOKENDAI, Dept Polar Sci, Tokyo, Japan; [Kawamura, Kenji] Japan Agcy Marine Sci &amp; Technol JAMSTEC, Yokosuka, Kanagawa, Japan; [Jones, Tyler R.] Univ Colorado, Inst Arctic &amp; Alpine Res, Boulder, CO 80309 USA; [Martin, Carlos; Corr, Hugh] British Antarctic Survey, Cambridge, England; [Severinghaus, Jeffrey P.; Beaudette, Ross] Univ Calif San Diego, Scripps Inst Oceanog, La Jolla, CA 92093 USA; [Aoki, Shuji; Nakazawa, Takakiyo] Tohoku Univ, Ctr Atmospher &amp; Ocean Studies, Grad Sch Sci, Sendai, Miyagi 9808578, Japan; [Sowers, Todd A.; Alley, Richard B.] Penn State Univ, Earth &amp; Environm Syst Inst, University Pk, PA 16802 USA; [Ahn, Jinho] Seoul Natl Univ, Sch Earth &amp; Environm Sci, Seoul 08826, South Korea; [Sigl, Michael; Schwander, Jakob] Univ Bern, Phys Inst, Climate &amp; Environm Phys, CH-3012 Bern, Switzerland; [Sigl, Michael; Schwander, Jakob] Univ Bern, Oeschger Ctr Climate Change Res, CH-3012 Bern, Switzerland; [Severi, Mirko] Univ Florence, Dept Chem Ugo Schiff, Florence, Italy; [Severi, Mirko] ISP CNR, Inst Polar Sci, Venice, Italy; [Dunbar, Nelia W.] New Mexico Inst Min &amp; Technol, Dept Earth &amp; Environm Sci, New Mexico Bur Geol &amp; Mineral Resources, Socorro, NM 87801 USA; [Svensson, Anders] Univ Copenhagen, Niels Bohr Inst, Copenhagen, Denmark; [Fegyveresi, John M.] No Arizona Univ, Sch Earth &amp; Sustainabil, Flagstaff, AZ 86011 USA; [He, Chengfei; Liu, Zhengyu] Ohio State Univ, Dept Geog, Columbus, OH 43210 USA; [Zhu, Jiang; Otto-Bliesner, Bette L.] Natl Ctr Atmospher Res, POB 3000, Boulder, CO 80307 USA; [Lipenkov, Vladimir Y.] Arctic &amp; Antarctic Res Inst, Climate &amp; Environm Res Lab, St Petersburg 199397, Russia; [Kageyama, Masa] Univ Paris Saclay, Lab Sci Climat &amp; Environm IPSL, Gif Sur Yvette, France</t>
  </si>
  <si>
    <t>Oregon State University; University of Washington; University of Washington Seattle; Northumbria University; University of Tokyo; Centre National de la Recherche Scientifique (CNRS); Communaute Universite Grenoble Alpes; Universite Grenoble Alpes (UGA); Institut de Recherche pour le Developpement (IRD); Research Organization of Information &amp; Systems (ROIS); National Institute of Polar Research (NIPR) - Japan; Graduate University for Advanced Studies - Japan; Japan Agency for Marine-Earth Science &amp; Technology (JAMSTEC); University of Colorado System; University of Colorado Boulder; UK Research &amp; Innovation (UKRI); Natural Environment Research Council (NERC); NERC British Antarctic Survey; University of California System; University of California San Diego; Scripps Institution of Oceanography; Tohoku University; Pennsylvania Commonwealth System of Higher Education (PCSHE); Pennsylvania State University; Pennsylvania State University - University Park; Seoul National University (SNU); University of Bern; University of Bern; University of Florence; Consiglio Nazionale delle Ricerche (CNR); Istituto di Scienze Polari (ISP-CNR); New Mexico Institute of Mining Technology; University of Copenhagen; Niels Bohr Institute; Northern Arizona University; University System of Ohio; Ohio State University; National Center Atmospheric Research (NCAR) - USA; Arctic &amp; Antarctic Research Institute; Universite Paris Cite; CEA; Centre National de la Recherche Scientifique (CNRS); Universite Paris Saclay</t>
  </si>
  <si>
    <t>Buizert, C (corresponding author), Oregon State Univ, Coll Earth Ocean &amp; Atmospher Sci, Corvallis, OR 97331 USA.</t>
  </si>
  <si>
    <t>christo.buizert@oregonstate.edu</t>
  </si>
  <si>
    <t>Svensson, Anders/A-2643-2010; Zhu, Jiang/H-6040-2011; Oyabu, Ikumi/AGE-1164-2022; He, chengfei/JPL-7259-2023; KAGEYAMA, Masa/F-2389-2010; Abe-Ouchi, Ayako A/M-6359-2013; Severi, Mirko/J-2508-2012; Steig, Eric J/G-9088-2015; Corr, Hugh/C-5398-2011; Dunbar, Nelia W./HZL-8693-2023; Kawamura, Kenji/C-7660-2011</t>
  </si>
  <si>
    <t>Svensson, Anders/0000-0002-4364-6085; Zhu, Jiang/0000-0002-0908-5130; Oyabu, Ikumi/0000-0001-8017-1085; He, chengfei/0000-0003-1453-9691; Abe-Ouchi, Ayako A/0000-0003-1745-5952; Dunbar, Nelia W./0000-0002-5181-937X; Sigl, Michael/0000-0002-9028-9703; Fudge, Tyler/0000-0002-6818-7479; Kawamura, Kenji/0000-0003-1163-700X; Ritz, Catherine/0000-0003-0785-8571; Roberts, William/0000-0002-8249-1901</t>
  </si>
  <si>
    <t>US National Science Foundation (NSF) [1643394, 1643355, 1602435, 1443105, 1141839, 1043092, 0537930, 1443472, 1643722, 1738934]; University of Washington Royalty Research Fund; MEXT; Japan Society for the Promotion of Science KAKENHI [18749002, 26241011, 15KK0027, 17H06316, 20H00639, 20H04327, 22310003, 15J12515, 17H06104, 17H06323, 20K14552]; National Research Foundation of Korea (NRF) [NRF-2018R1A2B3003256, NRF-2018R1A5A1024958]; European Research Council (ERC) under the European Union [820047]; IT-MIUR-PNRA (Italian Antarctic Research Program) through the BE-OI project [PNRA16_00124]; Villum Investigator Project IceFlow [16572]; French Polar Institute (IPEV) [902]; Italian Antarctic Program (PNRA); Italian Antarctic Program (ENEA); NSF; National Center for Atmospheric Research (NCAR) - NSF [1852977]; Beyond EPICA -Oldest Ice Core EU Coordination and Support Action; Directorate For Geosciences; Office of Polar Programs (OPP) [1141839, 1643355] Funding Source: National Science Foundation; European Research Council (ERC) [820047] Funding Source: European Research Council (ERC); Grants-in-Aid for Scientific Research [20H00639, 20H04327, 15J12515, 17H06316, 22310003, 15KK0027, 18749002, 20K14552] Funding Source: KAKEN</t>
  </si>
  <si>
    <t>US National Science Foundation (NSF)(National Science Foundation (NSF)); University of Washington Royalty Research Fund(University of Washington); MEXT(Ministry of Education, Culture, Sports, Science and Technology, Japan (MEXT)); Japan Society for the Promotion of Science KAKENHI(Ministry of Education, Culture, Sports, Science and Technology, Japan (MEXT)Japan Society for the Promotion of ScienceGrants-in-Aid for Scientific Research (KAKENHI)); National Research Foundation of Korea (NRF)(National Research Foundation of Korea); European Research Council (ERC) under the European Union(European Research Council (ERC)); IT-MIUR-PNRA (Italian Antarctic Research Program) through the BE-OI project; Villum Investigator Project IceFlow; French Polar Institute (IPEV); Italian Antarctic Program (PNRA); Italian Antarctic Program (ENEA); NSF(National Science Foundation (NSF)); National Center for Atmospheric Research (NCAR) - NSF; Beyond EPICA -Oldest Ice Core EU Coordination and Support Action; Directorate For Geosciences; Office of Polar Programs (OPP)(National Science Foundation (NSF)NSF - Directorate for Geosciences (GEO)); European Research Council (ERC)(European Research Council (ERC)Spanish Government); Grants-in-Aid for Scientific Research(Ministry of Education, Culture, Sports, Science and Technology, Japan (MEXT)Japan Society for the Promotion of ScienceGrants-in-Aid for Scientific Research (KAKENHI))</t>
  </si>
  <si>
    <t>This work was supported by the US National Science Foundation (NSF) (grants 1643394 to C.B.; 1643355 to T.J.F. and E.J.S.; 1602435, 1443105, 1141839, 1043092, 0537930, and 1443105 to E.J.S.; 1443472 and 1643722 to E.J.B.; and 1738934 to R.B.A.); the University of Washington Royalty Research Fund (to T.J.F.); MEXT and the Japan Society for the Promotion of Science KAKENHI (grant numbers 18749002, 26241011, 15KK0027, 17H06316, and 20H00639 to K.K.; 20H04327 to I.O.; 22310003 to T.N.; and 15J12515, 17H06104, 17H06323, and 20K14552 to A.A.-O.); the National Research Foundation of Korea (NRF) (grants NRF-2018R1A2B3003256 and NRF2018R1A5A1024958 to J.A.); the European Research Council (ERC) under the European Union's Horizon 2020 research and innovation program (grant agreement no. 820047 to M.Si.); IT-MIUR-PNRA (Italian Antarctic Research Program) through the BE-OI (PNRA16_00124) project (to M.Se.); the Villum Investigator Project IceFlow (NR. 16572 to A.S.); Beyond EPICA -Oldest Ice Core EU Coordination and Support Action; measurements at EDC (Concordia Station) were supported by the French Polar Institute (IPEV, prog. 902) and the Italian Antarctic Program (PNRA and ENEA). The Talos Dome Ice core Project (TALDICE), a joint European program, is funded by national contributions from Italy, France, Germany, Switzerland, and the United Kingdom. Primary logistical support was provided by PNRA at Talos Dome. This is TALDICE publication no 59. The CESM project is supported primarily by the NSF. This material is based upon work supported by the National Center for Atmospheric Research (NCAR), which is a major facility sponsored by the NSF under cooperative agreement no. 1852977 (B.L.O.-B.). Computing and data storage resources, including the Cheyenne supercomputer (35), were provided by the Computational and Information Systems Laboratory at NCAR (Z.L., C.H., and B.L.O.-B.).</t>
  </si>
  <si>
    <t>10.1126/science.abd2897</t>
  </si>
  <si>
    <t>SM5NE</t>
  </si>
  <si>
    <t>Green Published, Green Accepted, Green Submitted</t>
  </si>
  <si>
    <t>WOS:000657651200050</t>
  </si>
  <si>
    <t>Chua, S; Switzer, AD; Li, TH; Chen, HX; Christie, M; Shaw, TA; Khan, NS; Bird, MI; Horton, BP</t>
  </si>
  <si>
    <t>Chua, Stephen; Switzer, Adam D.; Li, Tanghua; Chen, Huixian; Christie, Margaret; Shaw, Timothy A.; Khan, Nicole S.; Bird, Michael, I; Horton, Benjamin P.</t>
  </si>
  <si>
    <t>A new Holocene sea-level record for Singapore</t>
  </si>
  <si>
    <t>HOLOCENE</t>
  </si>
  <si>
    <t>Holocene; sea level; basal peat; sediment compaction; Sunda Shelf; Glacial Isostatic Adjustment (GIA)</t>
  </si>
  <si>
    <t>GLACIAL-ISOSTATIC-ADJUSTMENT; ANTARCTIC ICE-SHEET; EAST-COAST; BENTHIC FORAMINIFERA; RISE; DEGLACIATION; SUBSIDENCE; COMPACTION; CHINA; DELTA</t>
  </si>
  <si>
    <t>Relative sea-level (RSL) records from far-field regions distal from ice sheets remain poorly understood, particularly in the early Holocene. Here, we extended the Holocene RSL data from Singapore by producing early Holocene sea-level index points (SLIPS) and limiting dates from a new similar to 40 m sediment core. We merged new and published RSL data to construct a standardized Singapore RSL database consisting of 88 SLIPs and limiting data. In the early Holocene, RSL rose rapidly from -21.0 to -0.7 m from similar to 9500 to 7000 cal. yrs. BP. Thereafter, the rate of RSL rise decelerated, reaching a mid-Holocene highstand of 4.0 4.5 m at 5100 cal. yrs. BP, before falling to its present level. There is no evidence of any inflections in RSL when the full uncertainty of SLIPs is considered. When combined with other standardized data from the Malay-Thai Peninsula, our results also show substantial misfits between regional RSL reconstructions and glacial isostatic adjustment (GIA) model predictions in the rate of early Holocene RSL rise, the timing of the mid-Holocene highstand and the nature of late-Holocene RSL fall towards the present. It is presently unknown whether these misfits are caused by regional processes, such as subsidence of the continental shelf, or inaccurate parameters used in the GIA model.</t>
  </si>
  <si>
    <t>[Chua, Stephen; Switzer, Adam D.; Li, Tanghua; Shaw, Timothy A.; Horton, Benjamin P.] Nanyang Technol Univ, Earth Observ Singapore, Block N2-01a-14,50 Nanyang Dr, Singapore 639798, Singapore; [Switzer, Adam D.; Chen, Huixian; Horton, Benjamin P.] Nanyang Technol Univ, Asian Sch Environm, Singapore, Singapore; [Christie, Margaret] McDaniel Coll, Dept Environm Studies, Westminster, MD USA; [Khan, Nicole S.] Univ Hong Kong, Dept Earth Sci, Hong Kong, Peoples R China; [Khan, Nicole S.] Univ Hong Kong, Swire Inst Marine Sci, Hong Kong, Peoples R China; [Bird, Michael, I] James Cook Univ, ARC Ctr Excellence Australian Biodivers &amp; Heritag, Townsville, Qld, Australia; [Bird, Michael, I] James Cook Univ, Coll Sci &amp; Engn, Townsville, Qld, Australia</t>
  </si>
  <si>
    <t>Nanyang Technological University; Nanyang Technological University; University of Hong Kong; University of Hong Kong; James Cook University; James Cook University</t>
  </si>
  <si>
    <t>Chua, S (corresponding author), Nanyang Technol Univ, Earth Observ Singapore, Block N2-01a-14,50 Nanyang Dr, Singapore 639798, Singapore.</t>
  </si>
  <si>
    <t>stephen.chua@ntu.edu.sg</t>
  </si>
  <si>
    <t>Li, Tanghua/AAE-7233-2019; Chua, Stephen/AAW-4242-2020; IPO, PAGES/JXY-7546-2024; Khan, Nicole Sophia/M-6875-2018; Li, Tanghua/C-6585-2019</t>
  </si>
  <si>
    <t>Li, Tanghua/0000-0003-0501-0155; Chua, Stephen/0000-0001-6089-6097; Khan, Nicole Sophia/0000-0002-9845-1103; Christie, Margaret/0000-0002-9416-4115; Horton, Benjamin/0000-0001-9245-3768; Shaw, Timothy/0000-0002-9007-637X</t>
  </si>
  <si>
    <t>Earth Observatory of Singapore (EOS) [M4430132.B50-2014, M4430139.B50-2015, M4430188.B50-2016, M4430245.B50-2017, M4430245.B50-2018]; Singapore Ministry of Education Academic Research Fund [MOE2019-T3-1-004, MOE2018-T2-1-030]; National Research Foundation Singapore; the Singapore Ministry of Education under the Research Centers of Excellence initiative; Nanyang Technological University; National Research Foundation, Prime Minister's Office, Singapore; Ministry of National Development, Singapore Urban Solutions &amp; Sustainability -Integration Fund (USS-IF) [USS-IF-2020-1]</t>
  </si>
  <si>
    <t>Earth Observatory of Singapore (EOS); Singapore Ministry of Education Academic Research Fund(Ministry of Education, Singapore); National Research Foundation Singapore(National Research Foundation, Singapore); the Singapore Ministry of Education under the Research Centers of Excellence initiative; Nanyang Technological University(Nanyang Technological University); National Research Foundation, Prime Minister's Office, Singapore(National Research Foundation, Singapore); Ministry of National Development, Singapore Urban Solutions &amp; Sustainability -Integration Fund (USS-IF)</t>
  </si>
  <si>
    <t>The author(s) disclosed receipt of the following financial support for the research, authorship, and/or publication of this article: This research was supported by the Earth Observatory of Singapore (EOS) grants M4430132.B50-2014 (Singapore Quaternary Geology), M4430139.B50-2015 (Singapore Holocene Sea Level), M4430188.B50-2016 (Singapore Drilling Project), M4430245. B50-2017 and M4430245.B50-2018 (Kallang Basin Project). SC, ADS, TL, HC, TAS and BPH are supported by the Singapore Ministry of Education Academic Research Fund MOE2019-T3-1-004 and MOE2018-T2-1-030, the National Research Foundation Singapore, the Singapore Ministry of Education under the Research Centers of Excellence initiative, and by the Nanyang Technological University. This research is also supported by the National Research Foundation, Prime Minister's Office, Singapore and the Ministry of National Development, Singapore under the Urban Solutions &amp; Sustainability -Integration Fund (USS-IF Award No. USS-IF-2020-1). It is part of the National Sea Level Programme under the National Environment Agency. Any opinions, findings and conclusions or recommendations expressed in this material are those of the author(s) and do not reflect the views of the National Research Foundation, Singapore, the Ministry of National Development, Singapore and National Environment Agency, Singapore. The data that support the findings of this study are openly available in NTU research data repository DR-NTU (Data) at https://doi.org/10.21979/N9/SV85OM</t>
  </si>
  <si>
    <t>0959-6836</t>
  </si>
  <si>
    <t>1477-0911</t>
  </si>
  <si>
    <t>Holocene</t>
  </si>
  <si>
    <t>10.1177/09596836211019096</t>
  </si>
  <si>
    <t>TL6KA</t>
  </si>
  <si>
    <t>WOS:000658451600001</t>
  </si>
  <si>
    <t>Singh, A; Bach, LT; Löscher, CR; Paul, AJ; Ojha, N; Riebesell, U</t>
  </si>
  <si>
    <t>Singh, Arvind; Bach, Lennart T.; Loscher, Carolin R.; Paul, Allanah J.; Ojha, Narendra; Riebesell, Ulf</t>
  </si>
  <si>
    <t>Impact of increasing carbon dioxide on dinitrogen and carbon fixation rates under oligotrophic conditions and simulated upwelling</t>
  </si>
  <si>
    <t>LIMNOLOGY AND OCEANOGRAPHY</t>
  </si>
  <si>
    <t>NITROGEN-FIXATION; OCEAN ACIDIFICATION; N-2 FIXATION; TRICHODESMIUM-ERYTHRAEUM; ELEVATED CO2; STOICHIOMETRY; PHYTOPLANKTON; DIAZOTROPHS; PHOSPHORUS; NIFH</t>
  </si>
  <si>
    <t>Dinitrogen (N-2) fixation is a major source of bioavailable nitrogen to oligotrophic ocean communities. Yet, we have limited understanding how ongoing climate change could alter N-2 fixation. Most of our understanding is based on short-term laboratory experiments conducted on individual N-2-fixing species whereas community-level approaches are rare. In this longer-term in situ mesocosm study, we aimed to improve our understanding on the role of rising atmospheric carbon dioxide (CO2) and simulated deep water upwelling on N-2 and carbon (C) fixation rates in a natural oligotrophic plankton community. We deployed nine mesocosms in the subtropical North Atlantic Ocean and enriched seven of these with CO2 to yield a range of treatments (partial pressure of CO2, pCO(2) = 352-1025 mu atm). We measured rates of N-2 and C fixation in both light and dark incubations over the 55-day study period. High pCO(2) negatively impacted light and dark N-2 fixation rates in the oligotrophic phase before simulated upwelling, while the effect reversed in the light N-2 fixation rates in the bloom decay phase after added nutrients were consumed. Dust deposition and simulated upwelling of nutrient-rich deep water increased N-2 fixation rates and nifH gene abundances of selected clades including the unicellular diazotrophic cyanobacterium clade UCYN-B. Elevated pCO(2) increased C fixation rates in the decay phase. We conclude that elevated pCO(2) and pulses of upwelling have pronounced effects on diazotrophy and primary producers, and upwelling and dust deposition modify the pCO(2) effect in natural assemblages.</t>
  </si>
  <si>
    <t>[Singh, Arvind; Bach, Lennart T.; Loscher, Carolin R.; Paul, Allanah J.; Riebesell, Ulf] GEOMAR Helmholtz Ctr Ocean Res Kiel, Kiel, Germany; [Singh, Arvind; Ojha, Narendra] Phys Res Lab, Ahmadabad, Gujarat, India; [Bach, Lennart T.] Univ Tasmania, Inst Marine &amp; Antarctic Studies, Hobart, Tas, Australia; [Loscher, Carolin R.] Univ Southern Denmark, Danish Inst Adv Study, Dept Biol, Nordcee, Odense, Denmark</t>
  </si>
  <si>
    <t>Helmholtz Association; GEOMAR Helmholtz Center for Ocean Research Kiel; Department of Space (DoS), Government of India; Physical Research Laboratory - India; University of Tasmania; University of Southern Denmark</t>
  </si>
  <si>
    <t>Singh, A (corresponding author), GEOMAR Helmholtz Ctr Ocean Res Kiel, Kiel, Germany.;Singh, A (corresponding author), Phys Res Lab, Ahmadabad, Gujarat, India.</t>
  </si>
  <si>
    <t>arvinds@prl.res.in</t>
  </si>
  <si>
    <t>Ojha, Narendra/S-2499-2017; Singh, Arvind/AAW-7130-2020</t>
  </si>
  <si>
    <t>Ojha, Narendra/0000-0002-8840-5699; Paul, Allanah/0000-0003-1037-5239; Singh, Arvind/0000-0002-3060-891X; Loscher, Carolin/0000-0002-2044-6849; Bach, Lennart/0000-0003-0202-3671</t>
  </si>
  <si>
    <t>German Federal Ministry of Education and Research (BMBF) [FKZ 03F06550]; Cluster of Excellence 80 The Future Ocean [CP1213]; Leibniz Award 2012 by the German Research Foundation (DFG); EU's Horizon 2020 program (NITROX) [704272]; Villum Foundation [16518, 29411]</t>
  </si>
  <si>
    <t>German Federal Ministry of Education and Research (BMBF)(Federal Ministry of Education &amp; Research (BMBF)); Cluster of Excellence 80 The Future Ocean; Leibniz Award 2012 by the German Research Foundation (DFG)(German Research Foundation (DFG)); EU's Horizon 2020 program (NITROX); Villum Foundation(Villum Fonden)</t>
  </si>
  <si>
    <t>Plataforma Oce~anica de Canarias (PLOCAN) and Spanish Bank of Algae are acknowledged for sharing its research facilities with us to facilitate our experiments. RV Hesperides team is thanked for deploying and recovering the mesocosms. We thank the KOSMOS team for their immense help in sampling the mesocosms; Andrea Ludwig is particularly appreciated for coordinating the campaign logistics. We thank Kerstin Nachtigall for IRMS analysis and Mario Esposito for nutrient analysis. We acknowledge the use of the CAMS reanalysis data available from the ECMWF, UK. This project was funded by the German Federal Ministry of Education and Research (BMBF) in the framework of the coordinated project BIOACID-Biological Impacts of Ocean Acidification, phase 2 (FKZ 03F06550). Arvind Singh was financially supported by a grant (CP1213) from the Cluster of Excellence 80 The Future Ocean. Arvind Singh received additional funding from the Leibniz Award 2012 (awarded to Ulf Riebesell) by the German Research Foundation (DFG). Carolin R. Loscher was funded by the EU's Horizon 2020 program (NITROX, Grant #704272) and by the Villum Foundation (Grants #16518 and #29411). Two anonymous reviewers are thanked for their constructive comments.</t>
  </si>
  <si>
    <t>0024-3590</t>
  </si>
  <si>
    <t>1939-5590</t>
  </si>
  <si>
    <t>LIMNOL OCEANOGR</t>
  </si>
  <si>
    <t>Limnol. Oceanogr.</t>
  </si>
  <si>
    <t>10.1002/lno.11795</t>
  </si>
  <si>
    <t>TJ5PQ</t>
  </si>
  <si>
    <t>WOS:000657669800001</t>
  </si>
  <si>
    <t>Major surface melting over the Ross Ice Shelf part I: Foehn effect</t>
  </si>
  <si>
    <t>Foehn effect; polar WRF; West Antarctic surface melting</t>
  </si>
  <si>
    <t>POLAR WEATHER RESEARCH; ANTARCTICA; MICROPHYSICS; INSTABILITY; CLOUDS; EVENT; MODEL; WRF</t>
  </si>
  <si>
    <t>West Antarctica (WA), especially the Ross Ice Shelf (RIS), has experienced more frequent surface melting during the austral summer recently. The future is likely to see enhanced surface melting that will jeopardize the stability of ice shelves and cause ice loss. We investigate four major melt cases over the RIS via Polar Weather Research and Forecasting (WRF) simulations (4 km resolution) driven by European Centre for Medium-Range Weather Forecasts (ECMWF) Reanalysis 5th Generation (ERA5) reanalysis data and Moderate Resolution Imaging Spectroradiometer (MODIS) observed albedo. Direct warm air advection, recurring foehn effect, and cloud/upper warm air introduced radiative warming are the three major regional causes of surface melting over WA. In this paper, Part I, the first two factors are identified and quantified. The second paper, Part II, discusses the impact of clouds and summarizes all three factors from a surface energy balance perspective. With a high-pressure ridge located westward towards the Sulzberger Ice Shelf (77 degrees S, 148 degrees W) and a low-pressure center located between 165 degrees and 180 degrees W, warm marine air from the Ross Sea is advected towards the coastal RIS and leads to surface melting. When the high-pressure ridge is located farther east towards Marie Byrd Land (120-150 degrees W), the foehn effect can cause a 2-4 degrees C increase in surface temperature on the leeside of the mountains. For three of four melt cases, more than 40% of the melting period experiences foehn warming. Isentropic drawdown is usually the dominant foehn mechanism and contributes up to a 14 degrees C temperature increase, especially when strong low-level blocking occurs on the upwind side. The thermodynamic mechanism can be important depending on the strength of moisture uptake and condensation on the windward side. Meanwhile, sensible heat flux contributes less to foehn warming, but still plays an important role in the melting. The prediction of future stability of the RIS should include foehn warming as a major driver.</t>
  </si>
  <si>
    <t>zou, xun/AAV-1306-2020; Montenegro, Alvaro/B-4744-2013; zou, xun/I-2438-2015</t>
  </si>
  <si>
    <t>Bromwich, David/0000-0003-4608-8071; Wang, Sheng-Hung/0000-0002-8057-835X; Montenegro, Alvaro/0000-0001-6848-1996; zou, xun/0000-0003-1620-3198</t>
  </si>
  <si>
    <t>National Science Foundation (NSF) [PLR1443443, PLR1341695, 1823135]; Ohio State University; Department of Geography</t>
  </si>
  <si>
    <t>National Science Foundation (NSF)(National Science Foundation (NSF)); Ohio State University(Ohio State University); Department of Geography</t>
  </si>
  <si>
    <t>This research was supported by National Science Foundation (NSF) grants PLR1443443, PLR1341695, and 1823135, and a contribution to the Year of Polar Prediction (YOPP) initiated by the World Weather Research Programme (WWRP). Contribution number 1607 of Byrd Polar and Climate Research Center. Xun Zou appreciates the Presidential Fellowship awarded by The Ohio State University and the financial support provided by the Department of Geography during her PhD study. We thank the two anonymous reviewers for their helpful suggestions.</t>
  </si>
  <si>
    <t>10.1002/qj.4104</t>
  </si>
  <si>
    <t>WOS:000657685200001</t>
  </si>
  <si>
    <t>Noronha-D'Mello, CA; Nair, A; Mahesh, BS; Warrier, AK; Mohan, R; Kurian, S</t>
  </si>
  <si>
    <t>Noronha-D'Mello, Cheryl A.; Nair, A.; Mahesh, B. S.; Warrier, A. K.; Mohan, Rahul; Kurian, Siby</t>
  </si>
  <si>
    <t>Glacial-Holocene climate-driven shifts in lacustrine and terrestrial environments: Rock magnetic and geochemical evidence from East Antarctic Mochou Lake</t>
  </si>
  <si>
    <t>Deglaciation; Lake sedimentation; Sediment provenance; Weathering; Paleoecology; Paleolimnology</t>
  </si>
  <si>
    <t>FRESH-WATER LAKE; LARSEMANN HILLS; SCHIRMACHER OASIS; PRYDZ BAY; SEDIMENT CORE; GRAIN-SIZE; ICE-SHEET; PALEOLIMNOLOGICAL CHANGES; ELEMENT GEOCHEMISTRY; LIVINGSTON ISLAND</t>
  </si>
  <si>
    <t>Geomorphic reconstructions of the East Antarctic Ice Sheet history across Antarctica suggest diachronous and varying retreat patterns with changing climate. However, little is known of how terrestrial environments responded to these climate changes because the continental ice sheet covered most Antarctic coastal oases during the Last Glacial Maximum (LGM), eliminating terrestrial records. In this study, the environmental history spanning the last 25,400 years was reconstructed using geochronology, lithology, rock magnetism and geochemistry to understand the effect of glacial-deglacial climate variations on surface processes and Mochou Lake ecology. During the last glacial period (25.4 to 18.8 cal. kyr BP), intensified winds and the freeze-thaw action of ice actively weathered the high elevation western catchment that was a dominant sediment source to the lake. The glacial environmental conditions induced a persistent perennial lake ice-cover resulting in anoxia, low sedimentation, primary production and weak brackish conditions. Progressively, as deglacial conditions augmented around 18.8 cal. kyr BP, increased catchment meltwater flow enhanced sediment transport and also transformed the lake into a freshwater basin, although perennial ice-cover still prevailed. Further, the biotic development of the lake began later in the Mid-Holocene as compared to other lakes in the region, wherein the seasonal lake ice cycle and/or ice moat developed. Weak chemical weathering and pedogenesis also commenced in the catchment in response to the warming climate trend. This delayed response to the Holocene warming was possibly due to the local cooling effect of the Dalk Glacier's discharge that also led to sea-ice persistence in the Prydz Bay. This study also provides further evidence that parts of the Larsemann Hills remained free of erosive grounded ice during the LGM and subsequent deglaciation. The Mirror Peninsula, specifically, escaped ice overriding despite being enclosed by the Dalk Glacier, Lake Nella ice lobe and Amery Ice Shelf.</t>
  </si>
  <si>
    <t>[Noronha-D'Mello, Cheryl A.; Nair, A.; Mahesh, B. S.; Mohan, Rahul] Govt India, Natl Ctr Polar &amp; Ocean Res, Minist Earth Sci MoES, Vasco Da Gama 403804, Goa, India; [Warrier, A. K.] Manipal Acad Higher Educ, Ctr Climate Studies, Manipal Inst Technol, Dept Civil Engn, Manipal 576104, Karnataka, India; [Kurian, Siby] CSIR, Natl Inst Oceanog, Panaji 403004, Goa, India</t>
  </si>
  <si>
    <t>Ministry of Earth Sciences (MoES) - India; National Centre for Polar and Ocean Research (NCPOR); Manipal Academy of Higher Education (MAHE); Council of Scientific &amp; Industrial Research (CSIR) - India; CSIR - National Institute of Oceanography (NIO)</t>
  </si>
  <si>
    <t>Noronha-D'Mello, CA (corresponding author), Govt India, Natl Ctr Polar &amp; Ocean Res, Minist Earth Sci MoES, Vasco Da Gama 403804, Goa, India.</t>
  </si>
  <si>
    <t>noronhacheryl@ymail.com</t>
  </si>
  <si>
    <t>Warrier, Anish Kumar/AAW-8890-2020</t>
  </si>
  <si>
    <t>Warrier, Anish Kumar/0000-0003-0044-6224</t>
  </si>
  <si>
    <t>National Centre for Polar and Ocean Research; Ministry of Earth Sciences, Government of India</t>
  </si>
  <si>
    <t>National Centre for Polar and Ocean Research; Ministry of Earth Sciences, Government of India(Ministry of Earth Science (MoES), Government of India)</t>
  </si>
  <si>
    <t>This work was supported under the project Past Climate and Oceanic Variability by the National Centre for Polar and Ocean Research and Ministry of Earth Sciences, Government of India.</t>
  </si>
  <si>
    <t>10.1016/j.palaeo.2021.110505</t>
  </si>
  <si>
    <t>WOS:000668458200010</t>
  </si>
  <si>
    <t>Xu, LP; Yan, WQ; Zhang, M; Hong, X; Liu, YF; Li, JW</t>
  </si>
  <si>
    <t>Xu, Luping; Yan, Weiqiang; Zhang, Mi; Hong, Xin; Liu, Yuanfa; Li, Jinwei</t>
  </si>
  <si>
    <t>Application of ultrasound in stabilizing of Antarctic krill oil by modified chickpea protein isolate and ginseng saponin</t>
  </si>
  <si>
    <t>LWT-FOOD SCIENCE AND TECHNOLOGY</t>
  </si>
  <si>
    <t>Binding interaction; Oxidative stability; Antioxidant activity</t>
  </si>
  <si>
    <t>ANTIOXIDANT ACTIVITY; BETA-LACTOGLOBULIN; QUILLAJA SAPONIN; MIXTURES; EMULSION; COMPLEX</t>
  </si>
  <si>
    <t>Mixed protein-surfactant systems are widely used for stabilizing emulsions in the food industry. This study investigated the effects of ultrasound pretreatment on the structural and functional properties of chickpea protein isolate (CPI) and its binding interaction with ginseng saponin (GS). Ultrasound pretreatment induced the unfolding of CPI and promoted the binding affinity of CPI to GS, which was confirmed by fluorescence spectroscopy. Circular dichroism spectra demonstrated that the addition of GS increased the alpha-helix content by 11.20% and reduced the 8-sheet, 8-turn and random coil content by 3.70%, 1.30% and 6.00%, respectively. Compared with the U0-GS complex, the U15-GS complex stabilized emulsions showed higher (P &lt; 0.05) oxidative stability that the PV and TBARS values decreased by 101.81 and 8.88 mg/L, respectively. Moreover, ultrasound pretreatment significantly increased the interfacial adsorption of GS, antioxidant activity of CPI-GS complexes and the retention rate of astaxanthin, which accounted for the improved oxidative stability of emulsions. Generally, ultrasound was successfully applied to design emulsions with improved stability and nutritional properties in food systems.</t>
  </si>
  <si>
    <t>[Xu, Luping; Zhang, Mi; Hong, Xin; Liu, Yuanfa; Li, Jinwei] Jiangnan Univ, State Key Lab Food Sci &amp; Technol, Wuxi 214122, Jiangsu, Peoples R China; [Yan, Weiqiang] Shanghai Acad Agr Sci, Inst Crop Breeding &amp; Cultivat, Shanghai 201403, Peoples R China</t>
  </si>
  <si>
    <t>Jiangnan University; Shanghai Academy of Agricultural Sciences</t>
  </si>
  <si>
    <t>Li, JW (corresponding author), Jiangnan Univ, State Key Lab Food Sci &amp; Technol, Wuxi 214122, Jiangsu, Peoples R China.</t>
  </si>
  <si>
    <t>jwli@jiangnan.edu.cn</t>
  </si>
  <si>
    <t>Yuanfa, Liu/ABH-9944-2020; Liao, Hongmei/ABT-7677-2022</t>
  </si>
  <si>
    <t>Yuanfa, Liu/0000-0002-8259-8426;</t>
  </si>
  <si>
    <t>Natural Science Foundation of China [32072138]</t>
  </si>
  <si>
    <t>Natural Science Foundation of China(National Natural Science Foundation of China (NSFC))</t>
  </si>
  <si>
    <t>This work was supported by Natural Science Foundation of China (32072138) .</t>
  </si>
  <si>
    <t>0023-6438</t>
  </si>
  <si>
    <t>1096-1127</t>
  </si>
  <si>
    <t>LWT-FOOD SCI TECHNOL</t>
  </si>
  <si>
    <t>LWT-Food Sci. Technol.</t>
  </si>
  <si>
    <t>10.1016/j.lwt.2021.111803</t>
  </si>
  <si>
    <t>TM9RJ</t>
  </si>
  <si>
    <t>WOS:000675883500006</t>
  </si>
  <si>
    <t>Wang, SY; Carter, CG; Fitzgibbon, QP; Codabaccus, BM; Smith, GG</t>
  </si>
  <si>
    <t>Wang, Shuangyao; Carter, Chris G.; Fitzgibbon, Quinn P.; Codabaccus, Basseer M.; Smith, Gregory G.</t>
  </si>
  <si>
    <t>Effect of dietary protein on energy metabolism including protein synthesis in the spiny lobster Sagmariasus verreauxi</t>
  </si>
  <si>
    <t>SOUTHERN ROCK LOBSTER; POSTPRANDIAL NITROGEN-EXCRETION; PRAWN PENAEUS-ESCULENTUS; AMMONIA-N EXCRETION; OXYGEN-CONSUMPTION; DYNAMIC ACTION; RAINBOW-TROUT; FEED INGREDIENTS; HEAT INCREMENT; GROWTH</t>
  </si>
  <si>
    <t>This is the first study in an aquatic ectotherm to combine a stoichiometric bioenergetic approach with an endpoint stochastic model to explore dietary macronutrient content. The combination of measuring respiratory gas (O-2 and CO2) exchange, nitrogenous (ammonia and urea) excretion, specific dynamic action (SDA), metabolic energy substrate use, and whole-body protein synthesis in spiny lobster, Sagmariasus verreauxi, was examined in relation to dietary protein. Three isoenergetic feeds were formulated with varying crude protein: 40%, 50% and 60%, corresponding to CP40, CP50 and CP60 treatments, respectively. Total CO2 and ammonia excretion, SDA magnitude and coefficient, and protein synthesis in the CP60 treatment were higher compared to the CP40 treatment. These differences demonstrate dietary protein influences post-prandial energy metabolism. Metabolic use of each major energy substrate varied at different post-prandial times, indicating suitable amounts of high-quality protein with major non-protein energy-yielding nutrients, lipid and carbohydrate, are critical for lobsters. The average contribution of protein oxidation was lowest in the CP50 treatment, suggesting mechanisms underlying the most efficient retention of dietary protein and suitable dietary inclusion. This study advances understanding of how deficient and surplus dietary protein affects energy metabolism and provides approaches for fine-scale feed evaluation to support sustainable aquaculture.</t>
  </si>
  <si>
    <t>[Wang, Shuangyao; Carter, Chris G.; Fitzgibbon, Quinn P.; Codabaccus, Basseer M.; Smith, Gregory G.] Univ Tasmania, Inst Marine &amp; Antarct Studies IMAS, Private Bag 49, Hobart, Tas 7001, Australia</t>
  </si>
  <si>
    <t>Wang, SY (corresponding author), Univ Tasmania, Inst Marine &amp; Antarct Studies IMAS, Private Bag 49, Hobart, Tas 7001, Australia.</t>
  </si>
  <si>
    <t>shuangyao.wang@utas.edu.au</t>
  </si>
  <si>
    <t>Wang, Shuangyao/JNT-4380-2023; Carter, Chris Guy/A-3438-2008; Smith, Gregory/C-9263-2013</t>
  </si>
  <si>
    <t>Wang, Shuangyao/0000-0003-1074-011X; Carter, Chris Guy/0000-0001-5210-1282; Smith, Gregory/0000-0002-8677-1230; Fitzgibbon, Quinn/0000-0002-1104-3052; codabaccus, mohamed/0000-0001-5108-373X</t>
  </si>
  <si>
    <t>Australian Research Council Industrial Transformation Research Hub [IH120100032]</t>
  </si>
  <si>
    <t>Australian Research Council Industrial Transformation Research Hub(Australian Research Council)</t>
  </si>
  <si>
    <t>The authors acknowledge all aquaculture staff in the Institute for Marine and Antarctic Studies (IMAS), University of Tasmania, for the maintenance of the experiment and the assistance in the culture of the lobsters. Funding for this project was provided by the Australian Research Council Industrial Transformation Research Hub (project number IH120100032).</t>
  </si>
  <si>
    <t>JUN 3</t>
  </si>
  <si>
    <t>10.1038/s41598-021-91304-1</t>
  </si>
  <si>
    <t>ST1UL</t>
  </si>
  <si>
    <t>WOS:000662236000109</t>
  </si>
  <si>
    <t>Civel-Mazens, M; Crosta, X; Cortese, G; Michel, E; Mazaud, A; Ther, O; Ikehara, M; Itaki, T</t>
  </si>
  <si>
    <t>Civel-Mazens, M.; Crosta, X.; Cortese, G.; Michel, E.; Mazaud, A.; Ther, O.; Ikehara, M.; Itaki, T.</t>
  </si>
  <si>
    <t>Antarctic Polar Front migrations in the Kerguelen Plateau region, Southern Ocean, over the past 360 kyrs</t>
  </si>
  <si>
    <t>Southern Ocean; Fronts; Kerguelen; Radiolarians; Diatoms</t>
  </si>
  <si>
    <t>SEA-SURFACE TEMPERATURE; LAST GLACIAL MAXIMUM; INDIAN SECTOR; LATE QUATERNARY; BIOGENIC OPAL; WATER MASSES; ICE; VARIABILITY; CIRCULATION; HEMISPHERE</t>
  </si>
  <si>
    <t>In the Southern Ocean (SO), climate-driven latitudinal migrations of the Antarctic Circumpolar Current (ACC) frontal system impact large-scale ocean circulation and primary productivity. Latitudinal migrations may not have been identical in all SO basins due to the presence or absence of regional bathymetric obstacles. The Antarctic Polar Front (APF), defined by the 3-5 degrees C surface temperature range and the 2 degrees C subsurface temperature minimum at 200 m, is particularly important for nutrient redistribution and biodiversity, influencing the soft tissue carbon pump in the modern SO. However, previous assessments of its migrations in the past, mostly based on a single metric or indirect observations, were not always robust. Here, we combine a new proxy for subsurface temperature (sub-ST) reconstructions based on radiolarian assemblages (sub-STrad), with relative abundance variations of key radiolarian species, and sea-surface temperatures (SST) reconstructions, based on diatom assemblages (SSTdiat), to refine estimations of the past mean APF locations in the Kerguelen Plateau (KP) region. Data from three sediment cores on a south (55 degrees S) to north (47 degrees S) transect are used to trace the mean APF locations for three climate states, glacials, peak-interglacials and mild-interglacials. Our results suggest that the APF, presently located south of Kerguelen Islands, shifted by 6-7 degrees of latitude and was located north of the KP during all glacial periods of the last 360 kyrs. This suggests that the ACC major flow interacted less with the bottom topography relative to its modern counterpart, probably resulting in less mixing of the water column over and in the lee of the KP. We propose that this process participated in the isolation of Antarctic surface waters (AASW) and in the reduction of macro-nutrient supply, thus resulting in lower regional productivity. During the warmer-than-present early interglacial periods, the APF probably migrated south by similar to 5 degrees of latitude relative to its modern position, to pass through the Fawn Trough. Contrary to glacial periods, the APF was forced in an S shape while the ACC main flow was constrained against the northern tip of the KP. In this configuration, a stronger interaction between the ACC, its associated fronts, and topography is expected, resulting in more mixing of the water column over and east of the KP. Congruently, siliceous productivity was probably restrained to latitudes south of the Fawn Trough.</t>
  </si>
  <si>
    <t>[Civel-Mazens, M.; Ikehara, M.] Kochi Univ, Grad Sch Integrated Arts &amp; Sci, Kochi, Japan; [Civel-Mazens, M.; Itaki, T.] Geol Survey Japan AIST, Tsukuba, Ibaraki, Japan; [Crosta, X.; Ther, O.] Univ Bordeaux, EPHE, CNRS, UMR EPOC 5805, Pessac, France; [Cortese, G.] GNS Sci, Lower Hutt, New Zealand; [Michel, E.; Mazaud, A.] Lab Sci Climat &amp; Environm LSCE, Gif Sur Yvette, France; [Ikehara, M.] Kochi Univ, Ctr Adv Marine Core Res, Kochi, Japan</t>
  </si>
  <si>
    <t>Kochi University; National Institute of Advanced Industrial Science &amp; Technology (AIST); Universite de Bordeaux; Centre National de la Recherche Scientifique (CNRS); CNRS - National Institute for Earth Sciences &amp; Astronomy (INSU); Universite PSL; Ecole Pratique des Hautes Etudes (EPHE); GNS Science - New Zealand; CEA; Centre National de la Recherche Scientifique (CNRS); Universite Paris Saclay; Kochi University</t>
  </si>
  <si>
    <t>Civel-Mazens, M (corresponding author), Kochi Univ, Grad Sch Integrated Arts &amp; Sci, Kochi, Japan.</t>
  </si>
  <si>
    <t>civelmatthieu@hotmail.fr</t>
  </si>
  <si>
    <t>Ikehara, Minoru/0000-0002-2695-4713; Itaki, Takuya/0000-0001-5232-0055; Civel-Mazens, Matthieu/0000-0002-0884-6890</t>
  </si>
  <si>
    <t>LEFE DYNACC project; LEFE GLACOCEAN project; New Zealand Ministry of Business, Innovation and Employment through the Antarctic Science Platform [ANTA1801]; Global Change through Time Program; JSPS KAKENHI [JP17H06318]; IDEX Bordeaux Visiting Scholar scheme</t>
  </si>
  <si>
    <t>LEFE DYNACC project; LEFE GLACOCEAN project; New Zealand Ministry of Business, Innovation and Employment through the Antarctic Science Platform(New Zealand Ministry of Business, Innovation and Employment (MBIE)); Global Change through Time Program; JSPS KAKENHI(Ministry of Education, Culture, Sports, Science and Technology, Japan (MEXT)Japan Society for the Promotion of ScienceGrants-in-Aid for Scientific Research (KAKENHI)); IDEX Bordeaux Visiting Scholar scheme</t>
  </si>
  <si>
    <t>We are grateful to people from the MD185 and MD189 oceanographic expeditions operated by the IPEVTAAF. Financial support to this study was provided by LEFE DYNACC and LEFE GLACOCEAN projects for the diatom part. Funding for this project was provided by the New Zealand Ministry of Business, Innovation and Employment through the Antarctic Science Platform (ANTA1801) and Global Change through Time Program (both to GC) along with the JSPS KAKENHI (GrantsinAid for Scientific Research) Grant Number JP17H06318 attributed to MI-TI for the radiolarian part and MCM salary. We are also thankful to IDEX Bordeaux Visiting Scholar scheme that funded GC stay at EPOC in 2017. We thank the team of the TANDETRON National French 14C AMS facility, whom measured 14C radiocarbon dates on core MD84551. Finally, we are grateful to Dr. Helen Bostock and one anonymous reviewer for their constructive comments.</t>
  </si>
  <si>
    <t>10.1016/j.gloplacha.2021.103526</t>
  </si>
  <si>
    <t>SV3OR</t>
  </si>
  <si>
    <t>WOS:000663732300001</t>
  </si>
  <si>
    <t>Fraser-Miller, SJ; Rooney, JS; Gordon, KC; Bunt, CR; Haley, JM</t>
  </si>
  <si>
    <t>Fraser-Miller, Sara J.; Rooney, Jeremy S.; Gordon, Keith C.; Bunt, Craig R.; Haley, Jill M.</t>
  </si>
  <si>
    <t>Feeding the team: Analysis of a Spratt's dog cake from Antarctica</t>
  </si>
  <si>
    <t>Dog cake; Spratt's; Spectroscopic analysis</t>
  </si>
  <si>
    <t>INFRARED-SPECTROSCOPY; RAMAN-SPECTROSCOPY; BONE; BLOOD; MEAT</t>
  </si>
  <si>
    <t>The use of Spratt's dog cakes is well documented in the diaries and reminiscences of many early Antarctic expedition members. Commercially produced dog food was promoted by the likes of Spratt's as an advanced form of animal nutrition and would have been of interest to expedition planners who were already concerned with the nutritional requirements of expedition members. An approximately 100-year-old dog cake recovered from Antarctica was compared by chemical analysis and spectroscopic methods with a series of model dog cakes and a commercial dog biscuit to determine the composition and calorific content. The presence of bone fragments within the dog cake was confirmed, whereas starch in the bulk matrix of the sample was consistent with being a mixture of wheat and oat flour, while only minimal fat or oil was present. Calorific content, while insufficient compared to a modern feed for high-performance dogs, would nonetheless have been a valuable addition to the use of dried or frozen whole meat such as seal, fish, or pemmican and contributed additional energy compared to meat alone.</t>
  </si>
  <si>
    <t>[Fraser-Miller, Sara J.; Rooney, Jeremy S.; Gordon, Keith C.] Univ Otago, Dept Chem, Dunedin, New Zealand; [Bunt, Craig R.] Lincoln Univ, Dept Agr Sci, Lincoln, New Zealand; [Haley, Jill M.] Canterbury Museum, Rolleston Ave, Christchurch, New Zealand</t>
  </si>
  <si>
    <t>University of Otago; Lincoln University - New Zealand</t>
  </si>
  <si>
    <t>Haley, JM (corresponding author), Canterbury Museum, Rolleston Ave, Christchurch, New Zealand.</t>
  </si>
  <si>
    <t>JHaley@canterburymuseum.com</t>
  </si>
  <si>
    <t>Miller, Sara Jane/J-5032-2019; Gordon, Keith/F-2975-2018; Bunt, Craig/E-7375-2011</t>
  </si>
  <si>
    <t>Miller, Sara Jane/0000-0003-1061-2441; Gordon, Keith/0000-0003-2833-6166; Bunt, Craig/0000-0001-9416-592X</t>
  </si>
  <si>
    <t>e19</t>
  </si>
  <si>
    <t>10.1017/S0032247421000103</t>
  </si>
  <si>
    <t>SM1HI</t>
  </si>
  <si>
    <t>WOS:000657362100001</t>
  </si>
  <si>
    <t>González-Pleiter, M; Lacerot, G; Edo, C; Lozoya, JP; Leganés, F; Fernández-Piñas, F; Rosal, R; Teixeira-de-Mello, F</t>
  </si>
  <si>
    <t>Gonzalez-Pleiter, Miguel; Lacerot, Gissell; Edo, Carlos; Pablo Lozoya, Juan; Leganes, Francisco; Fernandez-Pinas, Francisca; Rosal, Roberto; Teixeira-de-Mello, Franco</t>
  </si>
  <si>
    <t>A pilot study about microplastics and mesoplastics in an Antarctic glacier</t>
  </si>
  <si>
    <t>DEEP-SEA SEDIMENTS; ATMOSPHERIC FALLOUT; ROSS SEA; POLLUTION; ISLAND; DEPOSITION; STATION; DEBRIS; SNOW</t>
  </si>
  <si>
    <t>Plastics have been found in several compartments in Antarctica. However, there is currently no evidence of their presence on Antarctic glaciers. Our pilot study investigated plastic occurrence on two ice surfaces (one area around Uruguay Lake and another one around Ionosferico Lake) that constitute part of the ablation zone of Collins Glacier (King George Island, Antarctica). Our results showed that expanded polystyrene (EPS) was ubiquitous, ranging from 0.17 to 0.33 items m(-2), whereas polyester was found only on the ice surface around Uruguay Lake (0.25 items m(-2)). Furthermore, we evaluated the daily changes in the presence of plastics in these areas in the absence of rainfall to clarify the role of the wind in their transport. We registered an atmospheric dry deposition rate between 0.08 items m(-2 )d(-1) on the ice surface around Uruguay Lake and 0.17 items m(-2) d(-1) on the ice surface around Ionosferico Lake. Our pilot study is the first report of plastic pollution presence on an Antarctic glacier, possibly originated from local current and past activities and likely deposited by wind transport.</t>
  </si>
  <si>
    <t>[Gonzalez-Pleiter, Miguel; Edo, Carlos; Rosal, Roberto] Univ Alcala, Dept Analyt Chem Phys Chem &amp; Chem Engn, Madrid 28871, Spain; [Gonzalez-Pleiter, Miguel; Leganes, Francisco; Fernandez-Pinas, Francisca] Univ Autonoma Madrid, Dept Biol, Fac Sci, Madrid 28049, Spain; [Lacerot, Gissell] Univ Republ, Ecol Func Sistemas Acuat, Ctr Univ Reg Este CURE, Ruta Nacl 9 &amp; Ruta 15, Rocha 27000, Uruguay; [Pablo Lozoya, Juan] Univ Republ, Ctr Interdisciplinario Manejo Costero Integrad Co, Ctr Univ Reg Este CURE, Tacuarembo Entre Av Artigas &amp; Aparicio Saravia, Maldonado 20000, Uruguay; [Teixeira-de-Mello, Franco] Univ Republ, Dept Ecol &amp; Gest Ambiental, Ctr Univ Reg Este CURE, Tacuarembo Entre Av Artigas &amp; Aparicio Saravia, Maldonado 20000, Uruguay</t>
  </si>
  <si>
    <t>Universidad de Alcala; Autonomous University of Madrid; Universidad de la Republica, Uruguay; Universidad de la Republica, Uruguay; Universidad de la Republica, Uruguay</t>
  </si>
  <si>
    <t>González-Pleiter, M (corresponding author), Univ Alcala, Dept Analyt Chem Phys Chem &amp; Chem Engn, Madrid 28871, Spain.;González-Pleiter, M (corresponding author), Univ Autonoma Madrid, Dept Biol, Fac Sci, Madrid 28049, Spain.;Teixeira-de-Mello, F (corresponding author), Univ Republ, Dept Ecol &amp; Gest Ambiental, Ctr Univ Reg Este CURE, Tacuarembo Entre Av Artigas &amp; Aparicio Saravia, Maldonado 20000, Uruguay.</t>
  </si>
  <si>
    <t>mig.gonzalez@uam.es; frantei@fcien.edu.uy</t>
  </si>
  <si>
    <t>Mello, Franco Teixeira-de/AAA-4869-2019; Rosal, Roberto/N-1231-2014</t>
  </si>
  <si>
    <t>Mello, Franco Teixeira-de/0000-0003-4904-6985; Rosal, Roberto/0000-0003-0816-8775; Lacerot, Gissell/0000-0002-9705-5715; Edo Cuesta, Carlos/0000-0003-0340-7327; Gonzalez-Pleiter, Miguel/0000-0002-7674-4167; Lozoya, Juan Pablo/0000-0001-5087-1005</t>
  </si>
  <si>
    <t>Ministerio de Ciencia, Innovacion y Universidades [CTM2016-74927-C2-1/2-R]; Instituto Antartico Uruguayo (AntarPLAST grant)</t>
  </si>
  <si>
    <t>Ministerio de Ciencia, Innovacion y Universidades(Spanish Government); Instituto Antartico Uruguayo (AntarPLAST grant)</t>
  </si>
  <si>
    <t>This research has been supported by the Ministerio de Ciencia, Innovacion y Universidades (grant no. CTM2016-74927-C2-1/2-R) and the Instituto Antartico Uruguayo (AntarPLAST grant).</t>
  </si>
  <si>
    <t>10.5194/tc-15-2531-2021</t>
  </si>
  <si>
    <t>SQ8SS</t>
  </si>
  <si>
    <t>WOS:000660620400001</t>
  </si>
  <si>
    <t>Zhang, Tao; Wang, Neng-Fei; Yu, Li-Yan</t>
  </si>
  <si>
    <t>Geographic Distance and Habitat Type Influence Fungal Communities in the Arctic and Antarctic Sites</t>
  </si>
  <si>
    <t>Fungal diversity and community composition; High-throughput sequencing; Geographical location; Habitat selection; Bipolar regions</t>
  </si>
  <si>
    <t>BIOGEOGRAPHY; DIVERSITY; SIMILARITIES; SEQUENCES; BACTERIAL; REVEALS; PLANTS</t>
  </si>
  <si>
    <t>The Antarctic and Arctic regions are collectively referred to as the Two Poles of the earth and have extremely harsh climate conditions and fragile ecosystems. Until now, the biogeography of the fungal communities in the bipolar regions is not well known. In this study, we focused on the fungal communities in 110 samples collected from four habitat types (i.e., soil, vascular plant, freshwater, moss) in the Antarctic and Arctic sites using high-throughput sequencing. The data showed that the diversity and composition of fungal communities were both geographically patterned and habitat-patterned. ANOSIM tests revealed statistically significant differences among fungal communities in the eight sample types (R = 0.5035, p &lt; 0.001) and those in the bipolar regions (R = 0.32859, p &lt; 0.001). Only 396 OTUs (14.8%) were shared between the bipolar sites. Fungal communities in the four habitat types clustered together in the Arctic site but were separate from those of the Antarctic site, indicating that geographic distance was a more important determinant of fungal communities in the bipolar sites. These findings offer insights into the present-day biogeography of fungal communities in the bipolar sites.</t>
  </si>
  <si>
    <t>[Zhang, Tao; Yu, Li-Yan] Chinese Acad Med Sci &amp; Peking Union Med Coll, Inst Med Biotechnol, China Pharmaceut Culture Collect, Beijing, Peoples R China; [Wang, Neng-Fei] Minist Nat Resources, Key Lab Marine Bioact Subst, Inst Oceanog 1, Qingdao, Peoples R China</t>
  </si>
  <si>
    <t>National Natural Science Foundation of China (NSFC) [31670025]; Projects of the Chinese Arctic and Antarctic Administration, State Oceanic Administration [2013YR06006]; National Infrastructure of Microbial Resources [NIMR-2018-3]; CAMS Innovation Fund for Medical Sciences [2016-I2M-2-002]</t>
  </si>
  <si>
    <t>National Natural Science Foundation of China (NSFC)(National Natural Science Foundation of China (NSFC)); Projects of the Chinese Arctic and Antarctic Administration, State Oceanic Administration; National Infrastructure of Microbial Resources; CAMS Innovation Fund for Medical Sciences</t>
  </si>
  <si>
    <t>This research was supported by National Natural Science Foundation of China (NSFC) (Grant nos. 31670025), Projects of the Chinese Arctic and Antarctic Administration, State Oceanic Administration (2013YR06006), National Infrastructure of Microbial Resources (Grant no. NIMR-2018-3), and CAMS Innovation Fund for Medical Sciences (Grant no. 2016-I2M-2-002).</t>
  </si>
  <si>
    <t>10.1007/s00248-021-01742-7</t>
  </si>
  <si>
    <t>TK8LS</t>
  </si>
  <si>
    <t>WOS:000657567300001</t>
  </si>
  <si>
    <t>Wunderling, N; Donges, JF; Kurths, J; Winkelmann, R</t>
  </si>
  <si>
    <t>Wunderling, Nico; Donges, Jonathan F.; Kurths, Jurgen; Winkelmann, Ricarda</t>
  </si>
  <si>
    <t>Interacting tipping elements increase risk of climate domino effects under global warming</t>
  </si>
  <si>
    <t>ANTARCTIC ICE-SHEET; MERIDIONAL OVERTURNING CIRCULATION; EL-NINO; FOREST DIEBACK; PINE ISLAND; MASS-LOSS; GREENLAND; AMAZON; POINTS; IMPACT</t>
  </si>
  <si>
    <t>With progressing global warming, there is an increased risk that one or several tipping elements in the climate system might cross a critical threshold, resulting in severe consequences for the global climate, ecosystems and human societies. While the underlying processes are fairly well-understood, it is unclear how their interactions might impact the overall stability of the Earth's climate system. As of yet, this cannot be fully analysed with state-of-the-art Earth system models due to computational constraints as well as some missing and uncertain process representations of certain tipping elements. Here, we explicitly study the effects of known physical interactions among the Greenland and West Antarctic ice sheets, the Atlantic Meridional Overturning Circulation (AMOC) and the Amazon rainforest using a conceptual network approach. We analyse the risk of domino effects being triggered by each of the individual tipping elements under global warming in equilibrium experiments. In these experiments, we propagate the uncertainties in critical temperature thresholds, interaction strengths and interaction structure via large ensembles of simulations in a Monte Carlo approach. Overall, we find that the interactions tend to destabilise the network of tipping elements. Furthermore, our analysis reveals the qualitative role of each of the four tipping elements within the network, showing that the polar ice sheets on Greenland and West Antarctica are oftentimes the initiators of tipping cascades, while the AMOC acts as a mediator transmitting cascades. This indicates that the ice sheets, which are already at risk of transgressing their temperature thresholds within the Paris range of 1.5 to 2 degrees C, are of particular importance for the stability of the climate system as a whole.</t>
  </si>
  <si>
    <t>[Wunderling, Nico; Donges, Jonathan F.; Kurths, Jurgen; Winkelmann, Ricarda] Potsdam Inst Climate Impact Res PIK, Earth Syst Anal &amp; Complex Sci, Leibniz Assoc, D-14473 Potsdam, Germany; [Wunderling, Nico; Winkelmann, Ricarda] Univ Potsdam, Inst Phys &amp; Astron, D-14476 Potsdam, Germany; [Wunderling, Nico] Humboldt Univ, Dept Phys, D-12489 Berlin, Germany; [Donges, Jonathan F.] Stockholm Univ, Stockholm Resilience Ctr, S-10691 Stockholm, Sweden; [Kurths, Jurgen] Lobachevsky Univ Nizhny Novgorod, Inst Informat Technol Math &amp; Mech, Nizhnii Novgorod 603950, Russia</t>
  </si>
  <si>
    <t>Potsdam Institut fur Klimafolgenforschung; University of Potsdam; Humboldt University of Berlin; Stockholm University; Lobachevsky State University of Nizhni Novgorod</t>
  </si>
  <si>
    <t>Wunderling, N; Winkelmann, R (corresponding author), Potsdam Inst Climate Impact Res PIK, Earth Syst Anal &amp; Complex Sci, Leibniz Assoc, D-14473 Potsdam, Germany.;Wunderling, N; Winkelmann, R (corresponding author), Univ Potsdam, Inst Phys &amp; Astron, D-14476 Potsdam, Germany.;Wunderling, N (corresponding author), Humboldt Univ, Dept Phys, D-12489 Berlin, Germany.</t>
  </si>
  <si>
    <t>nico.wunderling@pik-potsdam.de; ricarda.winkelmann@pik-potsdam.de</t>
  </si>
  <si>
    <t>Donges, Jonathan F./HCI-2311-2022</t>
  </si>
  <si>
    <t>Wunderling, Nico/0000-0002-3566-323X; Donges, Jonathan/0000-0001-5233-7703</t>
  </si>
  <si>
    <t>Deutsche Forschungsgemeinschaft [IRTG 1740/TRP 2015/50122-0]; Studienstiftung des Deutschen Volkes; European Re-search Council [ERA 743080]; Horizon 2020 [TiPACCs 820575]; Earth League; Stordalen Foundation; Russian Ministry of Science and Education [075-15-2020-808]; Leibniz Association DominoES project</t>
  </si>
  <si>
    <t>Deutsche Forschungsgemeinschaft(German Research Foundation (DFG)); Studienstiftung des Deutschen Volkes; European Re-search Council(European Research Council (ERC)); Horizon 2020(Horizon 2020); Earth League; Stordalen Foundation; Russian Ministry of Science and Education(Ministry of Education and Science, Russian Federation); Leibniz Association DominoES project</t>
  </si>
  <si>
    <t>This research has been supported by the Deutsche Forschungsgemeinschaft (grant no. IRTG 1740/TRP 2015/50122-0), the Studienstiftung des Deutschen Volkes (PhD scholarship grant), the European Re-search Council (grant no. ERA 743080), Horizon 2020 (grant no. TiPACCs 820575), the Earth League (grant no. Earth Doc programme), the Stordalen Foundation (grant no. Planetary Boundary Research Network), and the Russian Ministry of Science and Education (grant no. 075-15-2020-808). This research has also been supported by the Leibniz Association DominoES project.</t>
  </si>
  <si>
    <t>10.5194/esd-12-601-2021</t>
  </si>
  <si>
    <t>SQ8FY</t>
  </si>
  <si>
    <t>WOS:000660587200001</t>
  </si>
  <si>
    <t>Kafarowski, J</t>
  </si>
  <si>
    <t>Kafarowski, Joanna</t>
  </si>
  <si>
    <t>GERMANS IN THE ANTARCTIC</t>
  </si>
  <si>
    <t>[Kafarowski, Joanna] 205-365 Waterfront Crescent, Victoria, BC, Canada</t>
  </si>
  <si>
    <t>Kafarowski, J (corresponding author), 205-365 Waterfront Crescent, Victoria, BC, Canada.</t>
  </si>
  <si>
    <t>joannakafarowski@gmail.com</t>
  </si>
  <si>
    <t>Kafarowski, Joanna/0009-0001-3178-4720</t>
  </si>
  <si>
    <t>10.1017/S0032247421000206</t>
  </si>
  <si>
    <t>SQ6EO</t>
  </si>
  <si>
    <t>WOS:000660446900001</t>
  </si>
  <si>
    <t>Walker, TI; Day, RW; Awruch, CA; Bell, JD; Braccini, JM; Dapp, DR; Finotto, L; Frick, LH; Garcés-García, KC; Guida, L; Huveneers, C; Martins, CL; Rochowski, BEA; Tovar-avila, J; Trinnie, FI; Reina, RD</t>
  </si>
  <si>
    <t>Walker, Terence I.; Day, Robert W.; Awruch, Cynthia A.; Bell, Justin D.; Braccini, Juan Matias; Dapp, Derek R.; Finotto, Licia; Frick, Lorenz H.; Garces-Garcia, Karla C.; Guida, Leonardo; Huveneers, Charlie; Martins, Camila L.; Rochowski, Bastien E. A.; Tovar-avila, Javier; Trinnie, Fabian I.; Reina, Richard D.</t>
  </si>
  <si>
    <t>Ecological vulnerability of the chondrichthyan fauna of southern Australia to the stressors of climate change, fishing and other anthropogenic hazards</t>
  </si>
  <si>
    <t>adaptive capacity; ecological risk assessment; ecological sensitivity; productivity and susceptibility analysis; resilience; stress exposure</t>
  </si>
  <si>
    <t>RISK-ASSESSMENT; OCEAN ACIDIFICATION; MANAGEMENT STRATEGIES; FISHERIES MANAGEMENT; REPRODUCTIVE-CYCLE; GALEORHINUS-GALEUS; STOCK ASSESSMENT; SCHOOL SHARK; MARINE; ECOSYSTEM</t>
  </si>
  <si>
    <t>We develop a potentially widely applicable framework for analysing the vulnerability, resilience risk and exposure of chondrichthyan species to all types of anthropogenic stressors in the marine environment. The approach combines the three components of widely applied vulnerability analysis (exposure, sensitivity and adaptability) (ESA) with three components (exposure, susceptibility and productivity) (ESP) of our adaptation of productivity-susceptibility analysis (PSA). We apply our 12-step ESA-ESP analysis to evaluate the vulnerability (risk of a marked reduction of the population) of each of 132 chondrichthyan species in the Exclusive Economic Zone of southern Australia. The vulnerability relates to a species' resilience to a spatial (or suitability) reduction of its habitats from exposure to up to eight climate change stressors. Vulnerability also relates to anthropogenic mortality added to natural mortality from exposure to the stressors of five types of fishing and seven other types of anthropogenic hazards. We use biological attributes as risk factors to evaluate risk related to resilience at the species or higher taxonomic level. We evaluate each species' exposure to anthropogenic stressors by assigning it to one of six ecological groups based on its lifestyle (demersal versus pelagic) and habitat, defined by bathymetric range and substrates. We evaluate vulnerability for 11 scenarios: 2000-2006 when fishing effort peaked; 2018 following a decade of fisheries management reforms; low, medium and high standard future carbon dioxide equivalent emissions scenarios; and their six possible climate-fishing combinations. Our results demonstrate the value of refugia from fishing and how climate change exacerbates the risks from fishing.</t>
  </si>
  <si>
    <t>[Walker, Terence I.; Day, Robert W.; Garces-Garcia, Karla C.; Rochowski, Bastien E. A.] Univ Melbourne, Sch Biosci, Parkville, Vic 3010, Australia; [Walker, Terence I.; Dapp, Derek R.; Finotto, Licia; Frick, Lorenz H.; Guida, Leonardo; Martins, Camila L.; Reina, Richard D.] Monash Univ, Sch Biol Sci, Clayton, Vic, Australia; [Awruch, Cynthia A.] Univ Tasmania, Sch Nat Sci, Hobart, Tas, Australia; [Awruch, Cynthia A.] Consejo Nacl Invest Cient &amp; Tecn, Ctr Nacl Patigon, Puerto Madryn, Argentina; [Bell, Justin D.] Univ Tasmania, Inst Marine &amp; Antarctic Studies, Hobart, Tas, Australia; [Braccini, Juan Matias; Trinnie, Fabian I.] WA Fisheries &amp; Marine Res Labs, Dept Primary Ind &amp; Reg Dev, North Beach, WA, Australia; [Garces-Garcia, Karla C.] Univ Veracruzana, Fac Biol &amp; Agr Sci, Tuxpan, Veracruz, Mexico; [Huveneers, Charlie] Flinders Univ S Australia, Sch Biol Sci, Bedford Pk, SA, Australia; [Tovar-avila, Javier] INAPESCA, Ctr Reg Invest Pesquera Bahia Banderas, La Cruz De Huanacaxtle, Nayarit, Mexico</t>
  </si>
  <si>
    <t>University of Melbourne; Monash University; University of Tasmania; Consejo Nacional de Investigaciones Cientificas y Tecnicas (CONICET); University of Tasmania; Universidad Veracruzana; Flinders University South Australia</t>
  </si>
  <si>
    <t>Walker, TI (corresponding author), Univ Melbourne, Sch Biosci, Parkville, Vic 3010, Australia.</t>
  </si>
  <si>
    <t>TerenceIvanWalker@gmail.com</t>
  </si>
  <si>
    <t>Finotto, Licia/HJO-9195-2023; Day, Robert/K-6052-2012</t>
  </si>
  <si>
    <t>Finotto, Licia/0000-0002-6889-7833; Day, Robert/0000-0001-5913-2292; Walker, Terence/0000-0001-6552-9042; Huveneers, Charlie/0000-0001-8937-1358; Reina, Richard/0000-0002-6221-1300; Garces, Karla/0000-0002-4376-9886</t>
  </si>
  <si>
    <t>Australian Fisheries Research and Development Corporation (FRDC); Australian Fisheries Management Authority (AFMA); Australian Research Council (ARC); FRDC [1999/103, 2001/007, 2002/033]; AFMA [R2006/812, R2006/823]; ARC [LP0774947, LP110200572]; Adelaide; Deakin; Macquarie; Melbourne; Monash; Australian Research Council [LP0774947, LP110200572] Funding Source: Australian Research Council</t>
  </si>
  <si>
    <t>Australian Fisheries Research and Development Corporation (FRDC)(Fisheries R&amp;D Corp); Australian Fisheries Management Authority (AFMA); Australian Research Council (ARC)(Australian Research Council); FRDC; AFMA; ARC(Australian Research Council); Adelaide; Deakin; Macquarie; Melbourne; Monash; Australian Research Council(Australian Research Council)</t>
  </si>
  <si>
    <t>We thank Dr William White of CSIRO National Collections and Marine Infrastructure for kindly updating species names (31 March 2021) that had changed following taxonomic review. Agata Zabolotny of the Western Australian Fisheries and Marine Research Laboratories is thanked for preparing the map shown in Figure 1. We are most grateful to two reviewers and the editor for their insightful and constructive comments on the manuscript's early drafts. This paper draws on published information from the literature and data collected by the authors over many years. The collection of data, its synthesis and publication occurred as part of projects funded by the Australian Fisheries Research and Development Corporation (FRDC), the Australian Fisheries Management Authority (AFMA), the Australian Research Council (ARC), and postgraduate scholarships awarded to several of the authors by five Australian universities (Adelaide, Deakin, Macquarie, Melbourne and Monash). The key projects are FRDC 1999/103, FRDC 2001/007, FRDC 2002/033, AFMA R2006/812, AFMA R2006/823, ARC LP0774947 and ARC LP110200572.</t>
  </si>
  <si>
    <t>10.1111/faf.12571</t>
  </si>
  <si>
    <t>UB9RY</t>
  </si>
  <si>
    <t>WOS:000657546400001</t>
  </si>
  <si>
    <t>Ferreira, FV; Herrmann-Andrade, AM; Binolfi, A; Calabrese, CD; Mac Cormack, WP; Musumeci, MA</t>
  </si>
  <si>
    <t>Ferreira, Flavia V.; Herrmann-Andrade, Andreina M.; Binolfi, Andres; Calabrese, Carla D.; Mac Cormack, Walter P.; Musumeci, Matias A.</t>
  </si>
  <si>
    <t>Characteristics of a Cold-Adapted L-glutaminase with Potential Applications in the Food Industry</t>
  </si>
  <si>
    <t>APPLIED BIOCHEMISTRY AND BIOTECHNOLOGY</t>
  </si>
  <si>
    <t>L-glutaminases; Cold-adapted enzymes; Food industry</t>
  </si>
  <si>
    <t>SALT-TOLERANT GLUTAMINASE; PURIFICATION</t>
  </si>
  <si>
    <t>L-glutaminases are enzymes that catalyze the hydrolysis of L-glutamine, producing L-glutamate and ammonium, and they have promising applications in pharmaceutical and food industries. Several investigations have focused on thermo-tolerant L-glutaminases; however, studies on cold-adapted L-glutaminases have not been reported. These enzymes could be useful in the food industry because they display high catalytic activity at low and room temperatures, a valuable feature in processes aimed to save energy. Besides, they can be easily inactivated by warming and are suitable to prevent decomposition of thermo-labile compounds. The objectives of this work were to characterize the L-glutaminase from the Antarctic bacterium Bizionia argentinensis and analyze its capability as flavor enhancer of protein hydrolysates. The enzyme was heterologously expressed and purified from Escherichia coli, obtaining optimum and homogeneous yields. Kinetic parameters K-m and V-max were located at the lower and upper range of values reported for L-glutaminases, suggesting high catalytic efficiency. Optimum temperature was 25 degrees C, and the enzyme conserved around 90% of maximum activity at 0 degrees C and in presence of 15% (v/v) ethanol and methanol. In saline conditions, the enzyme conserved around 80% of maximum activity in 3 M NaCl. Analysis of structural model suggested cold-adaptation features such as low Arg/(Arg+Lys) ratio and fewer intramolecular interactions than mesophilic and thermo-tolerant L-glutaminases. This work provides a novel cold-adapted L-glutaminase with promising features in the food industry.</t>
  </si>
  <si>
    <t>[Ferreira, Flavia V.; Musumeci, Matias A.] Consejo Nacl Invest Cient &amp; Tecn CONICET, Ctr Invest &amp; Transferencia Entre Rios CITER, Monsenor Tavella 1450,E3202 BCJ, Concordia, Entre Rios, Argentina; [Herrmann-Andrade, Andreina M.; Calabrese, Carla D.; Musumeci, Matias A.] Univ Nacl Entre Rios, Fac Ciencias Alimentac, Monsenor Tavella 1450,E3202 BCJ, Concordia, Entre Rios, Argentina; [Binolfi, Andres] Consejo Nacl Invest Cient &amp; Tecn CONICET, Inst Biol Mol &amp; Celular Rosario IBR, Ocampo &amp; Esmeralda S2000EZP, Rosario, Santa Fe, Argentina; [Binolfi, Andres] Plataforma Argentina Biol Estruct &amp; Metabolom PLA, RA-2000 Rosario, Argentina; [Mac Cormack, Walter P.] Univ Buenos Aires, Inst NANOBIOTEC, Catedra Biotecnol, Fac Farm &amp; Bioquim, Junin, Buenos Aires, Argentina; [Mac Cormack, Walter P.] Inst Antartico Argentino, 25 Mayo 1143 B1650HMK, San Martin, Buenos Aires, Argentina</t>
  </si>
  <si>
    <t>Consejo Nacional de Investigaciones Cientificas y Tecnicas (CONICET); University of Buenos Aires; Instituto Antartico Argentino</t>
  </si>
  <si>
    <t>Musumeci, MA (corresponding author), Consejo Nacl Invest Cient &amp; Tecn CONICET, Ctr Invest &amp; Transferencia Entre Rios CITER, Monsenor Tavella 1450,E3202 BCJ, Concordia, Entre Rios, Argentina.;Musumeci, MA (corresponding author), Univ Nacl Entre Rios, Fac Ciencias Alimentac, Monsenor Tavella 1450,E3202 BCJ, Concordia, Entre Rios, Argentina.</t>
  </si>
  <si>
    <t>matias.musumeci@uner.edu.ar</t>
  </si>
  <si>
    <t>Musumeci, Matias/0000-0003-2358-1365</t>
  </si>
  <si>
    <t>ANPCyT [PICT 2018-01372]; National University of Entre Rios [PID-UNER 8103]</t>
  </si>
  <si>
    <t>ANPCyT(ANPCyT); National University of Entre Rios</t>
  </si>
  <si>
    <t>This work was supported by ANPCyT (Grant PICT 2018-01372) and National University of Entre Rios (PID-UNER 8103).</t>
  </si>
  <si>
    <t>0273-2289</t>
  </si>
  <si>
    <t>1559-0291</t>
  </si>
  <si>
    <t>APPL BIOCHEM BIOTECH</t>
  </si>
  <si>
    <t>Appl. Biochem. Biotechnol.</t>
  </si>
  <si>
    <t>10.1007/s12010-021-03596-8</t>
  </si>
  <si>
    <t>Biochemistry &amp; Molecular Biology; Biotechnology &amp; Applied Microbiology</t>
  </si>
  <si>
    <t>UX9RB</t>
  </si>
  <si>
    <t>WOS:000657573600001</t>
  </si>
  <si>
    <t>Montgomery, K; Williams, TJ; Brettle, M; Berengut, JF; Ray, AE; Zhang, E; Zaugg, J; Hugenholtz, P; Ferrari, BC</t>
  </si>
  <si>
    <t>Montgomery, Kate; Williams, Timothy J.; Brettle, Merryn; Berengut, Jonathan F.; Ray, Angelique E.; Zhang, Eden; Zaugg, Julian; Hugenholtz, Philip; Ferrari, Belinda C.</t>
  </si>
  <si>
    <t>Persistence and resistance: survival mechanisms of Candidatus Dormibacterota from nutrient-poor Antarctic soils</t>
  </si>
  <si>
    <t>ENVIRONMENTAL MICROBIOLOGY</t>
  </si>
  <si>
    <t>MULTIPLE SEQUENCE ALIGNMENT; IN-SITU HYBRIDIZATION; RNA GENE DATABASE; MYCOBACTERIUM-TUBERCULOSIS; PHYLOGENETIC DIVERSITY; BACTERIAL COMMUNITIES; MICROBIAL COMMUNITIES; OXIDATIVE STRESS; GLYCINE BETAINE; ACTIVE LAYER</t>
  </si>
  <si>
    <t>Candidatus Dormibacterota is an uncultured bacterial phylum found predominantly in soil that is present in high abundances within cold desert soils. Here, we interrogate nine metagenome-assembled genomes (MAGs), including six new MAGs derived from soil metagenomes obtained from two eastern Antarctic sites. Phylogenomic and taxonomic analyses revealed these MAGs represent four genera and five species, representing two order-level clades within Ca. Dormibacterota. Metabolic reconstructions of these MAGs revealed the potential for aerobic metabolism, and versatile adaptations enabling persistence in the 'extreme' Antarctic environment. Primary amongst these adaptations were abilities to scavenge atmospheric H-2 and CO as energy sources, as well as using the energy derived from H-2 oxidation to fix atmospheric CO2 via the Calvin-Bassham-Benson cycle, using a RuBisCO type IE. We propose that these allow Ca. Dormibacterota to persist using H-2 oxidation and grow using atmospheric chemosynthesis in terrestrial Antarctica. Fluorescence in situ hybridization revealed Ca. Dormibacterota to be coccoid cells, 0.3-1.4 mu m in diameter, with some cells exhibiting the potential for a symbiotic or syntrophic lifestyle.</t>
  </si>
  <si>
    <t>[Montgomery, Kate; Williams, Timothy J.; Ray, Angelique E.; Zhang, Eden; Ferrari, Belinda C.] UNSW Sydney, Sch Biotechnol &amp; Biomol Sci, Randwick, NSW 2052, Australia; [Brettle, Merryn] UNSW Sydney, Mark Wainwright Analyt Ctr, Biomed Imaging Facil, Randwick, NSW 2052, Australia; [Berengut, Jonathan F.] UNSW Sydney, Sch Med Sci, EMBL Australia Node Single Mol Sci, Kensington, NSW 2052, Australia; [Zaugg, Julian; Hugenholtz, Philip] Univ Queensland, Australian Ctr Ecogen, Sch Chem &amp; Mol Biosci, St Lucia, Qld 4072, Australia</t>
  </si>
  <si>
    <t>University of New South Wales Sydney; University of New South Wales Sydney; University of New South Wales Sydney; University of Queensland</t>
  </si>
  <si>
    <t>Ferrari, BC (corresponding author), UNSW Sydney, Sch Biotechnol &amp; Biomol Sci, Randwick, NSW 2052, Australia.</t>
  </si>
  <si>
    <t>b.ferrari@unsw.edu.au</t>
  </si>
  <si>
    <t>Hugenholtz, Philip/AAD-9138-2019</t>
  </si>
  <si>
    <t>Hugenholtz, Philip/0000-0001-5386-7925; Ferrari, Belinda/0000-0001-5043-3726; Ray, Angelique/0000-0003-0051-1938; Williams, Timothy/0000-0002-2738-3019; Zaugg, Julian/0000-0002-4919-1448</t>
  </si>
  <si>
    <t>Australian Research Council Future Fellowship [FT170100341]; Australian Antarctic Science project [4406]; Faculty of Science, UNSW Sydney; Australian Research Council [FT170100341] Funding Source: Australian Research Council</t>
  </si>
  <si>
    <t>Australian Research Council Future Fellowship(Australian Research Council); Australian Antarctic Science project; Faculty of Science, UNSW Sydney; Australian Research Council(Australian Research Council)</t>
  </si>
  <si>
    <t>This research was funded through an Australian Research Council Future Fellowship (FT170100341) and an Australian Antarctic Science project grant (4406), both awarded to B.C.F. We wish to thank the Australian Antarctic Program expedition teams between 2005 and 2019 for collection of the Antarctic soils used in this study, especially M. Raymond, D. Wilkins and C. King. This research includes computations using the Linux computational cluster Katana supported by the Faculty of Science, UNSW Sydney. We thank M. Chuvochina for assistance with etymologies.</t>
  </si>
  <si>
    <t>1462-2912</t>
  </si>
  <si>
    <t>1462-2920</t>
  </si>
  <si>
    <t>ENVIRON MICROBIOL</t>
  </si>
  <si>
    <t>Environ. Microbiol.</t>
  </si>
  <si>
    <t>10.1111/1462-2920.15610</t>
  </si>
  <si>
    <t>UH2OX</t>
  </si>
  <si>
    <t>WOS:000657620700001</t>
  </si>
  <si>
    <t>[Anonymous]</t>
  </si>
  <si>
    <t>ICE SHAKER: DISTANT QUAKES RATTLE ANTARCTIC VOLCANO</t>
  </si>
  <si>
    <t>Solid Earth sciences</t>
  </si>
  <si>
    <t>Seismic activity is unleashed at the world's southernmost active volcano by major earthquakes in Chile and the Indian Ocean. Seismic activity is unleashed at the world's southernmost active volcano by major earthquakes in Chile and the Indian Ocean.</t>
  </si>
  <si>
    <t>10.1038/d41586-021-01364-6</t>
  </si>
  <si>
    <t>SJ9QU</t>
  </si>
  <si>
    <t>WOS:000655861000005</t>
  </si>
  <si>
    <t>Garnett, J; Halsall, C; Thomas, M; Crabeck, O; France, J; Joerss, H; Ebinghaus, R; Kaiser, J; Leeson, A; Wynn, PM</t>
  </si>
  <si>
    <t>Garnett, Jack; Halsall, Crispin; Thomas, Max; Crabeck, Odile; France, James; Joerss, Hanna; Ebinghaus, Ralf; Kaiser, Jan; Leeson, Amber; Wynn, Peter M.</t>
  </si>
  <si>
    <t>Investigating the Uptake and Fate of Poly- and Perfluoroalkylated Substances (PFAS) in Sea Ice Using an Experimental Sea Ice Chamber</t>
  </si>
  <si>
    <t>PFAS; sea ice; chemical enrichment; brine; biological exposure; Arctic</t>
  </si>
  <si>
    <t>DISSOLVED ORGANIC-MATTER; POLYFLUOROALKYL SUBSTANCES; CONTAMINANT RELEASE; INORGANIC NUTRIENTS; WATER; SNOW; BIOGEOCHEMISTRY; DYNAMICS; BEHAVIOR; SURFACE</t>
  </si>
  <si>
    <t>Poly- and perfluoroalkyl substances (PFAS) are contaminants of emerging Arctic concern and are present in the marine environments of the polar regions. Their input to and fate within the marine cryosphere are poorly understood. We conducted a series of laboratory experiments to investigate the uptake, distribution, and release of 10 PFAS of varying carbon chain length (C-4-C-12) in young sea ice grown from artificial seawater (NaClsolution). We show that PFAS are incorporated into bulk sea ice during ice formation and regression analyses for individual PFAS concentrations in bulk sea ice were linearly related to salinity (r(2) = 0.30 to 0.88, n = 18, p &lt; 0.05). This shows that their distribution is strongly governed by the presence and dynamics of brine (high salinity water) within the sea ice. Furthermore, long-chain PFAS (C-8-C-12), were enriched in bulk ice up to 3-fold more than short-chain PFAS (C-4-C-7) and NaCI. This suggests that chemical partitioning of PFAS between the different phases of sea ice also plays a role in their uptake during its formation. During sea ice melt, initial meltwater fractions were highly saline and predominantly contained short-chain PFAS, whereas the later, fresher meltwater fractions predominantly contained long-chain PFAS. Our results demonstrate that in highly saline parts of sea ice (near the upper and lower interfaces and in brine channels) significant chemical enrichment (epsilon) of PFAS can occur with concentrations in brine channels greatly exceeding those in seawater from which it forms (e.g., for PFOA, epsilon(brine) = 10 +/- 4). This observation has implications for biological exposure to PFAS present in brine channels, a common feature of first-year sea ice which is the dominant ice type in a warming Arctic.</t>
  </si>
  <si>
    <t>[Garnett, Jack; Halsall, Crispin; Leeson, Amber; Wynn, Peter M.] Univ Lancaster, Lancaster Environm Ctr, Lancaster LA1 4YQ, England; [Thomas, Max; Crabeck, Odile; France, James; Kaiser, Jan] Univ East Anglia, Ctr Ocean &amp; Atmospher Sci, Sch Environm Sci, Norwich NR4 7TJ, Norfolk, England; [Thomas, Max] Univ Otago, Dept Phys, Dunedin 9054, New Zealand; [France, James] British Antarctic Survey, Cambridge CB3 0ET, England; [France, James] Univ London, Dept Earth Sci Royal Holloway, Egham Hill, Egham TW20 0EX, Surrey, England; [Joerss, Hanna; Ebinghaus, Ralf] Helmholtz Zentrum Geesthacht Ctr Mat &amp; Coastal Re, D-21502 Geesthacht, Germany</t>
  </si>
  <si>
    <t>Lancaster University; University of East Anglia; University of Otago; UK Research &amp; Innovation (UKRI); Natural Environment Research Council (NERC); NERC British Antarctic Survey; University of London; Royal Holloway University London; Helmholtz Association; Helmholtz-Zentrum Hereon</t>
  </si>
  <si>
    <t>Halsall, C (corresponding author), Univ Lancaster, Lancaster Environm Ctr, Lancaster LA1 4YQ, England.</t>
  </si>
  <si>
    <t>c.halsall@lancaster.ac.uk</t>
  </si>
  <si>
    <t>Kaiser, Jan/D-3327-2009; France, James L/L-9719-2015; Leeson, Amber/JFA-1001-2023; /Q-6028-2018; Halsall, Crispin/D-8135-2014</t>
  </si>
  <si>
    <t>Kaiser, Jan/0000-0002-1553-4043; Garnett, Jack/0000-0001-9347-3808; /0000-0003-1882-9303; Wynn, Peter Michael/0000-0002-1221-5530; Halsall, Crispin/0000-0001-8007-9756; Joerss, Hanna/0000-0002-1779-1940; Leeson, Amber/0000-0001-8720-9808; Thomas, Max/0000-0002-2327-3664</t>
  </si>
  <si>
    <t>NERC's ENVISION Doctoral Training Centre [NE/L002604/1]; UKRI Natural Environment Research Council (NERC) [NE/R012857/1]; German Federal Ministry of Education and Research (BMBF) [NE/R012857/1]; European Union [730997]; British Antarctic Survey; NERC [NE/R012857/1, bas0100032] Funding Source: UKRI</t>
  </si>
  <si>
    <t>NERC's ENVISION Doctoral Training Centre; UKRI Natural Environment Research Council (NERC)(UK Research &amp; Innovation (UKRI)Natural Environment Research Council (NERC)); German Federal Ministry of Education and Research (BMBF)(Federal Ministry of Education &amp; Research (BMBF)); European Union(European Union (EU)); British Antarctic Survey; NERC(UK Research &amp; Innovation (UKRI)Natural Environment Research Council (NERC))</t>
  </si>
  <si>
    <t>J.G.'s PhD (NE/L002604/1) was funded through NERC's ENVISION Doctoral Training Centre. This work resulted from the EISPAC project (NE/R012857/1), part of the Changing Arctic Ocean programme, jointly funded by the UKRI Natural Environment Research Council (NERC) and the German Federal Ministry of Education and Research (BMBF). The authors are grateful to the British Antarctic Survey for providing funding (British Antarctic Survey Collaboration Voucher) to cover the running costs of the RvG-ASIC facility for the duration of the experimental period. This work has received funding from the European Union's Horizon 2020 research and innovation programme through the EUROCHAMP-2020 Infrastructure Activity under grant agreement No 730997. The authors would also like to thank the two anonymous reviewers whose insightful comments helped improve this manuscript.</t>
  </si>
  <si>
    <t>10.1021/acs.est.1c01645</t>
  </si>
  <si>
    <t>WOS:000677482500022</t>
  </si>
  <si>
    <t>Mezzasoma, A; Coleine, C; Sannino, C; Selbmann, L</t>
  </si>
  <si>
    <t>Mezzasoma, Ambra; Coleine, Claudia; Sannino, Ciro; Selbmann, Laura</t>
  </si>
  <si>
    <t>Endolithic Bacterial Diversity in Lichen-Dominated Communities Is Shaped by Sun Exposure in McMurdo Dry Valleys, Antarctica</t>
  </si>
  <si>
    <t>Antarctic cryptoendolithic communities; Bacteria; Southern Victoria Land; Sun exposure; Extreme environments</t>
  </si>
  <si>
    <t>CRYPTOENDOLITHIC MICROBIAL ENVIRONMENT; LAKE UNTERSEE; VICTORIA LAND; ROSS DESERT; SP NOV.; SOIL; ROCK; KTEDONOBACTERIA; BIODIVERSITY; REVEALS</t>
  </si>
  <si>
    <t>The diversity and composition of endolithic bacterial diversity of several locations in McMurdo Dry Valleys (Continental Antarctica) were explored using amplicon sequencing, targeting the V3 and V4 of the 16S region. Despite the increasing interest in edaphic factors that drive bacterial community composition in Antarctic rocky communities, few researchers focused attention on the direct effects of sun exposure on bacterial diversity; we herein reported significant differences in the northern and southern communities. The analysis of beta-diversity showed significant differences among sampled localities. For instance, the most abundant genera found in the north-exposed rocks were Rhodococcus and Blastococcus in Knobhead Mt.; Ktedonobacter and Cyanobacteria Family I Group I in Finger Mt.; Rhodococcus and Endobacter in University Valley; and Segetibacter and Tetrasphaera in Siegfried Peak samples. In south-exposed rocks, instead, the most abundant genera were Escherichia/Shigella and Streptococcus in Knobhead Mt.; Ktedonobacter and Rhodococcus in Finger Mt.; Ktedonobacter and Roseomonas in University Valley; and Blastocatella, Cyanobacteria Family I Group I and Segetibacter in Siegfried Peak. Significant biomarkers, detected by the Linear discriminant analysis Effect Size, were also found among north- and south-exposed communities. Besides, the large number of positive significant co-occurrences may suggest a crucial role of positive associations over competitions under the harsher conditions where these rock-inhabiting microorganisms spread. Although the effect of geographic distances in these extreme environments play a significant role in shaping biodiversity, the study of an edaphic factor, such as solar exposure, adds an important contribution to the mosaic of microbial biodiversity of Antarctic bacterial cryptoendolithic communities.</t>
  </si>
  <si>
    <t>[Mezzasoma, Ambra; Sannino, Ciro] Univ Perugia, Dept Agr Food &amp; Environm Sci, Borgo XX Giugno 74, I-06121 Perugia, Italy; [Coleine, Claudia; Selbmann, Laura] Univ Tuscia, Dept Ecol &amp; Biol Sci, Viterbo, Italy; [Selbmann, Laura] Italian Antarctic Natl Museum MNA, Mycol Sect, Genoa, Italy</t>
  </si>
  <si>
    <t>University of Perugia; Tuscia University</t>
  </si>
  <si>
    <t>Sannino, C (corresponding author), Univ Perugia, Dept Agr Food &amp; Environm Sci, Borgo XX Giugno 74, I-06121 Perugia, Italy.</t>
  </si>
  <si>
    <t>ciro.sannino@unipg.it</t>
  </si>
  <si>
    <t>Selbmann, Laura/L-3056-2013; Coleine, Claudia/AAE-1889-2020</t>
  </si>
  <si>
    <t>Selbmann, Laura/0000-0002-8967-3329; Coleine, Claudia/0000-0002-9289-6179; Sannino, Ciro/0000-0002-8611-9306</t>
  </si>
  <si>
    <t>Universita degli Studi di Perugia within the CRUI-CARE Agreement; Italian National Program for Antarctic Research [PNRA16_00194_A1]</t>
  </si>
  <si>
    <t>Universita degli Studi di Perugia within the CRUI-CARE Agreement; Italian National Program for Antarctic Research</t>
  </si>
  <si>
    <t>Open access funding provided by Universita degli Studi di Perugia within the CRUI-CARE Agreement. The research was supported by the Italian National Program for Antarctic Research (PNRA16_00194_A1).</t>
  </si>
  <si>
    <t>10.1007/s00248-021-01769-w</t>
  </si>
  <si>
    <t>ZL1WM</t>
  </si>
  <si>
    <t>WOS:000657567300002</t>
  </si>
  <si>
    <t>Kraemer, BM; Pilla, RM; Woolway, RI; Anneville, O; Ban, SH; Colom-Montero, W; Devlin, SP; Dokulil, MT; Gaiser, EE; Hambright, KD; Hessen, DO; Higgins, SN; Jöhnk, KD; Keller, W; Knoll, LB; Leavitt, PR; Lepori, F; Luger, MS; Maberly, SC; Müller-Navarra, DC; Paterson, AM; Pierson, DC; Richardson, DC; Rogora, M; Rusak, JA; Sadro, S; Salmaso, N; Schmid, M; Silow, EA; Sommaruga, R; Stelzer, JAA; Straile, D; Thiery, W; Timofeyev, MA; Verburg, P; Weyhenmeyer, GA; Adrian, R</t>
  </si>
  <si>
    <t>Kraemer, Benjamin M.; Pilla, Rachel M.; Woolway, R. Iestyn; Anneville, Orlane; Ban, Syuhei; Colom-Montero, William; Devlin, Shawn P.; Dokulil, Martin T.; Gaiser, Evelyn E.; Hambright, K. David; Hessen, Dag O.; Higgins, Scott N.; Johnk, Klaus D.; Keller, Wendel; Knoll, Lesley B.; Leavitt, Peter R.; Lepori, Fabio; Luger, Martin S.; Maberly, Stephen C.; Mueller-Navarra, Dorthe C.; Paterson, Andrew M.; Pierson, Donald C.; Richardson, David C.; Rogora, Michela; Rusak, James A.; Sadro, Steven; Salmaso, Nico; Schmid, Martin; Silow, Eugene A.; Sommaruga, Ruben; Stelzer, Julio A. A.; Straile, Dietmar; Thiery, Wim; Timofeyev, Maxim A.; Verburg, Piet; Weyhenmeyer, Gesa A.; Adrian, Rita</t>
  </si>
  <si>
    <t>Climate change drives widespread shifts in lake thermal habitat</t>
  </si>
  <si>
    <t>NATURE CLIMATE CHANGE</t>
  </si>
  <si>
    <t>FRESH-WATER; PLANKTOTHRIX-RUBESCENS; TRENDS; TEMPERATURE; VULNERABILITY; FUTURE; LIFE; STRATIFICATION; PHYTOPLANKTON; TRANSPARENCY</t>
  </si>
  <si>
    <t>Lake surfaces are warming worldwide, raising concerns about lake organism responses to thermal habitat changes. Species may cope with temperature increases by shifting their seasonality or their depth to track suitable thermal habitats, but these responses may be constrained by ecological interactions, life histories or limiting resources. Here we use 32 million temperature measurements from 139 lakes to quantify thermal habitat change (percentage of non-overlap) and assess how this change is exacerbated by potential habitat constraints. Long-term temperature change resulted in an average 6.2% non-overlap between thermal habitats in baseline (1978-1995) and recent (1996-2013) time periods, with non-overlap increasing to 19.4% on average when habitats were restricted by season and depth. Tropical lakes exhibited substantially higher thermal non-overlap compared with lakes at other latitudes. Lakes with high thermal habitat change coincided with those having numerous endemic species, suggesting that conservation actions should consider thermal habitat change to preserve lake biodiversity. Using measurements from 139 global lakes, the authors demonstrate how long-term thermal habitat change in lakes is exacerbated by species' seasonal and depth-related constraints. They further reveal higher change in tropical lakes, and those with high biodiversity and endemism.</t>
  </si>
  <si>
    <t>[Kraemer, Benjamin M.; Stelzer, Julio A. A.; Adrian, Rita] Leibniz Inst Freshwater Ecol &amp; Inland Fisheries, Berlin, Germany; [Pilla, Rachel M.] Miami Univ, Oxford, OH USA; [Woolway, R. Iestyn] Dundalk Inst Technol, Ctr Freshwater &amp; Environm Studies, Dundalk, Ireland; [Woolway, R. Iestyn] European Space Agcy Climate Off, ECSAT, Harwell Campus, Didcot, England; [Anneville, Orlane] Univ Savoie Mont Blanc, Natl Res Inst Agr Food &amp; Environm, INRAE, CARRTEL, Thonon Les Bains, France; [Ban, Syuhei] Univ Shiga Prefecture, Hikone, Japan; [Colom-Montero, William] Uppsala Univ, Norrtalje, Sweden; [Devlin, Shawn P.] Univ Montana, Polson, MT USA; [Dokulil, Martin T.] Univ Innsbruck, Mondsee, Austria; [Gaiser, Evelyn E.] Florida Int Univ, Miami, FL USA; [Hambright, K. David] Univ Oklahoma, Norman, OK USA; [Hessen, Dag O.] Univ Oslo, Oslo, Norway; [Higgins, Scott N.] IISD Expt Lakes Area Inc, Winnipeg, MB, Canada; [Johnk, Klaus D.] Commonwealth Sci &amp; Ind Res Org, Canberra, ACT, Australia; [Keller, Wendel] Laurentian Univ, Sudbury, ON, Canada; [Knoll, Lesley B.] Univ Minnesota, Lake Itasca, MN USA; [Leavitt, Peter R.] Univ Regina, Regina, SK, Canada; [Leavitt, Peter R.] Queens Univ Belfast, Belfast, Antrim, North Ireland; [Lepori, Fabio] Univ Appl Sci &amp; Arts Southern Switzerland, Canobbio, Switzerland; [Luger, Martin S.] Fed Agcy Water Management, Mondsee, Austria; [Maberly, Stephen C.] UK Ctr Ecol &amp; Hydrol, Lancaster, England; [Mueller-Navarra, Dorthe C.] Univ Hamburg, Hamburg, Germany; [Paterson, Andrew M.; Rusak, James A.] Ontario Minist Environm Conservat &amp; Pk, Dorset, ON, Canada; [Paterson, Andrew M.; Rusak, James A.] Queens Univ, Kingston, ON, Canada; [Pierson, Donald C.; Weyhenmeyer, Gesa A.] Uppsala Univ, Uppsala, Sweden; [Richardson, David C.] State Univ New York New Paltz, New Paltz, NY USA; [Rogora, Michela] CNR, IRSA, Water Res Inst, Verbania, Italy; [Sadro, Steven] Univ Calif Davis, Davis, CA 95616 USA; [Salmaso, Nico] Fdn Edmund Mach, Res &amp; Innovat Ctr, San Michele All Adige, Italy; [Schmid, Martin] Swiss Fed Inst Aqut Sci &amp; Technol, Eawag, Kastanienbaum, Switzerland; [Silow, Eugene A.; Timofeyev, Maxim A.] Irkutsk State Univ, Irkutsk, Russia; [Sommaruga, Ruben] Univ Innsbruck, Dept Ecol, Innsbruck, Austria; [Stelzer, Julio A. A.] Univ Geneva, Geneva, Switzerland; [Stelzer, Julio A. A.; Adrian, Rita] Free Univ Berlin, Berlin, Germany; [Straile, Dietmar] Univ Konstanz, Constance, Germany; [Thiery, Wim] Swiss Fed Inst Technol, Zurich, Switzerland; [Thiery, Wim] Vrije Univ Brussel, Brussels, Belgium; [Verburg, Piet] Natl Inst Water &amp; Atmospher Res, Hamilton, New Zealand</t>
  </si>
  <si>
    <t>Leibniz Institut fur Gewasserokologie und Binnenfischerei (IGB); University System of Ohio; Miami University; Dundalk Institute of Technology; Universite Savoie Mont Blanc; INRAE; University Shiga Prefecture; Uppsala University; University of Montana System; University of Montana; University of Innsbruck; State University System of Florida; Florida International University; University of Oklahoma System; University of Oklahoma - Norman; University of Oslo; Commonwealth Scientific &amp; Industrial Research Organisation (CSIRO); Laurentian University; University of Minnesota System; University of Regina; Queens University Belfast; UK Centre for Ecology &amp; Hydrology (UKCEH); University of Hamburg; Queens University - Canada; Uppsala University; State University of New York (SUNY) System; SUNY New Paltz; Consiglio Nazionale delle Ricerche (CNR); Istituto di Ricerca sulle Acque (IRSA-CNR); University of California System; University of California Davis; Fondazione Edmund Mach; Swiss Federal Institutes of Technology Domain; Swiss Federal Institute of Aquatic Science &amp; Technology (EAWAG); Irkutsk State University; University of Innsbruck; University of Geneva; Free University of Berlin; University of Konstanz; Swiss Federal Institutes of Technology Domain; ETH Zurich; Vrije Universiteit Brussel; National Institute of Water &amp; Atmospheric Research (NIWA) - New Zealand</t>
  </si>
  <si>
    <t>Kraemer, BM (corresponding author), Leibniz Inst Freshwater Ecol &amp; Inland Fisheries, Berlin, Germany.</t>
  </si>
  <si>
    <t>ben.m.kraemer@gmail.com</t>
  </si>
  <si>
    <t>Sommaruga, Ruben/P-6626-2019; Thiery, Wim/AAJ-6692-2021; Lepori, Fabio/F-8966-2012; Salmaso, Nico/O-8968-2015; Maberly, Stephen C/J-3361-2012; Hessen, Dag Olav/AFI-5448-2022; Higgins, Scott N/F-5700-2016; ROGORA, MICHELA/AAA-6590-2022; Jöhnk, Klaus/B-3382-2008; Kraemer, Benjamin/AAV-9299-2021; Hambright, Karl D/D-4086-2012; Weyhenmeyer, Gesa/Y-6135-2019; Timofeyev, Maxim/F-2071-2010; Leavitt, Peter R/A-1048-2013; Straile, Dietmar/A-4065-2008; ROGORA, MICHELA/IZD-8951-2023; Silow, Eugene/C-2958-2011; Devlin, Shawn P/C-3426-2011; Sadro, Steven/AGC-7944-2022; Schmid, Martin/C-3953-2009</t>
  </si>
  <si>
    <t>Sommaruga, Ruben/0000-0002-1055-2461; Thiery, Wim/0000-0002-5183-6145; Hessen, Dag Olav/0000-0002-0154-7847; ROGORA, MICHELA/0000-0003-3515-0220; Jöhnk, Klaus/0000-0002-5972-4201; Kraemer, Benjamin/0000-0002-3390-9005; Hambright, Karl D/0000-0002-5592-963X; Weyhenmeyer, Gesa/0000-0002-4013-2281; Timofeyev, Maxim/0000-0002-5250-6818; Leavitt, Peter R/0000-0001-9805-9307; Straile, Dietmar/0000-0002-7441-8552; ROGORA, MICHELA/0000-0003-3515-0220; Silow, Eugene/0000-0002-7039-3220; Pilla, Rachel/0000-0001-9156-9486; Ban, Syuhei/0000-0002-7168-5583; Schmid, Martin/0000-0001-8699-5691; Alegre Stelzer, Julio Alberto/0000-0002-4914-8925; Rusak, James/0000-0002-4939-6478; Dokulil, Martin/0000-0002-6369-1457; Knoll, Lesley/0000-0003-0347-5979; Colom Montero, William/0000-0002-2035-2498; Gaiser, Evelyn/0000-0003-2065-4821; verburg, piet/0000-0001-7574-9161; Lepori, Fabio/0000-0002-6438-9452</t>
  </si>
  <si>
    <t>GLEON; Belarus Republican Foundation for Fundamental Research; Leibniz Institute for Freshwater Ecology and Inland Fisheries Long-Term Research (Germany); 2017-2018 Belmont Forum and BiodivERsA joint call for research proposals under the BiodivScen ERA-Net COFUND programme; German Science Foundation [AD 91/22-1]; Universidad del Valle de Guatemala; Oklahoma Department of Wildlife Conservation (Sport Fish Restoration Program; United States) [F-61-R]; Archbold Biological Station; Oklahoma Water Resources Board; Grand River Dam Authority; United States Army Corps of Engineers; City of Tulsa; Ministry of Business, Innovation and Employment (New Zealand) [UOW X1503]; Natural Environment Research Council of the United Kingdom [NE/R016429/1]; Lacawac Sanctuary and Biological Field Station; Ontario Ministry of the Environment; Natural Sciences and Engineering Research Council of Canada; Canada Foundation for Innovation; Canada Research Chairs; Province of Saskatchewan, Canada; University of Regina, Canada; Queen's University Belfast, United Kingdom; California Air Resources Board; United States National Aeronautics and Space Administration; United States National Park Service; European Ministry of Higher Education and Research [671 6.1387.2017]; Environmental Agency of Verona; United States National Science Foundation [DEB-1754276, DEB-1242626, DEB-1950170]; Gordon and Betty Moore Foundation; Mellon Foundation; University of Washington; Tyrolean Alps Long-Term Sociological Ecological and Research (LTSER, Austria); Waikato Regional Council; Bay of Plenty Regional Council; Observatory of Lakes (OLA); SILA; CISALB; CIPEL (SOERE-OLA); Norwegian Water Resources and Energy Directorate (NVE); Russian Science Foundation [20-64-46003]; Russian Ministry of Higher Education and Research [FZZE-2020-0026, FZZE-2020-0023]; Lake Baikal Foundation for Support of Applied Ecological Research and Development; British Antarctic Survey; International Long-Term Ecological Research Network; United States Environmental Protection Agency; Lake Tahoe Environmental Research Center; Yigal Allon Kinneret Limnological Laboratory; City of Zurich Water Supply; Office of Waste, Water, Energy and Air, Canton of Zurich; Shiga Prefectural Fishery Experiment Station; Experimental Lakes Area of Canada; University of Nevada, Reno; Belgian Federal Science Policy Office (BELSPO) [EAGLES CD/AR/02A]; National Capital Authority (ACT, Australia); Swedish Environmental Protection Agency; Swedish Infrastructure for Ecosystem Sciences by the Swedish Research Council [2017-00635]; International Commission for the Protection of Italian-Swiss Waters (CIPAIS); International Commission for the Protection of Lake Constance; Max Planck Institute for Limnology; European Union [722518]; Swedish Research Council [2017-00635] Funding Source: Swedish Research Council; NERC [NE/R016429/1] Funding Source: UKRI; Russian Science Foundation [20-64-46003] Funding Source: Russian Science Foundation; Marie Curie Actions (MSCA) [722518] Funding Source: Marie Curie Actions (MSCA)</t>
  </si>
  <si>
    <t>GLEON; Belarus Republican Foundation for Fundamental Research; Leibniz Institute for Freshwater Ecology and Inland Fisheries Long-Term Research (Germany); 2017-2018 Belmont Forum and BiodivERsA joint call for research proposals under the BiodivScen ERA-Net COFUND programme; German Science Foundation(German Research Foundation (DFG)); Universidad del Valle de Guatemala; Oklahoma Department of Wildlife Conservation (Sport Fish Restoration Program; United States); Archbold Biological Station; Oklahoma Water Resources Board; Grand River Dam Authority; United States Army Corps of Engineers(United States Department of DefenseUnited States Army); City of Tulsa; Ministry of Business, Innovation and Employment (New Zealand)(New Zealand Ministry of Business, Innovation and Employment (MBIE)); Natural Environment Research Council of the United Kingdom(UK Research &amp; Innovation (UKRI)Natural Environment Research Council (NERC)); Lacawac Sanctuary and Biological Field Station; Ontario Ministry of the Environment; Natural Sciences and Engineering Research Council of Canada(Natural Sciences and Engineering Research Council of Canada (NSERC)CGIAR); Canada Foundation for Innovation(Canada Foundation for InnovationCGIARSpanish Government); Canada Research Chairs(Canada Research ChairsCGIAR); Province of Saskatchewan, Canada; University of Regina, Canada; Queen's University Belfast, United Kingdom; California Air Resources Board; United States National Aeronautics and Space Administration(National Aeronautics &amp; Space Administration (NASA)); United States National Park Service; European Ministry of Higher Education and Research; Environmental Agency of Verona; United States National Science Foundation(National Science Foundation (NSF)); Gordon and Betty Moore Foundation(Gordon and Betty Moore Foundation); Mellon Foundation; University of Washington(University of Washington); Tyrolean Alps Long-Term Sociological Ecological and Research (LTSER, Austria); Waikato Regional Council; Bay of Plenty Regional Council; Observatory of Lakes (OLA); SILA; CISALB; CIPEL (SOERE-OLA); Norwegian Water Resources and Energy Directorate (NVE)(Norwegian Water Resources &amp; Energy Directorate); Russian Science Foundation(Russian Science Foundation (RSF)); Russian Ministry of Higher Education and Research; Lake Baikal Foundation for Support of Applied Ecological Research and Development; British Antarctic Survey; International Long-Term Ecological Research Network; United States Environmental Protection Agency(United States Environmental Protection Agency); Lake Tahoe Environmental Research Center; Yigal Allon Kinneret Limnological Laboratory; City of Zurich Water Supply; Office of Waste, Water, Energy and Air, Canton of Zurich; Shiga Prefectural Fishery Experiment Station; Experimental Lakes Area of Canada; University of Nevada, Reno; Belgian Federal Science Policy Office (BELSPO)(Belgian Federal Science Policy Office); National Capital Authority (ACT, Australia); Swedish Environmental Protection Agency; Swedish Infrastructure for Ecosystem Sciences by the Swedish Research Council(Swedish Research Council); International Commission for the Protection of Italian-Swiss Waters (CIPAIS); International Commission for the Protection of Lake Constance; Max Planck Institute for Limnology(Max Planck Society); European Union(European Union (EU)); Swedish Research Council(Swedish Research Council); NERC(UK Research &amp; Innovation (UKRI)Natural Environment Research Council (NERC)); Russian Science Foundation(Russian Science Foundation (RSF)); Marie Curie Actions (MSCA)(Marie Curie Actions)</t>
  </si>
  <si>
    <t>This work was initiated through the Global Lake Ecological Observatory Network (GLEON) and benefitted from continued participation and travel support from GLEON. We thank C. Munteanu, K. Kakouei, M. Thayne and U. Scharfenberger for their constructive discussions about the manuscript. Funding and data in support of this work also came from the following sources: Belarus Republican Foundation for Fundamental Research; Leibniz Institute for Freshwater Ecology and Inland Fisheries Long-Term Research (Germany); 2017-2018 Belmont Forum and BiodivERsA joint call for research proposals under the BiodivScen ERA-Net COFUND programme; and with the funding organizations German Science Foundation (grant no. AD 91/22-1); Universidad del Valle de Guatemala; Oklahoma Department of Wildlife Conservation (through the Sport Fish Restoration Program, Grant F-61-R; United States); Archbold Biological Station; Oklahoma Water Resources Board; Grand River Dam Authority; United States Army Corps of Engineers; City of Tulsa; Ministry of Business, Innovation and Employment (grant no. UOW X1503; New Zealand); Natural Environment Research Council of the United Kingdom (grant no. NE/R016429/1); Lacawac Sanctuary and Biological Field Station; Ontario Ministry of the Environment; Natural Sciences and Engineering Research Council of Canada; Canada Foundation for Innovation; Canada Research Chairs; Province of Saskatchewan, Canada; University of Regina, Canada; Queen's University Belfast, United Kingdom; California Air Resources Board; United States National Aeronautics and Space Administration; United States National Park Service; European Ministry of Higher Education and Research (grant no. 671 6.1387.2017); Environmental Agency of Verona; United States National Science Foundation (grant nos. DEB-1754276, DEB-1242626 and DEB-1950170); Gordon and Betty Moore Foundation; Mellon Foundation; University of Washington; Tyrolean Alps Long-Term Sociological Ecological and Research (LTSER, Austria); Waikato Regional Council; Bay of Plenty Regional Council; the Observatory of Lakes (OLA); SILA; CISALB; CIPEL (SOERE-OLA, [downloaded in January 2014]); The Norwegian Water Resources and Energy Directorate (NVE), by courtesy of A. S. Kvambekk; Russian Science Foundation (grant no. 20-64-46003); Russian Ministry of Higher Education and Research (grant nos. FZZE-2020-0026 and FZZE-2020-0023); Lake Baikal Foundation for Support of Applied Ecological Research and Development (https://baikalfoundation.ru/project/tochka-1/); British Antarctic Survey; International Long-Term Ecological Research Network; United States Environmental Protection Agency; Lake Tahoe Environmental Research Center; Yigal Allon Kinneret Limnological Laboratory; City of Zurich Water Supply; Office of Waste, Water, Energy and Air, Canton of Zurich; Shiga Prefectural Fishery Experiment Station; Experimental Lakes Area of Canada; University of Nevada, Reno; Belgian Federal Science Policy Office (BELSPO project EAGLES CD/AR/02A); National Capital Authority (ACT, Australia); Swedish Environmental Protection Agency; Swedish Infrastructure for Ecosystem Sciences financed by the Swedish Research Council (grant no. 2017-00635); International Commission for the Protection of Italian-Swiss Waters (CIPAIS); International Commission for the Protection of Lake Constance; Max Planck Institute for Limnology; and the European Union's Horizon 2020 Research and Innovation Programme under the Marie Sklodowska-Curie grant no. 722518 (MANTEL).</t>
  </si>
  <si>
    <t>1758-678X</t>
  </si>
  <si>
    <t>1758-6798</t>
  </si>
  <si>
    <t>NAT CLIM CHANGE</t>
  </si>
  <si>
    <t>Nat. Clim. Chang.</t>
  </si>
  <si>
    <t>10.1038/s41558-021-01060-3</t>
  </si>
  <si>
    <t>Environmental Sciences; Environmental Studies; Meteorology &amp; Atmospheric Sciences</t>
  </si>
  <si>
    <t>SN4PI</t>
  </si>
  <si>
    <t>Green Published, Green Accepted, hybrid</t>
  </si>
  <si>
    <t>WOS:000657627300003</t>
  </si>
  <si>
    <t>Dalziel, IWD; Macdonald, DIM; Stone, P; Storey, BC</t>
  </si>
  <si>
    <t>Dalziel, Ian W. D.; Macdonald, David I. M.; Stone, Philip; Storey, Bryan C.</t>
  </si>
  <si>
    <t>South Georgia microcontinent: Displaced fragment of the southernmost Andes</t>
  </si>
  <si>
    <t>South Georgia; Scotia Arc; Tierra del Fuego; Andes; North Scotia Ridge</t>
  </si>
  <si>
    <t>BACK-ARC BASIN; TIERRA-DEL-FUEGO; NORTH-SCOTIA-RIDGE; ANTARCTICA PLATE BOUNDARY; TECTONIC EVOLUTION; MARGINAL BASIN; GEOCHEMICAL DATA; TEKENIKA BEDS; U-PB; AGE</t>
  </si>
  <si>
    <t>The mountainous, glaciated island of South Georgia is the crest of one of the most isolated fragments of continental crust on Earth. It is located approximately 1700 km east of the southern termination of the Andean Cordillera of South America. The island is primarily composed of Lower Cretaceous turbidites, the infill of a marginal basin floored by stretched continental and ophiolitic crust. Remnants of a volcanic arc are preserved on offshore islands to the southwest. The Pacific hinterland of the southernmost Andes is missing in Tierra del Fuego, terminating at a submarine escarpment forming the continental margin immediately east of Cape Horn. The arc and back-arc basin infill rocks of South Georgia correspond exactly to part of the missing Cordilleran hinterland. The mechanism of transport of the South Georgia microcontinent eastward relative to South America remains obscure, but likely involved some form of `escape tectonics' during mid- to Late Cretaceous counterclockwise rotation of the arc that led to closure and inversion of the marginal basin.</t>
  </si>
  <si>
    <t>[Dalziel, Ian W. D.] Univ Texas Austin, Inst Geophys, Jackson Sch Geosci, JJ Pickle Res Campus,10100 Burnet Rd,Bldg 196, Austin, TX 78758 USA; [Macdonald, David I. M.] Univ Aberdeen, Kings Coll, Sch Geosci, Aberdeen AB24 3FX, Scotland; [Stone, Philip] British Geol Survey, Lyell Ctr, Edinburgh EH14 4AP, Midlothian, Scotland; [Storey, Bryan C.] Univ Canterbury, Coll Sci, Gateway Antarctica, Private Bag 4800, Christchurch 8140, New Zealand</t>
  </si>
  <si>
    <t>University of Texas System; University of Texas Austin; University of Aberdeen; UK Research &amp; Innovation (UKRI); Natural Environment Research Council (NERC); NERC British Geological Survey; University of Canterbury</t>
  </si>
  <si>
    <t>Dalziel, IWD (corresponding author), Univ Texas Austin, Inst Geophys, Jackson Sch Geosci, JJ Pickle Res Campus,10100 Burnet Rd,Bldg 196, Austin, TX 78758 USA.</t>
  </si>
  <si>
    <t>ian@ig.utexas.edu; d.macdonald@abdn.ac.uk; psto@bgs.ac.uk; b.storey@xtra.co.nz</t>
  </si>
  <si>
    <t>Dalziel, Ian W. D./G-5926-2010</t>
  </si>
  <si>
    <t>United States Antarctic Program of the National Science Foundation (IWDD); British Antarctic Survey, Natural Environment Research Council; NERC [bgs06006] Funding Source: UKRI</t>
  </si>
  <si>
    <t>United States Antarctic Program of the National Science Foundation (IWDD); British Antarctic Survey, Natural Environment Research Council; NERC(UK Research &amp; Innovation (UKRI)Natural Environment Research Council (NERC))</t>
  </si>
  <si>
    <t>The authors wish to acknowledge the logistic and financial support of the United States Antarctic Program of the National Science Foundation (IWDD) and the British Antarctic Survey, Natural Environment Research Council (DIMM, PS, BCS) . PS contributes here by permission of the Ex-ecutive Director, British Geological Survey, UKRI. None of their work in the Scotia Arc region could have been accomplished without the enthusiastic professional assistance of numerous scientific colleagues, students, ships'crews, and field assistants. IWDD would particularly liketo acknowledge the contribution of the late Professor Robert H. Dott Jr. of the University of Wisconsin-Madison, whose initial work in the Scotia Arc region as part of the 1957-58 International Geophysical Year pro-vided the impetus and stimulus for his own research. DIMM, PS and BCS acknowledge the enormous contribution of Dr. P.W.G. ('Geoff') Tanner, as leader of the British Antarctic Survey's South Georgia Project from 1973 to 1980.</t>
  </si>
  <si>
    <t>10.1016/j.earscirev.2021.103671</t>
  </si>
  <si>
    <t>UY8MV</t>
  </si>
  <si>
    <t>WOS:000701772400002</t>
  </si>
  <si>
    <t>Weitzner, EL; Pearson, LE; Tomanek, L; Liwanag, HEM</t>
  </si>
  <si>
    <t>Weitzner, Emma L.; Pearson, Linnea E.; Tomanek, Lars; Liwanag, Heather E. M.</t>
  </si>
  <si>
    <t>Early diving behavior in Weddell seal (Leptonychotes weddellii) pups</t>
  </si>
  <si>
    <t>JOURNAL OF MAMMALOGY</t>
  </si>
  <si>
    <t>Antarctic; dive development; dive duration; phocid</t>
  </si>
  <si>
    <t>PLEURAGRAMMA-ANTARCTICUM PISCES; ARCTIC MARINE MAMMALS; OXYGEN STORES; MCMURDO-SOUND; INDIVIDUAL HETEROGENEITY; CLIMATE-CHANGE; ROSS SEA; ABUNDANCE; PATTERNS; RECRUITMENT</t>
  </si>
  <si>
    <t>During the dependency period in mammals with parental care, offspring must develop the behavioral skills that allow them to forage independently and thus survive into early adulthood. Deep-diving Weddell seals (Leptonychotes weddellii) are a model species for research on diving physiology, yet previous studies lack a thorough investigation into the diving behavior of dependent pups when they first begin to enter the water. To capture fine-scale dive behavior during the dependency period, we deployed time-depth recorders (TDRs) on Weddell seal pups (n = 18) from the age of 1 week through 7 weeks, during the 2017 and 2019 breeding seasons in McMurdo Sound, Antarctica. Dive parameters were correlated with time of day, age, sex, and weaning status, to characterize diving behavior, and we used raw wet/dry data to determine which times of the day pups were most likely to be in the water. Pups made their deepest and longest dives and had the longest post-dive durations in the morning hours. Pups were in the water more during the late night and morning hours than in the afternoon. Whereas dive depth significantly increased with age, dive duration significantly increased with age and after weaning. Post-dive duration significantly decreased with age and after weaning. We discuss how dependent pups may prioritize the development of swimming and navigational abilities as opposed to building and practicing foraging skills.</t>
  </si>
  <si>
    <t>[Weitzner, Emma L.; Pearson, Linnea E.; Tomanek, Lars; Liwanag, Heather E. M.] Calif Polytech State Univ San Luis Obispo, Dept Biol Sci, San Luis Obispo, CA 93401 USA</t>
  </si>
  <si>
    <t>California State University System; California Polytechnic State University San Luis Obispo</t>
  </si>
  <si>
    <t>Weitzner, EL (corresponding author), Calif Polytech State Univ San Luis Obispo, Dept Biol Sci, San Luis Obispo, CA 93401 USA.</t>
  </si>
  <si>
    <t>emmaweitzner82@gmail.com</t>
  </si>
  <si>
    <t>Liwanag, Heather/0000-0003-3250-2542; Weitzner, Emma/0000-0002-6871-3678</t>
  </si>
  <si>
    <t>National Science Foundation [ANT-1543539]; United States Antarctic Program; Leidos ASC</t>
  </si>
  <si>
    <t>National Science Foundation(National Science Foundation (NSF)); United States Antarctic Program; Leidos ASC</t>
  </si>
  <si>
    <t>This research was funded by National Science Foundation grant ANT-1543539 and supported by the United States Antarctic Program, Leidos ASC. Thank you to everyone at McMurdo Station including, but not limited to Science Cargo, Crary Lab, and the Galley crew. Thank you to B-009 (Dr. Jay Rotella, Kaitlin MacDonald, Shane Petch, Alissa Anderson, Heather Brown, Kaitlin Cunningham, Brandon Davis, Jesse DeVoe, Aubrey Power, Holly Tuers-Lance, and Victor Villalobos) for their help identifying study animals. We are very grateful to The Marine Mammal Center for their veterinary support and assistance, namely from Drs. Shawn Johnson, Heather Harris, Emily Whitmer, and Sophie Whoriskey. A huge thank you to field team members Erin Brodie and Bridget Ward. We also thank Dr. Andrew Schaffner and Dr. Samuel Frame for their assistance with statistical analyses, and Dr. Jason Waite, Dr. Kenady Wilson, and Max Czipansky, for their assistance with data processing. The Cal Poly Biological Sciences Department provided invaluable aid in the project, with a special thank you to Dr. Jason Blank for his feedback and assistance.</t>
  </si>
  <si>
    <t>0022-2372</t>
  </si>
  <si>
    <t>1545-1542</t>
  </si>
  <si>
    <t>J MAMMAL</t>
  </si>
  <si>
    <t>J. Mammal.</t>
  </si>
  <si>
    <t>10.1093/jmammal/gyab058</t>
  </si>
  <si>
    <t>UE2XB</t>
  </si>
  <si>
    <t>WOS:000687755600003</t>
  </si>
  <si>
    <t>Woodworth, PL; Hunter, JR; Marcos, M; Hughes, CW</t>
  </si>
  <si>
    <t>Woodworth, Philip L.; Hunter, John R.; Marcos, Marta; Hughes, Chris W.</t>
  </si>
  <si>
    <t>Towards reliable global allowances for sea level rise</t>
  </si>
  <si>
    <t>Extreme sea level parameters; GESLA-2 tide gauge data set; Tide-surge-ocean modelling; Coastal flood protection</t>
  </si>
  <si>
    <t>NORTH-ATLANTIC</t>
  </si>
  <si>
    <t>Tide gauge data and information from tide, surge and ocean models have been used to calculate and validate the Gumbel scale parameters of extreme sea level distributions along the world coastline. The inclusion of ocean model information is found to result in significantly improved correspondence between observed and modelled scale parameters to that obtained using tide and surge model information alone. The scale parameters so obtained are shown to be consistent with findings reported previously, such as in assessments of the Intergovernmental Panel on Climate Change. However, the considerably improved provision of scale parameters along the coast means that coastal planners, and others concerned with impacts of sea level rise, can now undertake more complete investigations of the likely increase in sea level exceedance frequencies. In addition, coastal engineers will have access to more reliable estimates of the 'sea level allowances' needed to design defences for protecting coastal populations.</t>
  </si>
  <si>
    <t>[Woodworth, Philip L.; Hughes, Chris W.] Natl Oceanog Ctr, Joseph Proudman Bldg,6 Brownlow St, Liverpool L3 5DA, Merseyside, England; [Hunter, John R.] Univ Tasmania, Inst Marine &amp; Antarctic Studies, Private Bag 129, Hobart, Tas 7001, Australia; [Marcos, Marta] IMEDEA UIB CSIC, Miquel Marques 21, Esporles 07190, Balearic Island, Spain; [Marcos, Marta] Univ Balearic Isl, Dept Phys, Cra Valldemossa,Km 7-5, Palma De Mallorca, Spain; [Hughes, Chris W.] Univ Liverpool, Dept Earth Ocean &amp; Ecol Sci, Jane Herdman Bldg,4 Brownlow St, Liverpool L69 3GP, Merseyside, England</t>
  </si>
  <si>
    <t>NERC National Oceanography Centre; University of Tasmania; Consejo Superior de Investigaciones Cientificas (CSIC); ATTITUS Educacao; Universitat de les Illes Balears; University of Liverpool</t>
  </si>
  <si>
    <t>Woodworth, PL (corresponding author), Natl Oceanog Ctr, Joseph Proudman Bldg,6 Brownlow St, Liverpool L3 5DA, Merseyside, England.</t>
  </si>
  <si>
    <t>plw@noc.ac.uk</t>
  </si>
  <si>
    <t>Hughes, Chris/GQP-7479-2022; Marcos, Marta/C-7053-2012; Hughes, Chris/A-3791-2010</t>
  </si>
  <si>
    <t>Hughes, Chris/0000-0002-9355-0233; Woodworth, Philip/0000-0002-6681-239X</t>
  </si>
  <si>
    <t>10.1016/j.gloplacha.2021.103522</t>
  </si>
  <si>
    <t>TM9RU</t>
  </si>
  <si>
    <t>WOS:000675884600001</t>
  </si>
  <si>
    <t>Newsham, KK</t>
  </si>
  <si>
    <t>Newsham, Kevin K.</t>
  </si>
  <si>
    <t>Fine hyphal coils in the liverwort Cephaloziella varians increase in frequency in response to experimental warming in maritime Antarctica</t>
  </si>
  <si>
    <t>MYCORRHIZA</t>
  </si>
  <si>
    <t>Cephaloziella varians; Leafy liverwort; Maritime and sub-Antarctica; Open top chambers; Palaeoclimatology; Surface temperature</t>
  </si>
  <si>
    <t>REGENERATION; TEMPERATURE; BRYOPHYTES; POLAR</t>
  </si>
  <si>
    <t>Previous studies have shown changes to the frequencies of hyphal coils and other fungal structures in leafy liverwort tissues across latitudinal transects through Antarctica. Although suggestive of a role of temperature in determining the frequencies of fungal structures, these studies could not exclude the possibility that other factors which alter at lower latitudes-notably liquid water availability-were responsible for the observed patterns of fungal colonisation. Here, in a field experiment in maritime Antarctica, the effects of warming with open top chambers (OTCs) on the frequencies of fungal structures in the leafy liverwort Cephaloziella varians were determined. At five samplings of the experiment taking place 5-10 years after its deployment, OTCs, which increased the summertime temperature of C. varians mats by 1.1 degrees C, but had no measurable effects on mat moisture concentration, were found to double the frequencies of fine hyphal coils in liverwort tissues. Over the duration of the experiment, the OTCs also significantly increased the frequency of rhizoids on C. varians stems, but had no effects on the frequencies of coarse hyphal coils, dark septate hyphae, hyaline septate hyphae, or hyphal colonisation of rhizoids. Given that C. varians can be recovered from frozen peatbank cores, it is proposed that the abundance of fine hyphal coils in its tissues might be used as a signal of recent climate warming on the Antarctic Peninsula.</t>
  </si>
  <si>
    <t>[Newsham, Kevin K.] British Antarctic Survey, Nat Environm Res Council, Madingley Rd, Cambridge CB3 0ET, England</t>
  </si>
  <si>
    <t>Newsham, KK (corresponding author), British Antarctic Survey, Nat Environm Res Council, Madingley Rd, Cambridge CB3 0ET, England.</t>
  </si>
  <si>
    <t>kne@bas.ac.uk</t>
  </si>
  <si>
    <t>British Antarctic Survey Long Term Monitoring programme; NERC [bas0100036] Funding Source: UKRI</t>
  </si>
  <si>
    <t>British Antarctic Survey Long Term Monitoring programme; NERC(UK Research &amp; Innovation (UKRI)Natural Environment Research Council (NERC))</t>
  </si>
  <si>
    <t>This research was funded by the British Antarctic Survey Long Term Monitoring programme.</t>
  </si>
  <si>
    <t>0940-6360</t>
  </si>
  <si>
    <t>1432-1890</t>
  </si>
  <si>
    <t>Mycorrhiza</t>
  </si>
  <si>
    <t>10.1007/s00572-021-01037-2</t>
  </si>
  <si>
    <t>Plant Sciences; Mycology</t>
  </si>
  <si>
    <t>TG4JA</t>
  </si>
  <si>
    <t>WOS:000657191200001</t>
  </si>
  <si>
    <t>Risbey, JS; Monselesan, DP; Black, AS; Moore, TS; Richardson, D; Squire, DT; Tozer, CR</t>
  </si>
  <si>
    <t>Risbey, James S.; Monselesan, Didier P.; Black, Amanda S.; Moore, Thomas S.; Richardson, Doug; Squire, Dougal T.; Tozer, Carly R.</t>
  </si>
  <si>
    <t>The Identification of Long-Lived Southern Hemisphere Flow Events Using Archetypes and Principal Components</t>
  </si>
  <si>
    <t>MONTHLY WEATHER REVIEW</t>
  </si>
  <si>
    <t>Antarctic Oscillation; Blocking; Planetary waves; Rossby waves; Extreme events; Principal components analysis</t>
  </si>
  <si>
    <t>EMPIRICAL ORTHOGONAL FUNCTIONS; ROSSBY-WAVE PROPAGATION; ANNULAR MODES; EXTRATROPICAL CIRCULATION; TELECONNECTION PATTERNS; AMERICAN MODES; STORM TRACK; PART II; BLOCKING; PREDICTABILITY</t>
  </si>
  <si>
    <t>From time to time atmospheric flows become organized and form coherent long-lived structures. Such structures could be propagating, quasi-stationary, or recur in place. We investigate the ability of principal components analysis (PCA) and archetypal analysis (AA) to identify long-lived events, excluding propagating forms. Our analysis is carried out on the Southern Hemisphere midtropospheric flow represented by geopotential height at 500 hPa (Z(500)). The leading basis patterns of Z(500) for PCA and AA are similar and describe structures representing (or similar to) the southern annular mode (SAM) and Pacific-South American (PSA) pattern. Long-lived events are identified here from sequences of 8 days or longer where the same basis pattern dominates for PCA or AA. AA identifies more long-lived events than PCA using this approach. The most commonly occurring long-lived event for both AA and PCA is the annular SAM-like pattern. The second most commonly occurring event is the PSA-like Pacific wave train for both AA and PCA. For AA the flow at any given time is approximated as weighted contributions from each basis pattern, which lends itself to metrics for discriminating among basis patterns. These show that the longest long-lived events are in general better expressed than shorter events. Case studies of long-lived events featuring a blocking structure and an annular structure show that both PCA and AA can identify and discriminate the dominant basis pattern that most closely resembles the flow event.</t>
  </si>
  <si>
    <t>[Risbey, James S.; Monselesan, Didier P.; Black, Amanda S.; Moore, Thomas S.; Richardson, Doug; Squire, Dougal T.; Tozer, Carly R.] CSIRO Oceans &amp; Atmosphere, Hobart, Tas, Australia</t>
  </si>
  <si>
    <t>Commonwealth Scientific &amp; Industrial Research Organisation (CSIRO)</t>
  </si>
  <si>
    <t>Risbey, JS (corresponding author), CSIRO Oceans &amp; Atmosphere, Hobart, Tas, Australia.</t>
  </si>
  <si>
    <t>james.risbey@csiro.au</t>
  </si>
  <si>
    <t>Moore, Thomas/AAU-9480-2021; Squire, Dougie/AAI-6207-2021; Richardson, Doug/HLW-8216-2023; Risbey, James/M-8419-2013</t>
  </si>
  <si>
    <t>Moore, Thomas/0000-0003-3930-1946; Squire, Dougie/0000-0003-3271-6874; Richardson, Doug/0000-0001-5397-0201; Risbey, James/0000-0003-3202-9142</t>
  </si>
  <si>
    <t>Decadal Climate Forecasting Project at CSIRO</t>
  </si>
  <si>
    <t>This research was supported by the Decadal Climate Forecasting Project at CSIRO. We appreciate the very constructive review comments. We appreciate the very constructive review comments of Pedram Hassanzadeh and other reviewers.</t>
  </si>
  <si>
    <t>0027-0644</t>
  </si>
  <si>
    <t>1520-0493</t>
  </si>
  <si>
    <t>MON WEATHER REV</t>
  </si>
  <si>
    <t>Mon. Weather Rev.</t>
  </si>
  <si>
    <t>10.1175/MWR-D-20-0314.1</t>
  </si>
  <si>
    <t>YN1OL</t>
  </si>
  <si>
    <t>WOS:000747034600018</t>
  </si>
  <si>
    <t>Deyal, N; Tiwari, V; Bisht, NS</t>
  </si>
  <si>
    <t>Deyal, Namrata; Tiwari, Vipin; Bisht, Nandan S.</t>
  </si>
  <si>
    <t>Statistical Analysis of Total Column Ozone over Uttarakhand: Environment of Himalaya</t>
  </si>
  <si>
    <t>ASIAN JOURNAL OF ATMOSPHERIC ENVIRONMENT</t>
  </si>
  <si>
    <t>Total Column Ozone; Himalayan region; Temporal variation; Correlation coefficient; Mass trajectories</t>
  </si>
  <si>
    <t>ANTARCTIC OZONE; MONTREAL PROTOCOL; ATMOSPHERIC OZONE; SURFACE OZONE; VARIABILITY; DEPLETION; ULTRAVIOLET; PROFILES; TRENDS; MODEL</t>
  </si>
  <si>
    <t>Total Column Ozone (TCO) is a critical factor affecting the earth's atmosphere, especially in the Himalayan region. A comprehensive study of TCO trend analysis and corresponding consequences in the Himalayan atmosphere needs to be analyzed. We statistically examine TCO variability by analyzing the daily TCO dataset of the last 15 years (2005-2019) over the crucial region of the Himalayan environment i. e. Uttarakhand, India. Obtained results indicate that TCO values are at peak during the spring season whereas it shows the least value during the winter season. The highest and lowest value of Coefficient of Relative Variance (CRV) is estimated as 3.14 and 1.09 during winter and monsoon season, respectively. Air mass trajectories have been estimated using Hybrid Single-Particle Lagrangian Integrated Trajectory (HYSPLIT), which shows the existence of strong seasonal variability of Ozone corresponding to continental and maritime transportation towards Uttarakhand. Moreover, Least Square Method (LSM) and the Mann-Kendall test estimate a high correlation (86%) for the seasonal and annual trend of TCO with a negative rate. The obtained decreasing rate is very low which indicates recovery of TCO during the study period. Further results imply that the inter-annual oscillation pattern of TCO is similar to Quasi-Biennial Oscillation (QBO) significantly. In addition, a comparative study has been performed for the data measured by two TCO measuring instruments i.e. Ozone Monitoring Instrument (OMI) and Ozone Mapping Profiler Suite (OMPS). TCO values measured from both instruments are highly correlated (96%) with an average relative difference of around 3%. The outcomes of this study are expected to be beneficial for future study of TCO over other crucial regions of Himalayan territory.</t>
  </si>
  <si>
    <t>[Deyal, Namrata; Tiwari, Vipin; Bisht, Nandan S.] Kumaun Univ SSJ Campus Almora, Dept Phys, Almora 263601, Uttarakhand, India</t>
  </si>
  <si>
    <t>Kumaun University</t>
  </si>
  <si>
    <t>Bisht, NS (corresponding author), Kumaun Univ SSJ Campus Almora, Dept Phys, Almora 263601, Uttarakhand, India.</t>
  </si>
  <si>
    <t>bisht.nandan@gmail.com</t>
  </si>
  <si>
    <t>Tiwari, Vipin/AAL-3466-2021</t>
  </si>
  <si>
    <t>Tiwari, Vipin/0000-0002-2467-8225</t>
  </si>
  <si>
    <t>ASIAN ASSOC ATMOSPHERIC ENVIRONMENT</t>
  </si>
  <si>
    <t>SEOUL</t>
  </si>
  <si>
    <t>102 SAJIK-RO, JONGNO-GU, SEOUL, 03169, SOUTH KOREA</t>
  </si>
  <si>
    <t>1976-6912</t>
  </si>
  <si>
    <t>2287-1160</t>
  </si>
  <si>
    <t>ASIAN J ATMOS ENVIRO</t>
  </si>
  <si>
    <t>Asian J. Atmos. Environ.</t>
  </si>
  <si>
    <t>10.5572/ajae.2021.038</t>
  </si>
  <si>
    <t>Environmental Sciences; Public, Environmental &amp; Occupational Health; Meteorology &amp; Atmospheric Sciences</t>
  </si>
  <si>
    <t>Environmental Sciences &amp; Ecology; Public, Environmental &amp; Occupational Health; Meteorology &amp; Atmospheric Sciences</t>
  </si>
  <si>
    <t>YS6SV</t>
  </si>
  <si>
    <t>WOS:000750805100002</t>
  </si>
  <si>
    <t>Marchal, O; Zhao, N</t>
  </si>
  <si>
    <t>Marchal, Olivier; Zhao, Ning</t>
  </si>
  <si>
    <t>On the Estimation of Deep Atlantic Ventilation from Fossil Radiocarbon Records. Part I: Modern Reference Estimates</t>
  </si>
  <si>
    <t>Atlantic Ocean; Abyssal circulation; Tracers; Inverse methods</t>
  </si>
  <si>
    <t>ANTARCTIC BOTTOM WATER; WESTERN BOUNDARY CURRENT; MERIDIONAL OVERTURNING CIRCULATION; LAGRANGIAN OBSERVATIONS; GENERAL-CIRCULATION; INVERSE MODEL; LABRADOR SEA; NORTH; OCEAN; GULF</t>
  </si>
  <si>
    <t>Radiocarbon dates of fossil carbonates sampled from sediment cores and the seafloor have been used to infer that deep ocean ventilation during the last ice age was different from today. In this first of two companion papers, the time-averaged abyssal circulation in the modern Atlantic is estimated by combining a hydrographic climatology, observational estimates of volume transports, Argo float velocities at 1000 m, radiocarbon data, and geostrophic dynamics. Different estimates of modern circulation, obtained from different prior assumptions about the abyssal flow and different errors in the geostrophic balance, are produced for use in a robust interpretation of fossil records in terms of deviations from the presentday flow, which is undertaken in Part II. We find that, for all estimates, the meridional transport integrated zonally and averaged over a hemisphere, &lt; V-k &gt;, is southward between 1000 and 4000m in both hemispheres, northward between 4000 and 5000m in the South Atlantic, and insignificant between 4000 and 5000m in the North Atlantic. Estimates of &lt; V-k &gt; obtained from two distinct prior circulations-one based on a level of no motion at 4000m and one based on Argo float velocities at 1000 m-become statistically indistinguishable when Delta(14) C data are considered. The transport time scale, defined as tau(k) = V-k/&lt; V-k &gt;, where V-k is the volume of the kth layer, is estimated to about a century between 1000 and 3000m in both the South and North Atlantic, 124 +/- 9 yr (203 +/- 23 yr) between 3000 and 4000m in the South (North) Atlantic, and 269 +/- 115 yr between 4000 and 5000m in the South Atlantic.</t>
  </si>
  <si>
    <t>[Marchal, Olivier] Woods Hole Oceanog Inst, Woods Hole, MA 02543 USA; [Zhao, Ning] East China Normal Univ, State Key Lab Estuarine &amp; Coastal Res, Shanghai, Peoples R China; [Zhao, Ning] East China Normal Univ, Sch Marine Sci, Shanghai, Peoples R China; [Zhao, Ning] Max Planck Inst Chem, Mainz, Germany</t>
  </si>
  <si>
    <t>Woods Hole Oceanographic Institution; East China Normal University; East China Normal University; Max Planck Society</t>
  </si>
  <si>
    <t>Marchal, O (corresponding author), Woods Hole Oceanog Inst, Woods Hole, MA 02543 USA.</t>
  </si>
  <si>
    <t>omarchal@whoi.edu</t>
  </si>
  <si>
    <t>U.S. National Science Foundation [OCE-1702417]</t>
  </si>
  <si>
    <t>U.S. National Science Foundation(National Science Foundation (NSF))</t>
  </si>
  <si>
    <t>We are grateful to Jake Gebbie and Carl Wunsch for useful comments on a previous version of the manuscript. Comments from two anonymous reviewers have allowed us to improve this work very significantly and are also gratefully acknowledged. This work has been supported by Grant OCE-1702417 from the U.S. National Science Foundation.</t>
  </si>
  <si>
    <t>10.1175/JPO-D-20-0153.1</t>
  </si>
  <si>
    <t>YT9XH</t>
  </si>
  <si>
    <t>WOS:000751705900008</t>
  </si>
  <si>
    <t>Kim, DH; Redmond, LJ; Fox, JR; Murphy, MT</t>
  </si>
  <si>
    <t>Kim, Daniel H.; Redmond, Lucas J.; Fox, James R.; Murphy, Michael T.</t>
  </si>
  <si>
    <t>Inter- and intracontincntal migration by the Eastern Kingbird (Tyrannus tyrannus)</t>
  </si>
  <si>
    <t>WILSON JOURNAL OF ORNITHOLOGY</t>
  </si>
  <si>
    <t>archival geolocator; departure date; intratropical migration; migration rate; migratory connectivity</t>
  </si>
  <si>
    <t>LONG-DISTANCE; CONNECTIVITY; GEOLOCATOR; SONGBIRD; DRIVERS; BIRDS; GULF; FOOD</t>
  </si>
  <si>
    <t>We recovered 12 archival geolocators deployed on Eastern Kingbirds (Tvrannus tyrannus) breeding in New York (NY; n = 3, 2 with 2 years of data), Nebraska (NE; n = 6, 1 with 2 years of data), and Oregon (OR; n = 3) to describe migratory routes, timing and rates of migration, nonbreeding season distributions, and migratory connectedness. NY fall migrants migrated along the Atlantic coast to Florida, flew either nonstop across the Gulf of Mexico (GoM; 2 of 3 birds) or stopped once along the way (Cuba and Cayman Islands in different years) to land in Yucatan/Central America. Fall birds from NE and OR arrived at the GoM in the region of the border between Texas and Louisiana, and most likely took a land route to Central America In spring, all NY birds flew nonstop across the GoM, and once in North America, took a more inland mute than in fall. Trans-GoM flights were more common among NE and OR birds in spring than fall. Birds migrated faster in spring than fall, and in both seasons, late departure was associated with more rapid migration. Migratory connectivity was low, and all birds from OR, and one bird from NE and NY each, occupied a single region in northwestern Amazonia (southern Colombia, northern Peru, and eastern Ecuador) while in South America. Most kingbirds from NE and NY were intratropical migrants, occupying 2 regions for periods of &gt;= 30 d. The latter birds migrated farther south to western Brazil and northern Bolivia, but then moved north to later use the same area in northwestern Amazonia where other birds remained throughout the overwinter period. Northwestern Amazonia thus appears to be a critical area for all Eastern Kingbirds during the nonbreeding season, possibly because a prolonged wet season supports abundant fruit resources.</t>
  </si>
  <si>
    <t>[Kim, Daniel H.] Platte River Whooping Crane Maintenance Trust, Wood River, NE 68883 USA; [Redmond, Lucas J.] Penn State Schuylkill, Schuylkill Haven, PA USA; [Fox, James R.] Natl Environm Council, British Antarctic Survey, Cambridge, England; [Murphy, Michael T.] Portland State Univ, Dept Biol, Portland, OR 97207 USA; [Kim, Daniel H.] USFWS South Dakota Field Stn, Pierre, SD 57501 USA</t>
  </si>
  <si>
    <t>Pennsylvania Commonwealth System of Higher Education (PCSHE); Pennsylvania State University; UK Research &amp; Innovation (UKRI); Natural Environment Research Council (NERC); NERC British Antarctic Survey; Portland State University</t>
  </si>
  <si>
    <t>Kim, DH (corresponding author), Platte River Whooping Crane Maintenance Trust, Wood River, NE 68883 USA.;Kim, DH (corresponding author), USFWS South Dakota Field Stn, Pierre, SD 57501 USA.</t>
  </si>
  <si>
    <t>daniel_kim@fws.gov</t>
  </si>
  <si>
    <t>Portland State University; National Science Foundation [IOB-0539370]</t>
  </si>
  <si>
    <t>Portland State University; National Science Foundation(National Science Foundation (NSF))</t>
  </si>
  <si>
    <t>We are grateful to the private landowners of New York who granted us access to the property, and to the staffs of Malheur National Wildlife Refuge and Platte River Whooping Crane Maintenance Trust for granting permission to conduct research at these protected sites. R.B. Renfrew gave technical assistance, N.W. Cooper provided a thorough review, and C.M. Chutter and S. Cancellieri were more than able-bodied field assistants in Oregon. A Faculty Enhancement Grant to MTM from Portland State University and National Science Foundation grant IOB-0539370 to MTM supported the research.</t>
  </si>
  <si>
    <t>WILSON ORNITHOLOGICAL SOC</t>
  </si>
  <si>
    <t>WACO</t>
  </si>
  <si>
    <t>5400 BOSQUE BLVD, STE 680, WACO, TX 76710 USA</t>
  </si>
  <si>
    <t>1559-4491</t>
  </si>
  <si>
    <t>1938-5447</t>
  </si>
  <si>
    <t>WILSON J ORNITHOL</t>
  </si>
  <si>
    <t>Wilson J. Ornithol.</t>
  </si>
  <si>
    <t>10.1676/19-00113</t>
  </si>
  <si>
    <t>XZ3MD</t>
  </si>
  <si>
    <t>WOS:000737558800003</t>
  </si>
  <si>
    <t>Rodrigues, WF; de Oliveira, FS; Schaefer, CEGR; Gauzzi, T; Leite, MGP</t>
  </si>
  <si>
    <t>Rodrigues, William Fortes; de Oliveira, Fabio Soares; Reynaud Schaefer, Carlos Ernesto Goncalves; Gauzzi, Teodoro; Praca Leite, Mariangela Garcia</t>
  </si>
  <si>
    <t>Geochemistry of Antarctic periglacial soils from Harmony Point, Nelson Island</t>
  </si>
  <si>
    <t>ENVIRONMENTAL EARTH SCIENCES</t>
  </si>
  <si>
    <t>Maritime Antarctica; Soil geochemistry; Chemical weathering; Weathering rate; REE enrichment</t>
  </si>
  <si>
    <t>RARE-EARTH-ELEMENTS; KING-GEORGE-ISLAND; SOUTH-SHETLAND ISLANDS; NORTHERN VICTORIA LAND; MARITIME ANTARCTICA; LIVINGSTON ISLAND; BYERS PENINSULA; FILDES PENINSULA; HOPE BAY; ORNITHOGENIC SEDIMENTS</t>
  </si>
  <si>
    <t>Little is known about the geochemical baseline of Antarctic soils in different environments. We investigated the soil geochemistry of the two main landscape units of Harmony Point (Nelson Island, Maritime Antarctica): the coastal domain and the upper platform. Fourteen soil samples (seven in each landscape unit) were divided according to depth (hA for surface and hC for subsurface horizons) and characterized by their major, trace elements and REE concentrations. The concentration of major elements (SiO2, TiO2, Al(2)O3, Fe2O3, MgO, CaO, MnO, and K2O) were determined by X-ray fluorescence, whereas trace elements were quantified by inductively coupled plasma-optical emission spectrometry (Co, Ni, As, Cd, Pb, Ba, Cr, Cu, V, Zn, and Zr) and REE by inductively coupled plasma mass spectrometry. The results showed geochemical variation with depth, either related to pedological processes (phosphatization, humification, podzolization, and cryoturbation), and parent material constitution (andesitic basalt in upper platform and mixed volcanic sediments in coastal domain). The main chemical aspects distinguishing Harmony Point soils from other Maritime Antarctic soils from the vicinity are: (i) higher CIA index; (ii) P(2)O(5 )enrichment due to bird guano and enhanced pedogenesis; (iii) REE retention; (iv) enrichment in Fe2O3 and S concentrations. The REE concentration was influenced by weathering processes combined with allochthonous inputs, such as volcanic ashes and iceberg-transported granitic boulders at the coastal domain. The Harmony Point soils are little subjected to anthropic impacts, so they can be used as a basis for environmental monitoring programs in the Maritime Antarctica region.</t>
  </si>
  <si>
    <t>[Rodrigues, William Fortes; Praca Leite, Mariangela Garcia] Univ Fed Ouro Preto, Dept Geol, BR-35400000 Ouro Preto, MG, Brazil; [de Oliveira, Fabio Soares] Univ Fed Minas Gerais, IGC, Dept Geog, BR-31270901 Belo Horizonte, MG, Brazil; [Reynaud Schaefer, Carlos Ernesto Goncalves] Univ Fed Vicosa, Soil Sci Dept, BR-36570000 Vicosa, MG, Brazil; [Gauzzi, Teodoro] UniBH Ctr Univ Belo Horizonte, BR-30455610 Belo Horizonte, MG, Brazil; [Gauzzi, Teodoro] Univ Fed Minas Gerais, Ctr Microscopia, BR-30123970 Belo Horizonte, MG, Brazil</t>
  </si>
  <si>
    <t>Universidade Federal de Ouro Preto; Universidade Federal de Minas Gerais; Universidade Federal de Vicosa; Centro Universitario UNA; Centro Universitario de Belo Horizonte; Universidade Federal de Minas Gerais</t>
  </si>
  <si>
    <t>Rodrigues, WF (corresponding author), Univ Fed Ouro Preto, Dept Geol, BR-35400000 Ouro Preto, MG, Brazil.</t>
  </si>
  <si>
    <t>willfordrigues@gmail.com</t>
  </si>
  <si>
    <t>Fortes, William/0000-0003-0980-282X</t>
  </si>
  <si>
    <t>CNPq (Conselho Nacional de Desenvolvimento Cientifico e Tecnologico); CAPES (Coordenacao de Aperfeicoamento de Pessoal de Nivel Superior); FAPEMIG (Fundacao de Amparo a Pesquisa do Estado de Minas Gerais); INCT da Criosfera; MARINHA DO BRASIL (PROANTAR PROGRAM); TERRANTAR</t>
  </si>
  <si>
    <t>CNPq (Conselho Nacional de Desenvolvimento Cientifico e Tecnologico)(Conselho Nacional de Desenvolvimento Cientifico e Tecnologico (CNPQ)); CAPES (Coordenacao de Aperfeicoamento de Pessoal de Nivel Superior)(Coordenacao de Aperfeicoamento de Pessoal de Nivel Superior (CAPES)); FAPEMIG (Fundacao de Amparo a Pesquisa do Estado de Minas Gerais)(Fundacao de Amparo a Pesquisa do Estado de Minas Gerais (FAPEMIG)); INCT da Criosfera; MARINHA DO BRASIL (PROANTAR PROGRAM); TERRANTAR</t>
  </si>
  <si>
    <t>The CNPq (Conselho Nacional de Desenvolvimento Cientifico e Tecnologico), CAPES (Coordenacao de Aperfeicoamento de Pessoal de Nivel Superior), and FAPEMIG (Fundacao de Amparo a Pesquisa do Estado de Minas Gerais) for financial support. We are grateful to INCT da Criosfera, TERRANTAR and MARINHA DO BRASIL (PROANTAR PROGRAM) are acknowledged for financial support and field assistance.</t>
  </si>
  <si>
    <t>1866-6280</t>
  </si>
  <si>
    <t>1866-6299</t>
  </si>
  <si>
    <t>ENVIRON EARTH SCI</t>
  </si>
  <si>
    <t>Environ. Earth Sci.</t>
  </si>
  <si>
    <t>10.1007/s12665-021-09713-4</t>
  </si>
  <si>
    <t>Environmental Sciences; Geosciences, Multidisciplinary; Water Resources</t>
  </si>
  <si>
    <t>Environmental Sciences &amp; Ecology; Geology; Water Resources</t>
  </si>
  <si>
    <t>XE8JN</t>
  </si>
  <si>
    <t>WOS:000723628500002</t>
  </si>
  <si>
    <t>Lim, EP; Hendon, HH; Butler, AH; Thompson, DWJ; Lawrence, ZD; Scaife, AA; Shepherd, TG; Polichtchouk, I; Nakamura, H; Kobayashi, C; Comer, R; Coy, L; Dowdy, A; Garreaud, RD; Newman, PA; Wang, GM</t>
  </si>
  <si>
    <t>Lim, Eun-Pa; Hendon, Harry H.; Butler, Amy H.; Thompson, David W. J.; Lawrence, Zachary D.; Scaife, Adam A.; Shepherd, Theodore G.; Polichtchouk, Inna; Nakamura, Hisashi; Kobayashi, Chiaki; Comer, Ruth; Coy, Lawrence; Dowdy, Andrew; Garreaud, Rene D.; Newman, Paul A.; Wang, Guomin</t>
  </si>
  <si>
    <t>The 2019 Southern Hemisphere Stratospheric Polar Vortex Weakening and Its Impacts</t>
  </si>
  <si>
    <t>Antarctic Oscillation; Planetary waves; Stratospheric circulation; Extreme events; Stratosphere-troposphere coupling; Climate prediction</t>
  </si>
  <si>
    <t>QUASI-BIENNIAL OSCILLATION; INTERANNUAL VARIABILITY; OZONE HOLE; PART I; SEASONAL PREDICTION; GLOBAL CIRCULATION; PLANETARY-WAVES; SUDDEN WARMINGS; ANNULAR MODE; DIPOLE MODE</t>
  </si>
  <si>
    <t>This study offers an overview of the low-frequency (i.e., monthly to seasonal) evolution, dynamics, predictability, and surface impacts of a rare Southern Hemisphere (SH) stratospheric warming that occurred in austral spring 2019. Between late August and mid-September 2019, the stratospheric circumpolar westerly jet weakened rapidly, and Antarctic stratospheric temperatures rose dramatically. The deceleration of the vortex at 10 hPa was as drastic as that of the first-ever-observed major sudden stratospheric warming in the SH during 2002, while the mean Antarctic warming over the course of spring 2019 broke the previous record of 2002 by similar to 50% in the midstratosphere. This event was preceded by a poleward shift of the SH polar night jet in the uppermost stratosphere in early winter, which was then followed by record-strong planetary wave-1 activity propagating upward from the troposphere in August that acted to dramatically weaken the polar vortex throughout the depth of the stratosphere. The weakened vortex winds and elevated temperatures moved downward to the surface from mid-October to December, promoting a record strong swing of the southern annular mode (SAM) to its negative phase. This record-negative SAM appeared to be a primary driver of the extreme hot and dry conditions over subtropical eastern Australia that accompanied the severe wildfires that occurred in late spring 2019. State-of-the-art dynamical seasonal forecast systems skillfully predicted the significant vortex weakening of spring 2019 and subsequent development of negative SAM from as early as late July.</t>
  </si>
  <si>
    <t>[Lim, Eun-Pa; Hendon, Harry H.; Dowdy, Andrew; Wang, Guomin] Bur Meteorol, Melbourne, Vic, Australia; [Butler, Amy H.] NOAA, Chem Sci Lab, Boulder, CO USA; [Thompson, David W. J.] Colorado State Univ, Dept Atmospher Sci, Ft Collins, CO 80523 USA; [Lawrence, Zachary D.] Univ Colorado, CIRES, Boulder, CO 80309 USA; [Lawrence, Zachary D.] NOAA, Phys Sci Lab, Boulder, CO USA; [Scaife, Adam A.] Univ Exeter, Met Off Hadley Ctr, Exeter, Devon, England; [Scaife, Adam A.] Univ Exeter, Coll Engn Math &amp; Phys Sci, Exeter, Devon, England; [Shepherd, Theodore G.] Univ Reading, Dept Meteorol, Reading, Berks, England; [Polichtchouk, Inna] European Ctr Medium Range Weather Forecasts, Reading, Berks, England; [Nakamura, Hisashi] Univ Tokyo, Res Ctr Adv Sci &amp; Technol, Tokyo, Japan; [Kobayashi, Chiaki] Japan Meteorol Agcy, Meteorol Res Inst, Tsukuba, Ibaraki, Japan; [Comer, Ruth] Met Off Hadley Ctr, Exeter, Devon, England; [Coy, Lawrence; Newman, Paul A.] NASA, Goddard Space Flight Ctr, Greenbelt, MD USA; [Coy, Lawrence] Sci Syst &amp; Applicat Inc, Lanham, MD USA; [Garreaud, Rene D.] Univ Chile, Dept Geophys, Santiago, Chile</t>
  </si>
  <si>
    <t>Bureau of Meteorology - Australia; National Oceanic Atmospheric Admin (NOAA) - USA; Colorado State University; University of Colorado System; University of Colorado Boulder; National Oceanic Atmospheric Admin (NOAA) - USA; University of Exeter; Met Office - UK; Hadley Centre; University of Exeter; University of Reading; European Centre for Medium-Range Weather Forecasts (ECMWF); University of Tokyo; Meteorological Research Institute - Japan; Japan Meteorological Agency; Met Office - UK; Hadley Centre; National Aeronautics &amp; Space Administration (NASA); NASA Goddard Space Flight Center; Science Systems and Applications Inc; Universidad de Chile</t>
  </si>
  <si>
    <t>Lim, EP (corresponding author), Bur Meteorol, Melbourne, Vic, Australia.</t>
  </si>
  <si>
    <t>eun-pa.lim@bom.gov.au</t>
  </si>
  <si>
    <t>Butler, Amy H/K-6190-2012; Newman, Paul A/D-6208-2012; Thompson, David/C-3520-2008; Comer, Ruth/AAS-5205-2020; Garreaud, Rene/JFS-4440-2023; Dowdy, Andrew/AAI-6395-2020; Thompson, David W J/F-9627-2012</t>
  </si>
  <si>
    <t>Butler, Amy H/0000-0002-3632-0925; Comer, Ruth/0009-0007-5336-0244; Dowdy, Andrew/0000-0003-0720-4471; Thompson, David W J/0000-0002-5413-4376; Lim, Eun-Pa/0000-0001-8273-5358</t>
  </si>
  <si>
    <t>Australian Government Department of Agriculture, Rural R&amp;D for Profit programme; NSF Climate and Large-Scale Dynamics Program; Met Office Hadley Centre Climate Programme - BEIS; Defra; NASA's Atmospheric Composition Modeling and Analysis Program; Victorian Government (DELWP); Bushfire and Natural Hazards CRC project [ERP14]; JSPS KAKENHI [P19H05702]; Environment Research and Technology Development Fund [2-1904]; ArCS-II Project (MEXT); JST Belmont Forum CRA InterDec; Australian Commonwealth Government</t>
  </si>
  <si>
    <t>Australian Government Department of Agriculture, Rural R&amp;D for Profit programme; NSF Climate and Large-Scale Dynamics Program(National Science Foundation (NSF)NSF - Directorate for Geosciences (GEO)); Met Office Hadley Centre Climate Programme - BEIS; Defra(Department for Environment, Food &amp; Rural Affairs (DEFRA)); NASA's Atmospheric Composition Modeling and Analysis Program; Victorian Government (DELWP); Bushfire and Natural Hazards CRC project(Australian GovernmentDepartment of Industry, Innovation and ScienceCooperative Research Centres (CRC) Programme); JSPS KAKENHI(Ministry of Education, Culture, Sports, Science and Technology, Japan (MEXT)Japan Society for the Promotion of ScienceGrants-in-Aid for Scientific Research (KAKENHI)); Environment Research and Technology Development Fund; ArCS-II Project (MEXT); JST Belmont Forum CRA InterDec; Australian Commonwealth Government(Australian Government)</t>
  </si>
  <si>
    <t>This study is part of the Forewarned is Forearmed project, which is supported by funding from the Australian Government Department of Agriculture as part of its Rural R&amp;D for Profit programme. D. W. J. Thompson was supported by the NSF Climate and Large-Scale Dynamics Program. A. Scaife and R. Comer were supported by the Met Office Hadley Centre Climate Programme funded by BEIS and Defra. P. A. Newman and L. Coy were supported by the NASA's Atmospheric Composition Modeling and Analysis Program. A. J. Dowdy was supported by the Victorian Government (DELWP) and Bushfire and Natural Hazards CRC project ERP14. H. Nakamura was supported by JSPS KAKENHI Grant P19H05702, Environment Research and Technology Development Fund (2-1904), ArCS-II Project (MEXT) and JST Belmont Forum CRA InterDec. The authors are grateful to three anonymous reviewers for their thorough assessments and constructive feedback on the manuscript and to Professor Andrew Dessler for his editorial effort for the peer-review process. Lim and Hendon thank their BoM colleagues Matthew Wheeler and Hanh Nguyen for their constructive feedback on the initial version of the manuscript and Griffith Young and Morwenna Griffith for processing the BoM forecast data and the AWAP data, and thank Kelsey Druken at the National Computing Infrastructure (NCI) for her assistance with the BoM data archiving. This research was undertaken at the NCI National Facility in Canberra, Australia, which is supported by the Australian Commonwealth Government. The NCAR Command Language (NCL; http://www.ncl.ucar.edu) version 6.4.0 was used for data analysis and visualization of the results. We also acknowledge NCAR/UCAR, NOAA/OAR/ESRL PSL, and the Japan Meteorological Agency for producing and providing the Hurrell et al. (2008) SST analysis, the Reynolds OI v2 SST analysis, GPCP v2.3 precipitation dataset, and the JRA-55, respectively.</t>
  </si>
  <si>
    <t>E1150</t>
  </si>
  <si>
    <t>E1171</t>
  </si>
  <si>
    <t>10.1175/BAMS-D-20-0112.1</t>
  </si>
  <si>
    <t>WX0FX</t>
  </si>
  <si>
    <t>WOS:000718281800003</t>
  </si>
  <si>
    <t>Araneda, C; Fernández, JM; Oliva, M; Palfner, G; Casanova-Katny, A</t>
  </si>
  <si>
    <t>Araneda, Cristobal; Maria Fernandez, Jose; Oliva, Marc; Palfner, Gotz; Casanova-Katny, Angelica</t>
  </si>
  <si>
    <t>Moss diversity in plant communities associated with a penguin rookery on Deception Island, Maritime Antarctica</t>
  </si>
  <si>
    <t>GAYANA BOTANICA</t>
  </si>
  <si>
    <t>polar tundra; terrestrial ecosystem; Antarctic Peninsula; penguins</t>
  </si>
  <si>
    <t>KING-GEORGE-ISLAND; SOUTH SHETLAND ISLANDS; ACTIVE LAYER; VEGETATION; ICE</t>
  </si>
  <si>
    <t>In order to determine the influence of a penguin rookery on the diversity of the vegetation on Deception Island, Maritime Antarctica, the composition of bryophytes along a transect of approximately 2 km between Lake Irizar and the penguin rookery (Pygoscelis antarcticus) of La Descubierta Point was studied. A total of 39 vegetation carpets formed mainly by bryophytes were detected, distributed between three main sectors, next to Lake Irizar, in Vapour Coil and at La Descubierta Point. The bryophytes correspond to 15 moss species and only 2 liverworts, with 11 moss families represented. Two mosses, Sanionia uncinata (31 records) and Potytrichastrum alpinum (9 records), were found to dominate the moss carpets, being also the most frequent species. In addition, a new site on the island was found with presence of the moss Bryum orbiculatifolium, which grows directly associated with the penguin rookery. Our results also show that there are 5 species of mosses common to the three sectors, another 5 species grow only in the penguin area, differentiating this community from the other two sectors. Vascular plants were not detected, indicating that the studied sites are in state of early colonization where their biota is marked by the presence of pioneer mosses associated to the penguin colony, which probably benefit from the nutrient input derived from the deposited guano.</t>
  </si>
  <si>
    <t>[Araneda, Cristobal; Palfner, Gotz] Univ Concepcion, Fac Cs Nat &amp; Oceanog, Dept Bot, Lab Micol &amp; Micorrizas, Barrio Univ S-N, Concepcion, Chile; [Maria Fernandez, Jose; Oliva, Marc] Univ Lisbon, Inst Geog &amp; Ordenamento Terr IGOT, Rua Branca Edmee Marques,Cidade Univ, Lisbon, Portugal; [Oliva, Marc] Univ Barcelona, Fac Geog &amp; Hist, Dept Geog, Montalegre 6, Barcelona 6, Spain; [Casanova-Katny, Angelica] Univ Catolica Temuco, Lab Ecofisiol Vegetal &amp; Cambio Climat &amp; Nucleo Es, Fac Recursos Nat, Temuco 03694, Chile</t>
  </si>
  <si>
    <t>Universidad de Concepcion; Universidade de Lisboa; University of Barcelona; Universidad Catolica de Temuco</t>
  </si>
  <si>
    <t>Casanova-Katny, A (corresponding author), Univ Catolica Temuco, Lab Ecofisiol Vegetal &amp; Cambio Climat &amp; Nucleo Es, Fac Recursos Nat, Temuco 03694, Chile.</t>
  </si>
  <si>
    <t>mcasanova@uct.cl</t>
  </si>
  <si>
    <t>Oliva, Marc/K-5423-2014; Casanova-Katny, Angelica/M-3994-2014</t>
  </si>
  <si>
    <t>Casanova-Katny, Angelica/0000-0003-3860-1445</t>
  </si>
  <si>
    <t>EDICIONES UNIV, CONCEPCION</t>
  </si>
  <si>
    <t>CONCEPCION</t>
  </si>
  <si>
    <t>COMITE DE PUBLICACION, CASILLA 2407, CONCEPCION, 00000, CHILE</t>
  </si>
  <si>
    <t>0016-5301</t>
  </si>
  <si>
    <t>0717-6643</t>
  </si>
  <si>
    <t>GAYANA BOT</t>
  </si>
  <si>
    <t>Gayana Bot.</t>
  </si>
  <si>
    <t>WM3VU</t>
  </si>
  <si>
    <t>WOS:000711017100005</t>
  </si>
  <si>
    <t>Durneva, EA; Chkhetiani, OG</t>
  </si>
  <si>
    <t>Durneva, E. A.; Chkhetiani, O. G.</t>
  </si>
  <si>
    <t>Planetary Upper-level Frontal Zone in the Euro-Atlantic Sector in Summer in 1990-2019</t>
  </si>
  <si>
    <t>RUSSIAN METEOROLOGY AND HYDROLOGY</t>
  </si>
  <si>
    <t>planetary upper-level frontal zone; summer atmospheric blocking; extreme weather displays; Euro-Atlantic sector</t>
  </si>
  <si>
    <t>The analysis of monthly mean locations of the planetary upper-level frontal zone in the Euro-Atlantic sector in summer during 1990-2019 is presented. Specific positions for the summer months (June, July, and August) are noted, and maximum northward displacements from the climatological normal for 1961-1990 are found in the years with the formation of the atmospheric blocking. The values of standard deviations of the displacements relative to the normal position were calculated for the summer period of each year both for the North Atlantic, Europe, and the European part of Russia and for the Euro-Atlantic sector. On the basis of linear regression, a tendency is revealed toward an increase in the meridional displacements of the planetary upper-level frontal zone over the recent thirty years and toward the occurrence of maximum deviations over the last decade.</t>
  </si>
  <si>
    <t>[Durneva, E. A.] Arctic &amp; Antarctic Res Inst, U1 Beringa 38, St Petersburg 199397, Russia; [Durneva, E. A.; Chkhetiani, O. G.] Russian Acad Sci, Obukhov Inst Atmospher Phys, Pyzhevskii Per 3, Moscow 119017, Russia</t>
  </si>
  <si>
    <t>Arctic &amp; Antarctic Research Institute; Russian Academy of Sciences; Obukhov Institute of Atmospheric Physics of Russian Academy of Sciences</t>
  </si>
  <si>
    <t>Durneva, EA (corresponding author), Arctic &amp; Antarctic Res Inst, U1 Beringa 38, St Petersburg 199397, Russia.;Durneva, EA (corresponding author), Russian Acad Sci, Obukhov Inst Atmospher Phys, Pyzhevskii Per 3, Moscow 119017, Russia.</t>
  </si>
  <si>
    <t>eadurneva@aari.ru</t>
  </si>
  <si>
    <t>CHKHETIANI, OTTO/H-2134-2015</t>
  </si>
  <si>
    <t>CHKHETIANI, OTTO/0000-0002-8560-1520</t>
  </si>
  <si>
    <t>Russian Science Foundation [19-17-00248]; Russian Science Foundation [19-17-00248] Funding Source: Russian Science Foundation</t>
  </si>
  <si>
    <t>Russian Science Foundation(Russian Science Foundation (RSF)); Russian Science Foundation(Russian Science Foundation (RSF))</t>
  </si>
  <si>
    <t>The research was supported by the Russian Science Foundation (grant 19-17-00248).</t>
  </si>
  <si>
    <t>1068-3739</t>
  </si>
  <si>
    <t>1934-8096</t>
  </si>
  <si>
    <t>RUSS METEOROL HYDRO+</t>
  </si>
  <si>
    <t>Russ. Meteorol. Hydrol.</t>
  </si>
  <si>
    <t>10.3103/S1068373921060029</t>
  </si>
  <si>
    <t>UY7RD</t>
  </si>
  <si>
    <t>WOS:000701715500002</t>
  </si>
  <si>
    <t>Liu, L; Fu, MZ; Sun, KM; Xu, QZ; Xu, ZJ; Zhang, XL; Wang, ZL</t>
  </si>
  <si>
    <t>Liu, Lu; Fu, Mingzhu; Sun, Kaiming; Xu, Qinzeng; Xu, Zongjun; Zhang, Xuelei; Wang, Zongling</t>
  </si>
  <si>
    <t>The distribution of phytoplankton size and major influencing factors in the surface waters near the northern end of the Antarctic Peninsula</t>
  </si>
  <si>
    <t>Antarctic Peninsula; phytoplankton size; flow cytometry; Chl a; microscopy</t>
  </si>
  <si>
    <t>SCOTIA CONFLUENCE AREA; ICE-ZONE WEST; SOUTHERN-OCEAN; CELL-SIZE; SEA-ICE; BIOMASS; SUMMER; PICOPHYTOPLANKTON; ABUNDANCE; ASSEMBLAGES</t>
  </si>
  <si>
    <t>The waters near the Antarctic Peninsula have always been a study hot spot because of their variable and unique oceanographic conditions. To determine the distribution and possible influencing factors on phytoplankton size and abundance near the Antarctic Peninsula, a large-scale survey was conducted during the austral summer of 2018. Samples were collected in 27 stations located in the Drake Passage (DP), South Shetland Islands (SSI), and South Orkney Islands (SOI). Phytoplankton communities were described using chlorophyll a (Chl a), flow cytometry and light microscopy to cover a size range from pico- to microphytoplankton. Nanophytoplankton, especially small nanophytoplankton (2-6 mu m) with abundance ranging from 0.66 x 10(3) cells/mL to 8.46 x 10(3) cells/mL, was predominant throughout the study area. Among different regions, there was an obvious size shift. The proportion of picophytoplankton near the Elephant Island (EI) and DP was higher than other regions, and larger cells were found mainly in east of SOI. The distribution of phytoplankton abundance detected by flow cytometry was not completely consistent with Chl a concentrations due to the contribution of larger cells to Chl a. Possible influencing factors on the phytoplankton size distribution were discussed. The properties of water masses such as temperature and salinity can influence the phytoplankton size distribution. Correlation analysis revealed that only picophytoplankton is significantly correlated with salinity. Light and Fe availability might affect phytoplankton abundance and size distribution especially near the waters of SSI and EI in this study. It was also speculated that the abundance of cryptophytes is possibly related to ice melting.</t>
  </si>
  <si>
    <t>[Liu, Lu; Wang, Zongling] Ocean Univ China, Coll Environm Sci &amp; Engn, Qingdao 266100, Peoples R China; [Liu, Lu; Fu, Mingzhu; Sun, Kaiming; Xu, Qinzeng; Xu, Zongjun; Zhang, Xuelei; Wang, Zongling] Minist Nat Resources, Inst Oceanog 1, Key Lab Marine Ecoenvironm Sci &amp; Technol, Qingdao 266061, Peoples R China; [Xu, Qinzeng; Zhang, Xuelei; Wang, Zongling] Pilot Natl Lab Marine Sci &amp; Technol Qingdao, Qingdao 266237, Peoples R China</t>
  </si>
  <si>
    <t>Ocean University of China; Ministry of Natural Resources of the People's Republic of China; First Institute of Oceanography, Ministry of Natural Resources; Laoshan Laboratory</t>
  </si>
  <si>
    <t>Wang, ZL (corresponding author), Ocean Univ China, Coll Environm Sci &amp; Engn, Qingdao 266100, Peoples R China.;Wang, ZL (corresponding author), Minist Nat Resources, Inst Oceanog 1, Key Lab Marine Ecoenvironm Sci &amp; Technol, Qingdao 266061, Peoples R China.;Wang, ZL (corresponding author), Pilot Natl Lab Marine Sci &amp; Technol Qingdao, Qingdao 266237, Peoples R China.</t>
  </si>
  <si>
    <t>wangzl@fio.org.cn</t>
  </si>
  <si>
    <t>10.1007/s13131-020-1611-3</t>
  </si>
  <si>
    <t>UU3BJ</t>
  </si>
  <si>
    <t>WOS:000698674400011</t>
  </si>
  <si>
    <t>Xu, F; Dong, F; Sun, XH; Cao, HY; Fu, HH; Li, CY; Zhang, XY; McMinn, A; Zhang, YZ; Wang, P; Chen, XL</t>
  </si>
  <si>
    <t>Xu, Fei; Dong, Fang; Sun, Xiao-Hui; Cao, Hai-Yan; Fu, Hui-Hui; Li, Chun-Yang; Zhang, Xi-Ying; McMinn, Andrew; Zhang, Yu-Zhong; Wang, Peng; Chen, Xiu-Lan</t>
  </si>
  <si>
    <t>Mechanistic Insights into Substrate Recognition and Catalysis of a New Ulvan Lyase of Polysaccharide Lyase Family 24</t>
  </si>
  <si>
    <t>APPLIED AND ENVIRONMENTAL MICROBIOLOGY</t>
  </si>
  <si>
    <t>ulvan; ulvan lyase; polysaccharide lyase family 24; marine bacterium; substrate recognition; catalytic mechanism</t>
  </si>
  <si>
    <t>DEGRADATION; BIOMASS</t>
  </si>
  <si>
    <t>Ulvan is an important marine polysaccharide. Bacterial ulvan lyases play important roles in ulvan degradation and marine carbon cycling. Until now, only a small number of ulvan lyases have been characterized. Here, a new ulvan lyase, Uly1, belonging to polysaccharide lyase family 24 (PL24) from the marine bacterium Catenovulum maritimum, is characterized. The optimal temperature and pH for Uly1 to degrade ulvan are 40 degrees C and pH 9.0, respectively. Uly1 degrades ulvan polysaccharides in the endolytic manner, mainly producing Delta Rha3S, consisting of an unsaturated 4-deoxy-1-threo-hex-4-enopyranosiduronic acid and a 3-O-sulfated alpha-L-rhamnose. The structure of Uly1 was resolved at a 2.10-angstrom resolution. Uly1 adopts a seven-bladed beta-propeller architecture. Structural and site-directed mutagenesis analyses indicate that four highly conserved residues, H128, H149, Y223, and R239, are essential for catalysis. H128 functions as both the catalytic acid and base, H149 and R239 function as the neutralizers, and Y223 plays a supporting role in catalysis. Structural comparison and sequence alignment suggest that Uly1 and many other PL24 enzymes may directly bind the substrate near the catalytic residues for catalysis, different from the PL24 ulvan lyase LOR_107, which adopts a two-stage substrate binding process. This study provides new insights into ulvan lyases and ulvan degradation. IMPORTANCE Ulvan is a major cell wall component of green algae of the genus Ulva. Many marine heterotrophic bacteria can produce extracellular ulvan lyases to degrade ulvan for a carbon nutrient. In addition, ulvan has a range of physiological bioactivities based on its specific chemical structure. Ulvan lyase thus plays an important role in marine carbon cycling and has great potential in biotechnological applications. However, only a small number of ulvan lyases have been characterized over the past 10 years. Here, based on biochemical and structural analyses, a new ulvan lyase of polysaccharide lyase family 24 is characterized, and its substrate recognition and catalytic mechanisms are revealed. Moreover, a new substrate binding process adopted by PL24 ulvan lyases is proposed. This study offers a better understanding of bacterial ulvan lyases and is helpful for studying the application potentials of ulvan lyases.</t>
  </si>
  <si>
    <t>[Xu, Fei; Dong, Fang; Sun, Xiao-Hui; Cao, Hai-Yan; Zhang, Xi-Ying; Zhang, Yu-Zhong; Chen, Xiu-Lan] Shandong Univ, State Key Lab Microbial Technol, Qingdao, Peoples R China; [Fu, Hui-Hui; Li, Chun-Yang; McMinn, Andrew; Zhang, Yu-Zhong; Wang, Peng] Ocean Univ China, Coll Marine Life Sci, Qingdao, Peoples R China; [Fu, Hui-Hui; Li, Chun-Yang; McMinn, Andrew; Zhang, Yu-Zhong; Wang, Peng] Ocean Univ China, Frontiers Sci Ctr Deep Ocean Multispheres &amp; Earth, Qingdao, Peoples R China; [Zhang, Yu-Zhong; Chen, Xiu-Lan] Pilot Natl Lab Marine Sci &amp; Technol, Lab Marine Biol &amp; Biotechnol, Qingdao, Peoples R China; [Zhang, Yu-Zhong] Shandong Univ, Marine Biotechnol Res Ctr, Qingdao, Peoples R China; [McMinn, Andrew] Univ Tasmania, Inst Marine &amp; Antarctic Studies, Hobart, Tas, Australia</t>
  </si>
  <si>
    <t>Shandong University; Ocean University of China; Ocean University of China; Laoshan Laboratory; Shandong University; University of Tasmania</t>
  </si>
  <si>
    <t>Chen, XL (corresponding author), Shandong Univ, State Key Lab Microbial Technol, Qingdao, Peoples R China.;Wang, P (corresponding author), Ocean Univ China, Coll Marine Life Sci, Qingdao, Peoples R China.;Wang, P (corresponding author), Ocean Univ China, Frontiers Sci Ctr Deep Ocean Multispheres &amp; Earth, Qingdao, Peoples R China.;Chen, XL (corresponding author), Pilot Natl Lab Marine Sci &amp; Technol, Lab Marine Biol &amp; Biotechnol, Qingdao, Peoples R China.</t>
  </si>
  <si>
    <t>CXL0423@sdu.edu.cn</t>
  </si>
  <si>
    <t>yan, xiao/JVP-0766-2024; McMinn, Andrew/A-9910-2008; Zhang, Xi/HJH-1211-2023; Wang, zijun/JNS-5435-2023; Li, Chun-Yang/JBS-2194-2023</t>
  </si>
  <si>
    <t>Li, Chun-Yang/0000-0002-1151-4897; McMinn, Andrew/0000-0002-2133-3854; Zhang, Yu-Zhong/0000-0002-2017-1005; Wang, Peng/0000-0002-4983-9953</t>
  </si>
  <si>
    <t>Major Scientific and Technological Innovation Project (MSTIP) of Shandong Province [2019JZZY010817]; National Science Foundation of China [91851205, 31630012, U1706207, 31870052, U2006205, 31800107]; National Key Research and Development Program of China [2018YFC1406700, 2018YFC0310704]; Program of Shandong for Taishan Scholars [tspd20181203]; Development of Marine Economy Demonstration City Program during the 13th Five-Year Plan Period-Preparation of Active Marine Protein Feed Additives and Construction of Industrial Chain</t>
  </si>
  <si>
    <t>Major Scientific and Technological Innovation Project (MSTIP) of Shandong Province; National Science Foundation of China(National Natural Science Foundation of China (NSFC)); National Key Research and Development Program of China; Program of Shandong for Taishan Scholars; Development of Marine Economy Demonstration City Program during the 13th Five-Year Plan Period-Preparation of Active Marine Protein Feed Additives and Construction of Industrial Chain</t>
  </si>
  <si>
    <t>This work was supported by the Major Scientific and Technological Innovation Project (MSTIP) of Shandong Province (2019JZZY010817), the National Science Foundation of China (grants 91851205, 31630012, U1706207, 31870052, U2006205, and 31800107), the National Key Research and Development Program of China (2018YFC1406700 and 2018YFC0310704), the Program of Shandong for Taishan Scholars (tspd20181203), and the Development of Marine Economy Demonstration City Program during the 13th Five-Year Plan Period-Preparation of Active Marine Protein Feed Additives and Construction of Industrial Chain.</t>
  </si>
  <si>
    <t>0099-2240</t>
  </si>
  <si>
    <t>1098-5336</t>
  </si>
  <si>
    <t>APPL ENVIRON MICROB</t>
  </si>
  <si>
    <t>Appl. Environ. Microbiol.</t>
  </si>
  <si>
    <t>e00412-21</t>
  </si>
  <si>
    <t>10.1128/AEM.00412-21</t>
  </si>
  <si>
    <t>UM3OI</t>
  </si>
  <si>
    <t>WOS:000693242900016</t>
  </si>
  <si>
    <t>Galliford, K</t>
  </si>
  <si>
    <t>Galliford, Karina</t>
  </si>
  <si>
    <t>Scrutinising the Maritime Zones Around Australia's Sub-Antarctic Islands Implications of the South China Sea Arbitration and Subsequent State Practice</t>
  </si>
  <si>
    <t>ASIA-PACIFIC JOURNAL OF OCEAN LAW AND POLICY</t>
  </si>
  <si>
    <t>Australian Sub-Antarctic Islands; exclusive economic zone; law of the sea; South China Sea Arbitral Tribunal; Article 121; State practice</t>
  </si>
  <si>
    <t>ARTICLE 121(3); ROCKS</t>
  </si>
  <si>
    <t>In 2016, the South China Sea Arbitral Tribunal was the first tribunal or court to interpret Article 121(3) of the United Nations Convention on the Law of the Sea. The Tribunal's interpretation raises international law questions regarding the validity of claimed exclusive economic zones (EEZs) and continental shelf maritime areas around many islands including Australia's sub-Antarctic Islands. Owing to their geographical remoteness, harsh climates, lack of resources, as well as never been 'home' to any group of people in a settled way, questions have been raised as to the validity of Australia's claimed maritime zones with respect to Article 121(3) in both pre- and post-South China Sea Arbitral Award commentary. The article assesses the validity of Australia's claim by applying the Tribunal's interpretation of Article 121(3) to the physical and historical facts of the Islands while raising alternate interpretations offered by prior and subsequent commentary. Three examples of possible State practice are reviewed for evidence of other interpretations that may have been agreed to by parties to the Convention. The findings arc that Heard and Macquarie Islands arc likely classified as islands entitled to an EEZ and continental shelf whereas McDonald Island is more likely to be an Article 121 'rock'.</t>
  </si>
  <si>
    <t>[Galliford, Karina] Univ New England, Sch Law, Armidale, NSW, Australia</t>
  </si>
  <si>
    <t>University of New England</t>
  </si>
  <si>
    <t>Galliford, K (corresponding author), Univ New England, Sch Law, Armidale, NSW, Australia.</t>
  </si>
  <si>
    <t>karina.galliford@gmail.com</t>
  </si>
  <si>
    <t>BRILL</t>
  </si>
  <si>
    <t>LEIDEN</t>
  </si>
  <si>
    <t>PLANTIJNSTRAAT 2, P O BOX 9000, 2300 PA LEIDEN, NETHERLANDS</t>
  </si>
  <si>
    <t>2451-9367</t>
  </si>
  <si>
    <t>2451-9391</t>
  </si>
  <si>
    <t>ASIA-PAC J OCEAN LAW</t>
  </si>
  <si>
    <t>Asia-Pac. J. Ocean Law Policy</t>
  </si>
  <si>
    <t>10.1163/24519391-06010003</t>
  </si>
  <si>
    <t>International Relations; Law</t>
  </si>
  <si>
    <t>International Relations; Government &amp; Law</t>
  </si>
  <si>
    <t>TT0JZ</t>
  </si>
  <si>
    <t>WOS:000680039300003</t>
  </si>
  <si>
    <t>Moreira, BM; Goyanes, G; Pina, P; Vassilev, O; Heleno, S</t>
  </si>
  <si>
    <t>Moreira, Bruno Miguez; Goyanes, Gabriel; Pina, Pedro; Vassilev, Oleg; Heleno, Sandra</t>
  </si>
  <si>
    <t>Assessment of the Influence of Survey Design and Processing Choices on the Accuracy of Tree Diameter at Breast Height (DBH) Measurements Using UAV-Based Photogrammetry</t>
  </si>
  <si>
    <t>DRONES</t>
  </si>
  <si>
    <t>unmanned aerial vehicle (UAV); photogrammetry; structure from motion; 3D point cloud; diameter at breast height (DBH); forest inventory; remote sensing</t>
  </si>
  <si>
    <t>FROM-MOTION PHOTOGRAMMETRY; FOREST BIOMASS; POINT CLOUDS; FIELD</t>
  </si>
  <si>
    <t>This work provides a systematic evaluation of how survey design and computer processing choices (such as the software used or the workflow/parameters chosen) influence unmanned aerial vehicle (UAV)-based photogrammetry retrieval of tree diameter at breast height (DBH), an important 3D structural parameter in forest inventory and biomass estimation. The study areas were an agricultural field located in the province of Malaga, Spain, where a small group of olive trees was chosen for the UAV surveys, and an open woodland area in the outskirts of Sofia, the capital of Bulgaria, where a 10 ha area grove, composed mainly of birch trees, was overflown. A DJI Phantom 4 Pro quadcopter UAV was used for the image acquisition. We applied structure from motion (SfM) to generate 3D point clouds of individual trees, using Agisoft and Pix4D software packages. The estimation of DBH in the point clouds was made using a RANSAC-based circle fitting tool from the TreeLS R package. All trees modeled had their DBH tape-measured on the ground for accuracy assessment. In the first study site, we executed many diversely designed flights, to identify which parameters (flying altitude, camera tilt, and processing method) gave us the most accurate DBH estimations; then, the resulting best settings configuration was used to assess the replicability of the method in the forested area in Bulgaria. The best configuration tested (flight altitudes of about 25 m above tree canopies, camera tilt 60 degrees, forward and side overlaps of 90%, Agisoft ultrahigh processing) resulted in root mean square errors (RMSEs; %) of below 5% of the tree diameters in the first site and below 12.5% in the forested area. We demonstrate that, when carefully designed methodologies are used, SfM can measure the DBH of single trees with very good accuracy, and to our knowledge, the results presented here are the best achieved so far using (above-canopy) UAV-based photogrammetry.</t>
  </si>
  <si>
    <t>[Moreira, Bruno Miguez; Goyanes, Gabriel; Pina, Pedro; Heleno, Sandra] Univ Lisbon, Ctr Nat Resources &amp; Environm CERENA, IST, P-1049001 Lisbon, Portugal; [Goyanes, Gabriel] Univ Lisbon, Ctr Geog Studies CEG, IGOT, P-1649004 Lisbon, Portugal; [Vassilev, Oleg] Bulgarian Antarctic Inst, 15 Tsar Osvoboditel Blvd, Sofia 1504, Bulgaria</t>
  </si>
  <si>
    <t>Universidade de Lisboa; Universidade de Lisboa</t>
  </si>
  <si>
    <t>Moreira, BM (corresponding author), Univ Lisbon, Ctr Nat Resources &amp; Environm CERENA, IST, P-1049001 Lisbon, Portugal.</t>
  </si>
  <si>
    <t>bruno.miguez@tecnico.ulisboa.pt; gabriel.goyanes@tecnico.ulisboa.pt; ppina@tecnico.ulisboa.pt; ovassilev@gmail.com; sandra.heleno@tecnico.ulisboa.pt</t>
  </si>
  <si>
    <t>Heleno, Sandra/AAC-4637-2020; Pina, Pedro/B-4879-2008; Goyanes Díaz, Gabriel Alejandro/JXM-1643-2024</t>
  </si>
  <si>
    <t>Heleno, Sandra/0000-0003-1633-0218; Pina, Pedro/0000-0002-3199-7961; Goyanes Díaz, Gabriel Alejandro/0000-0001-5241-254X; Miguez Moreira, Bruno/0000-0002-5635-1884</t>
  </si>
  <si>
    <t>FCT (Fundacao para a Ciencia e a Tecnologia-Portugal) [PTDC/EAM-REM/30475/2017]; Fundação para a Ciência e a Tecnologia [PTDC/EAM-REM/30475/2017] Funding Source: FCT</t>
  </si>
  <si>
    <t>FCT (Fundacao para a Ciencia e a Tecnologia-Portugal)(Fundacao para a Ciencia e a Tecnologia (FCT)); Fundação para a Ciência e a Tecnologia(Fundacao para a Ciencia e a Tecnologia (FCT))</t>
  </si>
  <si>
    <t>This research was funded by FCT (Fundacao para a Ciencia e a Tecnologia-Portugal), grant number PTDC/EAM-REM/30475/2017.</t>
  </si>
  <si>
    <t>2504-446X</t>
  </si>
  <si>
    <t>DRONES-BASEL</t>
  </si>
  <si>
    <t>Drones-Basel</t>
  </si>
  <si>
    <t>10.3390/drones5020043</t>
  </si>
  <si>
    <t>TX3PY</t>
  </si>
  <si>
    <t>WOS:000683003500001</t>
  </si>
  <si>
    <t>Adams, LW; Morris, RL; Hull, RB; Dempster, T; Strain, EMA</t>
  </si>
  <si>
    <t>Adams, L. W.; Morris, R. L.; Hull, R. B.; Dempster, T.; Strain, E. M. A.</t>
  </si>
  <si>
    <t>Making marinas bivalve friendly for enhanced biodiversity outcomes</t>
  </si>
  <si>
    <t>Artificial structure; Bivalve; Biodiversity; Breakwater; Piling; Pontoon</t>
  </si>
  <si>
    <t>PORT-PHILLIP BAY; URBAN INFRASTRUCTURE; MYTILUS-EDULIS; OCEAN SPRAWL; RECRUITMENT; HABITATS; MUSSELS; COASTAL; COMMUNITIES; COMPETITION</t>
  </si>
  <si>
    <t>Natural coastlines are being replaced by artificial structures (pilings, pontoons, breakwaters), with negative environmental impacts, particularly in marinas. Ropes seeded with mussels (Mytilus galloprovincialis) were added to artificial structures in a marina, using aquaculture techniques, to reduce the colonisation of invasive taxa. After 6-months, droplines beneath pontoons had the highest seeded mussel survival and growth, richness of native and invasive taxa, and proportion of invasive to native taxa, compared with the other interventions. Mussel ropes on the intertidal structures (pilings and breakwaters) supported higher biomass of native taxa, whereas mussel ropes on subtidal structures (pontoons and breakwaters) had reduced biomass of invasive taxa, relative to the unseeded ropes. Droplines had the greater biomass of mussels, while mussel ropes placed under pontoons, and in subtidal gabion baskets limited the biomass but not the diversity of invasive species. Further study is required to determine whether these interventions can be upscaled to improve both the native biodiversity and functioning of marinas.</t>
  </si>
  <si>
    <t>[Adams, L. W.; Morris, R. L.; Hull, R. B.; Dempster, T.; Strain, E. M. A.] Univ Melbourne, Natl Ctr Coasts &amp; Climate, Sch BioSci, Victoria, Australia; [Strain, E. M. A.] Univ Tasmania, Inst Marine &amp; Antarctic Sci, Hobart, Tas, Australia</t>
  </si>
  <si>
    <t>University of Melbourne; University of Tasmania</t>
  </si>
  <si>
    <t>Strain, EMA (corresponding author), Univ Melbourne, Natl Ctr Coasts &amp; Climate, Sch BioSci, Victoria, Australia.</t>
  </si>
  <si>
    <t>elisabeth.strain@utas.edu.au</t>
  </si>
  <si>
    <t>Strain, Elisabeth/U-3520-2017; Dempster, Tim/E-9630-2011</t>
  </si>
  <si>
    <t>Dempster, Tim/0000-0001-8041-426X; Hull, Rebecca/0000-0001-7033-3220</t>
  </si>
  <si>
    <t>Earth Systems and Climate Change Hub by the Australian Government's National Environmental Science Program; University of Melbourne</t>
  </si>
  <si>
    <t>Earth Systems and Climate Change Hub by the Australian Government's National Environmental Science Program; University of Melbourne(University of Melbourne)</t>
  </si>
  <si>
    <t>The National Centre for Coasts and Climate is funded through the Earth Systems and Climate Change Hub by the Australian Government's National Environmental Science Program. The research also was supported by funds awarded to ES and TD through the University of Melbourne.</t>
  </si>
  <si>
    <t>10.1016/j.marpolbul.2021.112464</t>
  </si>
  <si>
    <t>TR9ZR</t>
  </si>
  <si>
    <t>WOS:000679317100012</t>
  </si>
  <si>
    <t>Saavedra-Aracena, L; Grimm-Seyfarth, A; Schüttler, E</t>
  </si>
  <si>
    <t>Saavedra-Aracena, Lorena; Grimm-Seyfarth, Annegret; Schuettler, Elke</t>
  </si>
  <si>
    <t>Do dog-human bonds influence movements of free-ranging dogs in wilderness?</t>
  </si>
  <si>
    <t>APPLIED ANIMAL BEHAVIOUR SCIENCE</t>
  </si>
  <si>
    <t>Behavioural ecology; Canis familiaris; Chile; Monash Dog Owner Relationship Scale; Strange situation procedure; Wildlife management</t>
  </si>
  <si>
    <t>ROAMING DOMESTIC DOGS; HOME-RANGE; PUERTO NATALES; SECURE-BASE; BEHAVIOR; ATTACHMENT; IMPACTS; OWNERS; SYSTEM; TRANSMISSION</t>
  </si>
  <si>
    <t>Domestic dogs have a close and mutualistic relationship with humans. When unconfined, they usually stay close to the owner's home, but some undertake intensive forays in nature with negative impacts on wildlife. Predictors for such problematic dogs in previous research concentrated on dog characteristics and husbandry. Here we additionally explored which aspects of the dog-human bond influenced the movements of free-ranging village dogs in southern Chile. Using an interdisciplinary framework, we assessed the strength of this relationship through (i) attachment behaviours performed during the Strange Situation Procedure (SSP, dog's perception of the relationship) and (ii) the Monash Dog-Owner Relationship Scale questionnaire (MDORS, owner's perception) in 41 dog-owner dyads while remotely monitoring the dogs' movements using GPS tracking (n = 36394 locations). We found that 39 % of dogs had &gt; 5 % of their locations in natural areas, but only three individuals exhibited overnight excursions. Home range size (1.8-4227 ha) and mean distances to the owner's home (0-28.4 km) varied greatly among individuals. Through generalized linear models we identified that dogs had larger home ranges, moved farther away from home or accessed nature more (i.e., they exhibited more intensive forays) when they explored more, greeted their owners intensively, and expressed more passive behaviours in the presence of their owners (SSP). However, the MDORS questionnaire was a poor predictor of home range, distance to home, and access to nature. When considering the dogs' background, older dogs, males, and dogs that got missing more frequently exhibited more intensive forays. Compared to SSP results in confined dogs, we suggest that owners of free-ranging dogs do not play an important role as an attachment figure. We conclude that the dog-owner bond indeed influences roaming behaviour in dogs. This highlights the necessity of wildlife management strategies considering the cultural context. In specific terms, we recommend to foster the knowledge of the importance of bonds between dogs and their owners in educational campaigns on responsible dog ownership, along with biological (age, sex) and behavioural characteristics (exploration, getting missing). That way, awareness campaigns can focus on owners of possible problematic dogs.</t>
  </si>
  <si>
    <t>[Saavedra-Aracena, Lorena; Schuettler, Elke] Univ Magallanes, Sub Antarctic Biocultural Conservat Program, Teniente Munoz 166, Puerto Williams 166, Chile; [Grimm-Seyfarth, Annegret] UFZ Helmholtz Ctr Environm Res, Dept Conservat Biol, Permoserstr 15, D-04318 Leipzig, Germany; [Schuettler, Elke] Omora Pk Field Stn, Inst Ecol &amp; Biodivers, Teniente Munoz 166, Puerto Williams, Chile</t>
  </si>
  <si>
    <t>Universidad de Magallanes; Helmholtz Association; Helmholtz Center for Environmental Research (UFZ)</t>
  </si>
  <si>
    <t>Saavedra-Aracena, L (corresponding author), Univ Magallanes, Sub Antarctic Biocultural Conservat Program, Teniente Munoz 166, Puerto Williams 166, Chile.</t>
  </si>
  <si>
    <t>lorena.saavedra@umag.cl</t>
  </si>
  <si>
    <t>Grimm-Seyfarth, Annegret/I-9243-2019</t>
  </si>
  <si>
    <t>Grimm-Seyfarth, Annegret/0000-0003-0577-7508; Saavedra-Aracena, Lorena/0000-0001-6493-2956; Schuttler, Elke/0000-0001-9143-6237</t>
  </si>
  <si>
    <t>Chilean National Commission for Scientific and Technological Research (PAI-CONICYT) [79140024, 22170697]; Institute of Ecology and Biodiversity (IEB, Basal Funding ANID) [AFB170008]</t>
  </si>
  <si>
    <t>Chilean National Commission for Scientific and Technological Research (PAI-CONICYT); Institute of Ecology and Biodiversity (IEB, Basal Funding ANID)</t>
  </si>
  <si>
    <t>We are grateful to all dog-caregiver dyads participating in this study. We also wish to thank Francisca Avila for performing the role of the stranger in the SSP, Mauro Rojas for the health check, and Roy Mack-enzie for advice in PCA analysis. Special thanks to Fernando Cardenas, Nancyrose Houston, Jaime E. Jimenez, Javier Rendoll, Maximilano Sepulveda, Eduardo A. SilvaRodriguez, and Amy Wynia for improvingearlier versions of the manuscript. This work was financed by the Chilean National Commission for Scientific and Technological Research (PAI-CONICYT, Call 2014, No. 79140024 and Master Grant, Call 2017, No. 22170697) and by the Institute of Ecology and Biodiversity (IEB, Basal Funding ANID-AFB170008) .</t>
  </si>
  <si>
    <t>0168-1591</t>
  </si>
  <si>
    <t>1872-9045</t>
  </si>
  <si>
    <t>APPL ANIM BEHAV SCI</t>
  </si>
  <si>
    <t>Appl. Anim. Behav. Sci.</t>
  </si>
  <si>
    <t>10.1016/j.applanim.2021.105358</t>
  </si>
  <si>
    <t>Agriculture, Dairy &amp; Animal Science; Behavioral Sciences; Veterinary Sciences</t>
  </si>
  <si>
    <t>Agriculture; Behavioral Sciences; Veterinary Sciences</t>
  </si>
  <si>
    <t>TS1TU</t>
  </si>
  <si>
    <t>WOS:000679441200007</t>
  </si>
  <si>
    <t>Joughin, I; Shapero, D; Smith, B; Dutrieux, P; Barham, M</t>
  </si>
  <si>
    <t>Joughin, Ian; Shapero, Daniel; Smith, Ben; Dutrieux, Pierre; Barham, Mark</t>
  </si>
  <si>
    <t>Ice-shelf retreat drives recent Pine Island Glacier speedup</t>
  </si>
  <si>
    <t>WEST ANTARCTICA; THWAITES GLACIERS; SENSITIVITY; FLOW</t>
  </si>
  <si>
    <t>Speedup of Pine Island Glacier over the past several decades has made it Antarctica's largest contributor to sea-level rise. The past speedup is largely due to grounding-line retreat in response to ocean-induced thinning that reduced ice-shelf buttressing. While speeds remained fairly steady from 2009 to late 2017, our Copernicus Sentinel 1A/B-derived velocity data show a &gt;12% speedup over the past 3 years, coincident with a 19-km retreat of the ice shelf. We use an ice-flow model to simulate this loss, finding that accelerated calving can explain the recent speedup, independent of the grounding-line, melt-driven processes responsible for past speedups. If the ice shelf's rapid retreat continues, it could further destabilize the glacier far sooner than would be expected due to surface- or ocean-melting processes.</t>
  </si>
  <si>
    <t>[Joughin, Ian; Shapero, Daniel; Smith, Ben] Univ Washington, Polar Sci Ctr, Appl Phys Lab, 1013 NE 40th St, Seattle, WA 98105 USA; [Dutrieux, Pierre; Barham, Mark] British Antarctic Survey, Madingley Rd, Cambridge CB3 0ET, England</t>
  </si>
  <si>
    <t>University of Washington; University of Washington Seattle; UK Research &amp; Innovation (UKRI); Natural Environment Research Council (NERC); NERC British Antarctic Survey</t>
  </si>
  <si>
    <t>Joughin, I (corresponding author), Univ Washington, Polar Sci Ctr, Appl Phys Lab, 1013 NE 40th St, Seattle, WA 98105 USA.</t>
  </si>
  <si>
    <t>ian@apl.washington.edu</t>
  </si>
  <si>
    <t>Dutrieux, Pierre/GVS-2890-2022; Joughin, Ian/A-2998-2008</t>
  </si>
  <si>
    <t>Dutrieux, Pierre/0000-0002-8066-934X; Barham, Mark/0000-0002-9724-2916; Joughin, Ian/0000-0001-6229-679X; Shapero, Daniel/0000-0002-3651-0649</t>
  </si>
  <si>
    <t>National Science Foundation [OAC-1835321, OPP-1643285]; National Aeronautics Space Administration [NNX17AG54G]; UK Natural Environment Research Council's iSTAR Programme (NERC) [NE/J005770/1]; NERC [bas0100033] Funding Source: UKRI</t>
  </si>
  <si>
    <t>National Science Foundation(National Science Foundation (NSF)); National Aeronautics Space Administration(National Aeronautics &amp; Space Administration (NASA)); UK Natural Environment Research Council's iSTAR Programme (NERC)(UK Research &amp; Innovation (UKRI)Natural Environment Research Council (NERC)); NERC(UK Research &amp; Innovation (UKRI)Natural Environment Research Council (NERC))</t>
  </si>
  <si>
    <t>The National Science Foundation provided support through grant OPP-1643285 (I.J., D.S., and P.D.). The National Aeronautics Space Administration provided additional support through grant NNX17AG54G (I.J., D.S., and B.S.). Icepack development was supported by National Science Foundation grant OAC1835321. Since 2012, UK Natural Environment Research Council's iSTAR Programme (NERC grants NE/J005770/1) and its National Capability Science Single Centre supported the mooring maintenance.</t>
  </si>
  <si>
    <t>eabg3080</t>
  </si>
  <si>
    <t>10.1126/sciadv.abg3080</t>
  </si>
  <si>
    <t>TP4NR</t>
  </si>
  <si>
    <t>WOS:000677572900013</t>
  </si>
  <si>
    <t>Lee, W; Song, IS; Kim, JH; Kim, YH; Jeong, SH; Eswaraiah, S; Murphy, DJ</t>
  </si>
  <si>
    <t>Lee, Wonseok; Song, In-Sun; Kim, Jeong-Han; Kim, Yong Ha; Jeong, Se-Heon; Eswaraiah, S.; Murphy, D. J.</t>
  </si>
  <si>
    <t>The Observation and SD-WACCM Simulation of Planetary Wave Activity in the Middle Atmosphere During the 2019 Southern Hemispheric Sudden Stratospheric Warming</t>
  </si>
  <si>
    <t>lower thermosphere; mesosphere; meteor radar; planetary waves; SD-WACCM; sudden stratospheric warming</t>
  </si>
  <si>
    <t>MESOSPHERIC TEMPERATURE; SEPTEMBER 2002; NORTHERN; WINTER; VARIABILITY; SATELLITE; IMPACT; MODEL; TIDES; WINDS</t>
  </si>
  <si>
    <t>A sudden stratospheric warming (SSW) is an extremely rare event in the Southern Hemisphere (SH), but occurred in early September 2019. From the Antarctic meteor radar (MR) stations, Davis (68.6S, 77.9E) and King Sejong Station (62.2S, 58.8W), quasi 10-day oscillations were clearly observed in the zonal mesospheric winds before the central date (DOY 253) of the SSW. From the northern low-latitude Tirupati (13.6N, 79.4E) MR, a strong wave activity with a period of similar to 6 days was detected in the zonal winds right after the central date. This oscillation is also seen in the geopotential height measurements from the Microwave Limb Sounder (MLS) on board the Aura satellite near the Tirupati region. To elucidate the possible source of the quasi 6-day wave (Q6DW), we use a specified dynamics version of the Whole Atmosphere Community Climate Model (SD-WACCM) constrained by the reanalysis data from the surface to 50 km. The simulation results show that the amplitude of the westward and equatorward propagating Q6DW was enhanced after the SSW central date in the MLT region, and the Q6DW can be attributed to the baroclinic/barotropic instability in the SH high-latitude mesosphere where the divergence of Eliassen-Palm flux occurred. Thus, we suggest that the Q6DW activity observed by the Tirupati MR and MLS originated from the SH high-latitude mesospheric region. Both the observation and the simulation results clearly demonstrate that the 2019 SH SSW affected not only the high-latitude MLT region but also the low-latitude MLT region.</t>
  </si>
  <si>
    <t>[Lee, Wonseok; Kim, Yong Ha; Jeong, Se-Heon; Eswaraiah, S.] Chungnam Natl Univ, Dept Astron Space Sci &amp; Geol, Daejeon, South Korea; [Song, In-Sun; Kim, Jeong-Han] Yonsei Univ, Seoul, South Korea; [Jeong, Se-Heon] Korea Astron &amp; Space Sci Inst, Daejeon, South Korea; [Murphy, D. J.] Australian Antarctic Div, Kingston, Tas, Australia</t>
  </si>
  <si>
    <t>Chungnam National University; Yonsei University; Korea Astronomy &amp; Space Science Institute (KASI); Australian Antarctic Division</t>
  </si>
  <si>
    <t>Kim, YH (corresponding author), Chungnam Natl Univ, Dept Astron Space Sci &amp; Geol, Daejeon, South Korea.</t>
  </si>
  <si>
    <t>yhkim@cnu.ac.kr</t>
  </si>
  <si>
    <t>Song, In-Sun/KCK-5485-2024; Kim, Jeong Han/J-6244-2016</t>
  </si>
  <si>
    <t>Song, In-Sun/0000-0001-7211-6035; Kim, Yongha/0000-0003-0200-9423; Murphy, Damian/0000-0003-1738-5560; Lee, Wonseok/0000-0002-9524-8505; Sunkara, Eswaraiah/0000-0002-0419-6755</t>
  </si>
  <si>
    <t>Korea Polar Research Institute, Incheon, South Korea [PE21020]; Australian Antarctic Program under AAS project [4445]; Korea Astronomy and Space Science Institute under the RD program [2021-1-850-05]</t>
  </si>
  <si>
    <t>Korea Polar Research Institute, Incheon, South Korea; Australian Antarctic Program under AAS project; Korea Astronomy and Space Science Institute under the RD program</t>
  </si>
  <si>
    <t>This work was supported by the Korea Polar Research Institute (PE21020), Incheon, South Korea. Support for the Davis meteor radar data was provided by the Australian Antarctic Program under AAS project 4445. The second author (In-Sun Song) was supported by the Korea Astronomy and Space Science Institute under the R&amp;D program (Project No. 2021-1-850-05) supervised by the Ministry of Science and ICT. We thank Prof. SVB Rao of S.V. University, Tirupati, India for providing the Tirupati Meteor Radar data.</t>
  </si>
  <si>
    <t>e2020JA029094</t>
  </si>
  <si>
    <t>10.1029/2020JA029094</t>
  </si>
  <si>
    <t>TM8ZZ</t>
  </si>
  <si>
    <t>WOS:000675837200046</t>
  </si>
  <si>
    <t>Wang, JC; Palo, SE; Forbes, JM; Marino, J; Moffat-Griffin, T; Mitchell, NJ</t>
  </si>
  <si>
    <t>Wang, J. C.; Palo, S. E.; Forbes, J. M.; Marino, J.; Moffat-Griffin, T.; Mitchell, N. J.</t>
  </si>
  <si>
    <t>Unusual Quasi 10-Day Planetary Wave Activity and the Ionospheric Response During the 2019 Southern Hemisphere Sudden Stratospheric Warming</t>
  </si>
  <si>
    <t>LOWER THERMOSPHERE; MEAN WINDS; MESOSPHERE; VARIABILITY; STATIONARY; TIDE; INTERFERENCE; EVENTS; MODEL; FIELD</t>
  </si>
  <si>
    <t>An unusual sudden stratospheric warming (SSW) event occurred in the Southern Hemisphere in September 2019. Ground-based and satellite observations show the presence of transient eastward- and westward-propagating quasi-10 day planetary waves (Q10DWs) during the SSW. The planetary wave activity maximizes in the mesosphere and lower thermosphere region approximately 10 days after the SSW onset. Analysis indicates that the westward-propagating Q10DW with zonal wave number s = 1 is mainly symmetric about the equator, which is contrary to theory which predicts the presence of an antisymmetric normal mode for such planetary wave. Observations from microwave limb sounder and sounding of the atmosphere using broadband emission radiometry are combined with meteor radar wind measurements from Antarctica, providing a comprehensive view of Q10DW wave activity in the Southern Hemisphere during this SSW. Analysis suggests that the Q10DWs of various wavenumbers are potentially excited from nonlinear wave-wave interactions that also involve stationary planetary waves with s = 1 and s = 2. The Q10DWs are also found to couple the ionosphere with the neutral atmosphere. The timing of the quasi-10-day oscillations (Q10DOs) in the ionosphere are contemporaneous with the Q10DWs in the neutral atmosphere during a period of relatively low solar and geomagnetic activity, suggesting that the Q10DWs play a key role in driving the ionospheric Q10DOs during the Southern SSW event. This study provides observational evidence for coupling between the neutral atmosphere and ionosphere through the upward propagation of global scale planetary waves. Plain Language Summary Sudden stratospheric warmings (SSWs) are a common dynamical feature in the Northern Hemisphere, but they rarely happen in the Southern Hemisphere because of weaker planetary wave activity due to smaller land/sea thermal differences. In September 2019, a record-strong SSW was observed in the Southern Hemisphere, accompanied by the amplification of traveling planetary waves with a period near 10 days during the onset of this Southern Hemisphere SSW. Analysis suggests that the quasi 10-day planetary waves can drive the quasi-10-day oscillations in the ionosphere. Our result suggests the amplification of the quasi 10-day planetary waves during SSWs can make significant impacts on the upper atmosphere.</t>
  </si>
  <si>
    <t>[Wang, J. C.; Palo, S. E.; Forbes, J. M.; Marino, J.] Univ Colorado, Ann &amp; HJ Smead Dept Aerosp Engn Sci, Boulder, CO 80309 USA; [Wang, J. C.] Natl Ctr Atmospher Res, High Altitude Observ, POB 3000, Boulder, CO 80307 USA; [Moffat-Griffin, T.; Mitchell, N. J.] British Antarctic Survey, Cambridge, England; [Mitchell, N. J.] Univ Bath, Dept Elect &amp; Elect Engn, Bath, Avon, England</t>
  </si>
  <si>
    <t>University of Colorado System; University of Colorado Boulder; National Center Atmospheric Research (NCAR) - USA; UK Research &amp; Innovation (UKRI); Natural Environment Research Council (NERC); NERC British Antarctic Survey; University of Bath</t>
  </si>
  <si>
    <t>Wang, JC (corresponding author), Univ Colorado, Ann &amp; HJ Smead Dept Aerosp Engn Sci, Boulder, CO 80309 USA.;Wang, JC (corresponding author), Natl Ctr Atmospher Res, High Altitude Observ, POB 3000, Boulder, CO 80307 USA.</t>
  </si>
  <si>
    <t>jack.c.wang@colorado.edu</t>
  </si>
  <si>
    <t>wang, jack/JLL-8637-2023; Forbes, Jeffrey M/B-7234-2016</t>
  </si>
  <si>
    <t>Forbes, Jeffrey M/0000-0001-6937-0796; Wang, Jack Chieh/0000-0003-2165-505X; PALO, SCOTT/0000-0002-4729-4929; Marino, John/0000-0002-9955-5916</t>
  </si>
  <si>
    <t>NSF [AGS-1552286, OPP-1543446]; NSF Aeronomy Program [AGS-1630177]; UK Natural Environment Research Council [NE/R001391/1, NE/R001235/1]; Ministry of Education, Taiwan; National Science Foundation [1852977]; NERC [NE/R001391/1, bas0100032, NE/R001235/1] Funding Source: UKRI</t>
  </si>
  <si>
    <t>NSF(National Science Foundation (NSF)); NSF Aeronomy Program(National Science Foundation (NSF)NSF - Directorate for Geosciences (GEO)); UK Natural Environment Research Council(UK Research &amp; Innovation (UKRI)Natural Environment Research Council (NERC)); Ministry of Education, Taiwan(Ministry of Education, Taiwan); National Science Foundation(National Science Foundation (NSF)); NERC(UK Research &amp; Innovation (UKRI)Natural Environment Research Council (NERC))</t>
  </si>
  <si>
    <t>This research was supported by NSF grant AGS-1552286, part of the CEDAR program under the direction of Dr. Scott Palo. The meteor radar located at McMurdo Station was supported by NSF grant OPP-1543446. J.M. Forbes was supported under Award AGS-1630177 from the NSF Aeronomy Program. T. Moffat-Griffin and N.J. Mitchell are supported by the UK Natural Environment Research Council (grant nos. NE/R001391/1 and NE/R001235/1). This work was performed while J.C. Wang held a Government Scholarship for Study Abroad awarded by the Ministry of Education, Taiwan. J.C. Wang thanks to the high-performance computing support on Cheyenne (ark:/85065/d7wd3xhc) provided by NCAR's Computational and Information Systems Laboratory. J.C. Wang also acknowledges Dr. Han-Li Liu for his valuable discussions and comments. The National Center for Atmospheric Research is a major facility sponsored by the National Science Foundation under Cooperative Agreement No. 1852977.</t>
  </si>
  <si>
    <t>e2021JA029286</t>
  </si>
  <si>
    <t>10.1029/2021JA029286</t>
  </si>
  <si>
    <t>WOS:000675837200035</t>
  </si>
  <si>
    <t>White, PA; Keeler, DG; Rupper, S</t>
  </si>
  <si>
    <t>White, Philip A.; Keeler, Durban G.; Rupper, Summer</t>
  </si>
  <si>
    <t>HIERARCHICAL INTEGRATED SPATIAL PROCESS MODELING OF MONOTONE WEST ANTARCTIC SNOW DENSITY CURVES</t>
  </si>
  <si>
    <t>ANNALS OF APPLIED STATISTICS</t>
  </si>
  <si>
    <t>Bayesian statistics; Gaussian process; monotonic regression; spatial statistics; spline</t>
  </si>
  <si>
    <t>ACCUMULATION RATES; SCORING RULES; FIRN; REGRESSION; TREND</t>
  </si>
  <si>
    <t>Snow density estimates below the surface, used with airplane-acquired ice-penetrating radar measurements, give a site-specific history of snow water accumulation. Because it is infeasible to drill snow cores across all of Antarctica to measure snow density and because it is critical to understand how climatic changes are affecting the world's largest freshwater reservoir, we develop methods that enable snow density estimation with uncertainty in regions where snow cores have not been drilled. In inland West Antarctica, snow density increases monotonically as a function of depth, except for possible microscale variability or measurement error, and it cannot exceed the density of ice. We present a novel class of integrated spatial process models that allow interpolation of monotone snow density curves. For computational feasibility we construct the space-depth process through kernel convolutions of log-Gaussian spatial processes. We discuss model comparison, model fitting and prediction. Using this model, we extend estimates of snow density beyond the depth of the original core and estimate snow density curves where snow cores have not been drilled. Along flight lines with ice-penetrating radar, we use interpolated snow density curves to estimate recent water accumulation and find predominantly decreasing water accumulation over recent decades.</t>
  </si>
  <si>
    <t>[White, Philip A.] Brigham Young Univ, Dept Stat, Provo, UT 84602 USA; [Keeler, Durban G.; Rupper, Summer] Univ Utah, Dept Geog, Salt Lake City, UT 84112 USA</t>
  </si>
  <si>
    <t>Brigham Young University; Utah System of Higher Education; University of Utah</t>
  </si>
  <si>
    <t>White, PA (corresponding author), Brigham Young Univ, Dept Stat, Provo, UT 84602 USA.</t>
  </si>
  <si>
    <t>pwhite@stat.byu.edu; durban.keeler@gmail.com; summer.rupper@geog.utah.edu</t>
  </si>
  <si>
    <t>Rupper, Summer/KHD-4492-2024</t>
  </si>
  <si>
    <t>White, Philip/0000-0003-0907-9221; Rupper, Summer/0000-0001-8655-5282</t>
  </si>
  <si>
    <t>NASA [NNX16AJ72G]; NASA [NNX16AJ72G, 902363] Funding Source: Federal RePORTER</t>
  </si>
  <si>
    <t>NASA(National Aeronautics &amp; Space Administration (NASA)); NASA(National Aeronautics &amp; Space Administration (NASA))</t>
  </si>
  <si>
    <t>Summer Rupper acknowledges funding from NASA grant NNX16AJ72G.</t>
  </si>
  <si>
    <t>INST MATHEMATICAL STATISTICS-IMS</t>
  </si>
  <si>
    <t>CLEVELAND</t>
  </si>
  <si>
    <t>3163 SOMERSET DR, CLEVELAND, OH 44122 USA</t>
  </si>
  <si>
    <t>1932-6157</t>
  </si>
  <si>
    <t>1941-7330</t>
  </si>
  <si>
    <t>ANN APPL STAT</t>
  </si>
  <si>
    <t>Ann. Appl. Stat.</t>
  </si>
  <si>
    <t>10.1214/21-AOAS1443</t>
  </si>
  <si>
    <t>Statistics &amp; Probability</t>
  </si>
  <si>
    <t>Mathematics</t>
  </si>
  <si>
    <t>TL2HO</t>
  </si>
  <si>
    <t>WOS:000674675200002</t>
  </si>
  <si>
    <t>Ives, LRW; Isbell, JL</t>
  </si>
  <si>
    <t>Ives, Libby R. W.; Isbell, John L.</t>
  </si>
  <si>
    <t>A LITHOFACIES ANALYSIS OF A SOUTH POLAR GLACIATION IN THE EARLY PERMIAN: PAGODA FORMATION, SHACKLETON GLACIER REGION, ANTARCTICA</t>
  </si>
  <si>
    <t>JOURNAL OF SEDIMENTARY RESEARCH</t>
  </si>
  <si>
    <t>CENTRAL TRANSANTARCTIC MOUNTAINS; LATE PALEOZOIC GLACIATION; NORTHERN VICTORIA LAND; ICE-SHEET; PARANA BASIN; GLACIGENIC DEPOSITS; YAKATAGA FORMATION; BEACON SUPERGROUP; GONDWANA; STRATIGRAPHY</t>
  </si>
  <si>
    <t>The currently favored hypothesis for Late Paleozoic Ice Age glaciations is that multiple ice centers were distributed across Gondwana and that these ice centers grew and shank asynchronously. Recent work has suggested that the Transantarctic Basin has glaciogenic deposits and erosional features from two different ice centers, one centered on the Antarctic Craton and another located over Marie Byrd Land. To work towards an understanding of LPIA glaciation that can be tied to global trends, these successions must be understood on a local level before they can be correlated to basinal, regional, or global patterns. This study evaluates the sedimentology, stratigraphy, and flow directions of the glaciogenic, Asselian-Sakmarian (Early Permian) Pagoda Formation from four localities in the Shackleton Glacier region of the Transantarctic Basin to characterize Late Paleozoic Ice Age glaciation in a South Polar, basin-marginal setting. These analyses show that the massive, sandy, clast-poor diamictites of the Pagoda Fm were deposited in a basin-marginal subaqueous setting through a variety of glaciogenic and glacially influenced mechanisms in a depositional environment with depths below normal wave base. Current- transported sands and stratified diamictites that occur at the top of the Pagoda Fm were deposited as part of grounding-line fan systems. Up to at least 100 m of topographic relief on the erosional surface underlying the Pagoda Fm strongly influenced the thickness and transport directions in the Pagoda Fm. Uniform subglacial striae orientations across 100 m of paleotopographic relief suggest that the glacier was significantly thick to ``overtop'' the paleotopography in the Shackleton Glacier region. This pattern suggests that the glacier was likely not alpine, but rather an ice cap or ice sheet. The greater part of the Pagoda Fm in the Shackleton Glacier region was deposited during a single retreat phase. This retreat phase is represented by a single glacial depositional sequence that is characteristic of a glacier with a temperate or mild subpolar thermal regime and significant meltwater discharge. The position of the glacier margin likely experienced minor fluctuations (readvances) during this retreat. Though the sediment in the Shackleton Glacier region was deposited during a single glacier retreat phase, evidence from this study does not preclude earlier or later glacier advance-retreat cycles preserved elsewhere in the basin. Ice flow directions indicate that the glacier responsible for this sedimentation was likely flowing off of an upland on the side of the Transantarctic Basin closer to the Panthalassan-Gondwanide margin (Marie Byrd Land), which supports the hypothesis that two different ice centers contributed glaciogenic sediments to the Transantarctic Basin. Together, these observations and interpretations provide a detailed local description of Asselian-Sakmarian glaciation in a South Polar setting that can be used to understand larger-scale patterns of regional and global climate change during the Late Paleozoic Ice Age.</t>
  </si>
  <si>
    <t>[Ives, Libby R. W.; Isbell, John L.] Univ Wisconsin, Dept Geosci, Lapham Hall,3209 North Maryland Ave, Milwaukee, WI 53211 USA</t>
  </si>
  <si>
    <t>University of Wisconsin System; University of Wisconsin Milwaukee</t>
  </si>
  <si>
    <t>Ives, LRW (corresponding author), Univ Wisconsin, Dept Geosci, Lapham Hall,3209 North Maryland Ave, Milwaukee, WI 53211 USA.</t>
  </si>
  <si>
    <t>woodfor5@uwm.edu</t>
  </si>
  <si>
    <t>Ives, Libby/0000-0001-5161-8968</t>
  </si>
  <si>
    <t>National Science Foundation [OPP-1443557, EAR-1729219, OISE-1559231]; University of Wisconsin-Milwaukee Graduate Fellowships programs; P.E.O. Scholar Awards Program; American Federation of Mineralogical Societies; Wisconsin Geological Society; University of Wisconsin-Milwaukee (RGI grant); University of Wisconsin-Milwaukee Department of Geosciences</t>
  </si>
  <si>
    <t>National Science Foundation(National Science Foundation (NSF)); University of Wisconsin-Milwaukee Graduate Fellowships programs; P.E.O. Scholar Awards Program; American Federation of Mineralogical Societies; Wisconsin Geological Society; University of Wisconsin-Milwaukee (RGI grant); University of Wisconsin-Milwaukee Department of Geosciences</t>
  </si>
  <si>
    <t>This work would have been impossible without the hard work of all the people who made the 2017-2018 Shackleton Deep Field Camp such a success, including the talented people of the National Science Foundation, Antarctic Support Contract, Ken Borek Air, Petroleum Helicopters, Inc., New York Air National Guard, and the U.S. Air Force. Special thanks are owed to Edith Taylor and Rudolf Serbet for aiding in the field planning, Danny Uhlmann and Ted Grosgebauer for keeping us from tumbling off of cliffs, and to Patty Ryberg, Rudolf Serbert, Brian Atkinson, and Erik Gulbranson for their companionship and cooking in the deep field. Thanks also to Kate Pauls and Eduardo Rosa for their feedback on the manuscript. Funding for this research came from National Science Foundation OPP-1443557, EAR-1729219, and OISE-1559231 grants, the University of Wisconsin-Milwaukee Graduate Fellowships programs, the P.E.O. Scholar Awards Program, The American Federation of Mineralogical Societies, The Wisconsin Geological Society, University of Wisconsin-Milwaukee (RGI grant), and the University of Wisconsin-Milwaukee Department of Geosciences. And finally, thanks are due to Fernando Vesely and an anonymous reviewer for their thoughtful comments and suggestions that improved this manuscript.</t>
  </si>
  <si>
    <t>SEPM-SOC SEDIMENTARY GEOLOGY</t>
  </si>
  <si>
    <t>TULSA</t>
  </si>
  <si>
    <t>6128 EAST 38TH ST, STE 308, TULSA, OK 74135-5814 USA</t>
  </si>
  <si>
    <t>1527-1404</t>
  </si>
  <si>
    <t>1938-3681</t>
  </si>
  <si>
    <t>J SEDIMENT RES</t>
  </si>
  <si>
    <t>J. Sediment. Res.</t>
  </si>
  <si>
    <t>10.2110/jsr.2021.004</t>
  </si>
  <si>
    <t>TL3QE</t>
  </si>
  <si>
    <t>WOS:000674772000003</t>
  </si>
  <si>
    <t>Berends, CJ; Köhler, P; Lourens, LJ; van de Wal, RSW</t>
  </si>
  <si>
    <t>Berends, C. J.; Kohler, P.; Lourens, L. J.; van de Wal, R. S. W.</t>
  </si>
  <si>
    <t>On the Cause of the Mid-Pleistocene Transition</t>
  </si>
  <si>
    <t>REVIEWS OF GEOPHYSICS</t>
  </si>
  <si>
    <t>MIDDLE PLEISTOCENE TRANSITION; ICE-SHEET MODEL; LAST GLACIAL INCEPTION; OXYGEN-ISOTOPE RECORD; ATMOSPHERIC CO2; CARBON-DIOXIDE; ANTARCTIC ICE; SEA-LEVEL; CHRONOLOGY AICC2012; TRACER TRANSPORT</t>
  </si>
  <si>
    <t>The Mid-Pleistocene Transition (MPT), where the Pleistocene glacial cycles changed from 41 to similar to 100 kyr periodicity, is one of the most intriguing unsolved issues in the field of paleoclimatology. Over the course of over four decades of research, several different physical mechanisms have been proposed to explain the MPT, involving non-linear feedbacks between ice sheets and the global climate, the solid Earth, ocean circulation, and the carbon cycle. Here, we review these different mechanisms, comparing how each of them relates to the others, and to the currently available observational evidence. Based on this discussion, we identify the most important gaps in our current understanding of the MPT. We discuss how new model experiments, which focus on the quantitative differences between the different physical mechanisms, could help fill these gaps. The results of those experiments could help interpret available proxy evidence, as well as new evidence that is expected to become available. Plain Language Summary For the past 1.2 million years, during the Late Pleistocene, the Earth has gone through glacial cycles (ice ages) of similar to 120,000 years in duration. Before that, during the Early Pleistocene, glacial cycles lasted only similar to 41,000 years. The cause of this change in duration (called the Mid-Pleistocene Transition, or MPT) is not clear. We review the different explanations for the MPT that have been proposed by different researchers over the past few decades, comparing them to each other and to the available evidence.</t>
  </si>
  <si>
    <t>[Berends, C. J.; van de Wal, R. S. W.] Univ Utrecht, Inst Marine &amp; Atmospher Res Utrecht, Utrecht, Netherlands; [Kohler, P.] Helmholtz Zentrum Polar &amp; Meeresforsch, Alfred Wegener Inst, Bremerhaven, Germany; [Lourens, L. J.] Univ Utrecht, Fac Geosci, Dept Earth Sci, Utrecht, Netherlands; [van de Wal, R. S. W.] Univ Utrecht, Fac Geosci, Dept Phys Geog, Utrecht, Netherlands</t>
  </si>
  <si>
    <t>Utrecht University; Helmholtz Association; Alfred Wegener Institute, Helmholtz Centre for Polar &amp; Marine Research; Utrecht University; Utrecht University</t>
  </si>
  <si>
    <t>Berends, CJ (corresponding author), Univ Utrecht, Inst Marine &amp; Atmospher Res Utrecht, Utrecht, Netherlands.</t>
  </si>
  <si>
    <t>c.j.berends@uu.nl</t>
  </si>
  <si>
    <t>van de wal, roderik/D-1705-2011; Köhler, Peter/F-7293-2010</t>
  </si>
  <si>
    <t>van de wal, roderik/0000-0003-2543-3892; Köhler, Peter/0000-0003-0904-8484; Berends, Tijn/0000-0002-2961-0350; Lourens, Lucas/0000-0002-3815-7770</t>
  </si>
  <si>
    <t>European Union [815384]; H2020 Societal Challenges Programme [815384] Funding Source: H2020 Societal Challenges Programme</t>
  </si>
  <si>
    <t>European Union(European Union (EU)); H2020 Societal Challenges Programme(Horizon 2020European Union (EU)H2020 Societal Challenges Programme)</t>
  </si>
  <si>
    <t>This publication was generated in the frame of Beyond EPICA. The project has received funding from the European Union's Horizon 2020 research and innovation program under grant agreement No. 815384 (Oldest Ice Core). It is supported by national partners and funding agencies in Belgium, Denmark, France, Germany, Italy, Norway, Sweden, Switzerland, The Netherlands, and the United Kingdom. Logistic support is mainly provided by PNRA and IPEV through the Concordia Station system. The opinions expressed and arguments employed herein do not necessarily reflect the official views of the European Union funding agency or other national funding bodies. This is Beyond EPICA publication number 18.</t>
  </si>
  <si>
    <t>8755-1209</t>
  </si>
  <si>
    <t>1944-9208</t>
  </si>
  <si>
    <t>REV GEOPHYS</t>
  </si>
  <si>
    <t>Rev. Geophys.</t>
  </si>
  <si>
    <t>e2020RG000727</t>
  </si>
  <si>
    <t>10.1029/2020RG000727</t>
  </si>
  <si>
    <t>TA8EC</t>
  </si>
  <si>
    <t>WOS:000667476800001</t>
  </si>
  <si>
    <t>MacGregor, JA; Boisvert, LN; Medley, B; Petty, AA; Harbeck, JP; Bell, RE; Blair, JB; Blanchard-Wrigglesworth, E; Buckley, EM; Christoffersen, MS; Cochran, JR; Csathó, BM; De Marco, EL; Dominguez, RT; Fahnestock, MA; Farrell, SL; Gogineni, SP; Greenbaum, JS; Hansen, CM; Hofton, MA; Holt, JW; Jezek, KC; Koenig, LS; Kurtz, NT; Kwok, R; Larsen, CF; Leuschen, CJ; Locke, CD; Manizade, SS; Martin, S; Neumann, TA; Nowicki, SMJ; Paden, JD; Richter-Menge, JA; Rignot, EJ; Rodríguez-Morales, F; Siegfried, MR; Smith, BE; Sonntag, JG; Studinger, M; Tinto, KJ; Truffer, M; Wagner, TP; Woods, JE; Young, DA; Yungel, JK</t>
  </si>
  <si>
    <t>MacGregor, Joseph A.; Boisvert, Linette N.; Medley, Brooke; Petty, Alek A.; Harbeck, Jeremy P.; Bell, Robin E.; Blair, J. Bryan; Blanchard-Wrigglesworth, Edward; Buckley, Ellen M.; Christoffersen, Michael S.; Cochran, James R.; Csatho, Beata M.; De Marco, Eugenia L.; Dominguez, RoseAnne T.; Fahnestock, Mark A.; Farrell, Sinead L.; Gogineni, S. Prasad; Greenbaum, Jamin S.; Hansen, Christy M.; Hofton, Michelle A.; Holt, John W.; Jezek, Kenneth C.; Koenig, Lora S.; Kurtz, Nathan T.; Kwok, Ronald; Larsen, Christopher F.; Leuschen, Carlton J.; Locke, Caitlin D.; Manizade, Serdar S.; Martin, Seelye; Neumann, Thomas A.; Nowicki, Sophie M. J.; Paden, John D.; Richter-Menge, Jacqueline A.; Rignot, Eric J.; Rodriguez-Morales, Fernando; Siegfried, Matthew R.; Smith, Benjamin E.; Sonntag, John G.; Studinger, Michael; Tinto, Kirsty J.; Truffer, Martin; Wagner, Thomas P.; Woods, John E.; Young, Duncan A.; Yungel, James K.</t>
  </si>
  <si>
    <t>The Scientific Legacy of NASA's Operation IceBridge</t>
  </si>
  <si>
    <t>ARCTIC SEA-ICE; SURFACE MASS-BALANCE; PINE ISLAND GLACIER; AIRBORNE LASER ALTIMETRY; FIRN COMPACTION RATES; ECHO SOUNDING DATA; GREENLAND ICE; SNOW DEPTH; WEST ANTARCTICA; THWAITES GLACIER</t>
  </si>
  <si>
    <t>The National Aeronautics and Space Administration (NASA)'s Operation IceBridge (OIB) was a 13-year (2009-2021) airborne mission to survey land and sea ice across the Arctic, Antarctic, and Alaska. Here, we review OIB's goals, instruments, campaigns, key scientific results, and implications for future investigations of the cryosphere. OIB's primary goal was to use airborne laser altimetry to bridge the gap in fine-resolution elevation measurements of ice from space between the conclusion of NASA's Ice, Cloud, and land Elevation Satellite (ICESat; 2003-2009) and its follow-on, ICESat-2 (launched 2018). Additional scientific requirements were intended to contextualize observed elevation changes using a multisensor suite of radar sounders, gravimeters, magnetometers, and cameras. Using 15 different aircraft, OIB conducted 968 science flights, of which 42% were repeat surveys of land ice, 42% were surveys of previously unmapped terrain across the Greenland and Antarctic ice sheets, Arctic ice caps, and Alaskan glaciers, and 16% were surveys of sea ice. The combination of an expansive instrument suite and breadth of surveys enabled numerous fundamental advances in our understanding of the Earth's cryosphere. For land ice, OIB dramatically improved knowledge of interannual outlet-glacier variability, ice-sheet, and outlet-glacier thicknesses, snowfall rates on ice sheets, fjord and sub-ice-shelf bathymetry, and ice-sheet hydrology. Unanticipated discoveries included a reliable method for constraining the thickness within difficult-to-sound incised troughs beneath ice sheets, the extent of the firn aquifer within the Greenland Ice Sheet, the vulnerability of many Greenland and Antarctic outlet glaciers to ocean-driven melting at their grounding zones, and the dominance of surface-melt-driven mass loss of Alaskan glaciers. For sea ice, OIB significantly advanced our understanding of spatiotemporal variability in sea ice freeboard and its snow cover, especially through combined analysis of fine-resolution altimetry, visible imagery, and snow radar measurements of the overlying snow thickness. Such analyses led to the unanticipated discovery of an interdecadal decrease in snow thickness on Arctic sea ice and numerous opportunities to validate sea ice freeboards from satellite radar altimetry. While many of its data sets have yet to be fully explored, OIB's scientific legacy has already demonstrated the value of sustained investment in reliable airborne platforms, airborne instrument development, interagency and international collaboration, and open and rapid data access to advance our understanding of Earth's remote polar regions and their role in the Earth system.</t>
  </si>
  <si>
    <t>[MacGregor, Joseph A.; Boisvert, Linette N.; Medley, Brooke; Petty, Alek A.; Harbeck, Jeremy P.; Kurtz, Nathan T.; Manizade, Serdar S.; Neumann, Thomas A.; Sonntag, John G.; Studinger, Michael; Yungel, James K.] NASA, Goddard Space Flight Ctr, Cryospher Sci Lab, Code 615, Greenbelt, MD 20771 USA; [Petty, Alek A.] Univ Maryland, Earth Syst Sci Interdisciplinary Ctr, College Pk, MD 20742 USA; [Harbeck, Jeremy P.] ADNET Syst, Bethesda, MD USA; [Bell, Robin E.; Cochran, James R.; Tinto, Kirsty J.] Columbia Univ, Lamont Doherty Earth Observ, Palisades, NY USA; [Blair, J. Bryan; Hofton, Michelle A.] NASA, Goddard Space Flight Ctr, Geodesy &amp; Geophys Lab, Code 61A, Greenbelt, MD USA; [Blanchard-Wrigglesworth, Edward] Univ Washington, Dept Atmospher Sci, Seattle, WA 98195 USA; [Buckley, Ellen M.] Univ Maryland, Dept Atmospher &amp; Ocean Sci, College Pk, MD 20742 USA; [Christoffersen, Michael S.; Holt, John W.] Univ Arizona, Lunar &amp; Planetary Lab, Tucson, AZ 85721 USA; [Csatho, Beata M.; Nowicki, Sophie M. J.] SUNY Buffalo, Dept Geol, Buffalo, NY USA; [De Marco, Eugenia L.] NASA, Goddard Space Flight Ctr, Electromech Syst Branch, Code 544, Greenbelt, MD USA; [De Marco, Eugenia L.] ATA Aerosp, Greenbelt, MD USA; [Dominguez, RoseAnne T.] Univ Space Res Assoc, NASA, Ames Res Ctr, Moffett Field, CA USA; [Fahnestock, Mark A.; Larsen, Christopher F.; Truffer, Martin] Univ Alaska Fairbanks, Inst Geophys, Fairbanks, AK 99775 USA; [Farrell, Sinead L.; Hofton, Michelle A.] Univ Maryland, Dept Geophys Sci, College Pk, MD 20742 USA; [Gogineni, S. Prasad] Univ Alabama, Dept Elect &amp; Comp Engn, Tuscaloosa, AL USA; [Greenbaum, Jamin S.] Univ Calif San Diego, Scripps Inst Oceanog, La Jolla, CA 92093 USA; [Hansen, Christy M.] NASA, Goddard Space Flight Ctr, Flight Projects Directorate, Code 400, Greenbelt, MD USA; [Jezek, Kenneth C.] Ohio State Univ, Byrd Polar Res Ctr, Columbus, OH 43210 USA; [Koenig, Lora S.] Univ Colorado, Cooperat Inst Res Environm Sci, Natl Snow &amp; Ice Data Ctr, Boulder, CO 80309 USA; [Kwok, Ronald; Rignot, Eric J.] CALTECH, Jet Prop Lab, Pasadena, CA USA; [Leuschen, Carlton J.; Paden, John D.; Rodriguez-Morales, Fernando] Univ Kansas, Ctr Remote Sensing Ice Sheets, Lawrence, KS 66045 USA; [Manizade, Serdar S.; Yungel, James K.] NASA, Amentum, Wallops Flight Facil, Wallops Isl, VA USA; [Martin, Seelye] Univ Washington, Sch Oceanog, Seattle, WA 98195 USA; [Richter-Menge, Jacqueline A.] Univ Alaska Fairbanks, Fairbanks, AK USA; [Rignot, Eric J.] Univ Calif Irvine, Dept Earth Syst Sci, Irvine, CA USA; [Siegfried, Matthew R.] Colorado Sch Mines, Dept Geophys, Golden, CO 80401 USA; [Smith, Benjamin E.] Univ Washington, Appl Phys Lab, Seattle, WA 98105 USA; [Sonntag, John G.] Bay Area Environm Res Inst, Moffett Field, CA USA; [Wagner, Thomas P.] NASA Headquarters, Sci Mission Directorate, Washington, DC USA; [Woods, John E.] Off Naval Res, Washington, DC USA; [Young, Duncan A.] Univ Texas Austin, Inst Geophys, Austin, TX USA</t>
  </si>
  <si>
    <t>National Aeronautics &amp; Space Administration (NASA); NASA Goddard Space Flight Center; University System of Maryland; University of Maryland College Park; Columbia University; National Aeronautics &amp; Space Administration (NASA); NASA Goddard Space Flight Center; University of Washington; University of Washington Seattle; University System of Maryland; University of Maryland College Park; University of Arizona; State University of New York (SUNY) System; State University of New York (SUNY) Buffalo; National Aeronautics &amp; Space Administration (NASA); NASA Goddard Space Flight Center; National Aeronautics &amp; Space Administration (NASA); NASA Ames Research Center; Universities Space Research Association (USRA); University of Alaska System; University of Alaska Fairbanks; University System of Maryland; University of Maryland College Park; University of Alabama System; University of Alabama Tuscaloosa; University of California System; University of California San Diego; Scripps Institution of Oceanography; National Aeronautics &amp; Space Administration (NASA); NASA Goddard Space Flight Center; University System of Ohio; Ohio State University; University of Colorado System; University of Colorado Boulder; National Aeronautics &amp; Space Administration (NASA); NASA Jet Propulsion Laboratory (JPL); California Institute of Technology; University of Kansas; National Aeronautics &amp; Space Administration (NASA); NASA Goddard Space Flight Center; Wallops Flight Facility; University of Washington; University of Washington Seattle; University of Alaska System; University of Alaska Fairbanks; University of California System; University of California Irvine; Colorado School of Mines; University of Washington; University of Washington Seattle; National Aeronautics &amp; Space Administration (NASA); Mary W. Jackson NASA Headquarters; University of Texas System; University of Texas Austin</t>
  </si>
  <si>
    <t>MacGregor, JA (corresponding author), NASA, Goddard Space Flight Ctr, Cryospher Sci Lab, Code 615, Greenbelt, MD 20771 USA.</t>
  </si>
  <si>
    <t>joseph.a.macgregor@nasa.gov</t>
  </si>
  <si>
    <t>Csatho, Beata/KGK-9301-2024; Farrell, Sinead L/F-5586-2010; Rignot, Eric/A-4560-2014; Neumann, Thomas/JLL-4672-2023; Young, Duncan A./G-6256-2010; Kwok, Ronald/L-3968-2019; Petty, Alek/K-1839-2014</t>
  </si>
  <si>
    <t>Rignot, Eric/0000-0002-3366-0481; Kwok, Ronald/0000-0003-4051-5896; Wagner, Thomas/0000-0001-6540-6253; Boisvert, Linette/0000-0003-4778-4765; MacGregor, Joseph/0000-0002-5517-2235; Christoffersen, Michael/0000-0001-5328-2177; Petty, Alek/0000-0003-0307-3216; Locke, Caitlin/0000-0002-3319-4070</t>
  </si>
  <si>
    <t>e2020RG000712</t>
  </si>
  <si>
    <t>10.1029/2020RG000712</t>
  </si>
  <si>
    <t>WOS:000667476800008</t>
  </si>
  <si>
    <t>Tritscher, I; Pitts, MC; Poole, LR; Alexander, SP; Cairo, F; Chipperfield, MP; Grooss, JU; Höpfner, M; Lambert, A; Luo, B; Molleker, S; Orr, A; Salawitch, R; Snels, M; Spang, R; Woiwode, W; Peter, T</t>
  </si>
  <si>
    <t>Tritscher, Ines; Pitts, Michael C.; Poole, Lamont R.; Alexander, Simon P.; Cairo, Francesco; Chipperfield, Martyn P.; Grooss, Jens-Uwe; Hopfner, Michael; Lambert, Alyn; Luo, Beiping; Molleker, Sergey; Orr, Andrew; Salawitch, Ross; Snels, Marcel; Spang, Reinhold; Woiwode, Wolfgang; Peter, Thomas</t>
  </si>
  <si>
    <t>Polar Stratospheric Clouds: Satellite Observations, Processes, and Role in Ozone Depletion</t>
  </si>
  <si>
    <t>ozone depletion; PSCs</t>
  </si>
  <si>
    <t>NITRIC-ACID TRIHYDRATE; IN-SITU MEASUREMENTS; MESOSCALE TEMPERATURE-FLUCTUATIONS; LARGE HNO3-CONTAINING PARTICLES; HOMOGENEOUS NUCLEATION RATES; GROUND-BASED LIDAR; A-TRAIN CALIOP; SULFURIC-ACID; ARCTIC WINTER; CHLORINE ACTIVATION</t>
  </si>
  <si>
    <t>Polar stratospheric clouds (PSCs) play important roles in stratospheric ozone depletion during winter and spring at high latitudes (e.g., the Antarctic ozone hole). PSC particles provide sites for heterogeneous reactions that convert stable chlorine reservoir species to radicals that destroy ozone catalytically. PSCs also prolong ozone depletion by delaying chlorine deactivation through the removal of gas-phase HNO3 and H2O by sedimentation of large nitric acid trihydrate (NAT) and ice particles. Contemporary observations by the spaceborne instruments Michelson Interferometer for Passive Atmospheric Sounding (MIPAS), Microwave Limb Sounder (MLS), and Cloud-Aerosol Lidar with Orthogonal Polarization (CALIOP) have provided an unprecedented polar vortex-wide climatological view of PSC occurrence and composition in both hemispheres. These data have spurred advances in our understanding of PSC formation and related dynamical processes, especially the firm evidence of widespread heterogeneous nucleation of both NAT and ice PSC particles, perhaps on nuclei of meteoritic origin. Heterogeneous chlorine activation appears to be well understood. Reaction coefficients on/in liquid droplets have been measured accurately, and while uncertainties remain for reactions on solid NAT and ice particles, they are considered relatively unimportant since under most conditions chlorine activation occurs on/in liquid droplets. There have been notable advances in the ability of chemical transport and chemistry-climate models to reproduce PSC temporal/spatial distributions and composition observed from space. Continued spaceborne PSC observations will facilitate further improvements in the representation of PSC processes in global models and enable more accurate projections of the evolution of polar ozone and the global ozone layer as climate changes.</t>
  </si>
  <si>
    <t>[Tritscher, Ines; Grooss, Jens-Uwe; Spang, Reinhold] Forschungszentrum Julich, Inst Energie &amp; Klimaforsch, IEK 7, Julich, Germany; [Pitts, Michael C.] NASA, Langley Res Ctr, Hampton, VA 23665 USA; [Poole, Lamont R.] Sci Syst &amp; Applicat Inc, Hampton, VA USA; [Alexander, Simon P.] Australian Antarctic Div, Kingston, Tas, Australia; [Alexander, Simon P.; Cairo, Francesco; Snels, Marcel] Ist Sci Atmosfera &amp; Clima, Rome, Italy; [Chipperfield, Martyn P.] Univ Leeds, Sch Earth &amp; Environm, Leeds, W Yorkshire, England; [Hopfner, Michael; Woiwode, Wolfgang] Karlsruhe Inst Technol, Inst Meteorol &amp; Climate Res, Karlsruhe, Germany; [Lambert, Alyn] CALTECH, Jet Prop Lab, Pasadena, CA USA; [Luo, Beiping; Peter, Thomas] Swiss Fed Inst Technol, Inst Atmospher &amp; Climate Sci, Zurich, Switzerland; [Molleker, Sergey] Max Planck Inst Chem, Mainz, Germany; [Orr, Andrew] British Antarctic Survey, NERC, Cambridge, England; [Salawitch, Ross] Univ Maryland, College Pk, MD 20742 USA</t>
  </si>
  <si>
    <t>Helmholtz Association; Research Center Julich; National Aeronautics &amp; Space Administration (NASA); NASA Langley Research Center; Science Systems and Applications Inc; Australian Antarctic Division; Consiglio Nazionale delle Ricerche (CNR); Istituto di Scienze dell'Atmosfera e del Clima (ISAC-CNR); University of Leeds; Helmholtz Association; Karlsruhe Institute of Technology; National Aeronautics &amp; Space Administration (NASA); NASA Jet Propulsion Laboratory (JPL); California Institute of Technology; Swiss Federal Institutes of Technology Domain; ETH Zurich; Max Planck Society; UK Research &amp; Innovation (UKRI); Natural Environment Research Council (NERC); NERC British Antarctic Survey; University System of Maryland; University of Maryland College Park</t>
  </si>
  <si>
    <t>Tritscher, I (corresponding author), Forschungszentrum Julich, Inst Energie &amp; Klimaforsch, IEK 7, Julich, Germany.;Pitts, MC (corresponding author), NASA, Langley Res Ctr, Hampton, VA 23665 USA.</t>
  </si>
  <si>
    <t>tritscher@fz-juelich.de; michael.c.pitts@nasa.gov</t>
  </si>
  <si>
    <t>Chipperfield, Martyn/H-6359-2013; Spang, Reinhold/A-2738-2013; Tritscher, Ines/O-2271-2014; Höpfner, Michael/A-7255-2013; Peter, Thomas/B-2529-2018; Lambert, Alyn/I-8415-2014; Salawitch, Ross/B-4605-2009</t>
  </si>
  <si>
    <t>Chipperfield, Martyn/0000-0002-6803-4149; Peter, Thomas/0000-0002-7218-7156; Lambert, Alyn/0000-0003-3182-1824;</t>
  </si>
  <si>
    <t>SPARC (Stratosphere-troposphere Processes and their Role in Climate); ISSI; Deutsche Forschungsgemeinschaft (DFG) [310479827]; NASA [NNL11AA10D]; NASA CALIPSO-CloudSat Science Team; Australian Antarctic Science project [4012]; National Aeronautics and Space Administration; Karlsruhe House of Young Scientists (KHYS); NERC SISLAC [NE/R001782/1]; Royal Society Wolfson Merit Award; NASA Atmospheric Composition Modeling and Analysis Program; Projekt DEAL; Aura Science Team; SPARC</t>
  </si>
  <si>
    <t>SPARC (Stratosphere-troposphere Processes and their Role in Climate); ISSI; Deutsche Forschungsgemeinschaft (DFG)(German Research Foundation (DFG)); NASA(National Aeronautics &amp; Space Administration (NASA)); NASA CALIPSO-CloudSat Science Team; Australian Antarctic Science project; National Aeronautics and Space Administration(National Aeronautics &amp; Space Administration (NASA)); Karlsruhe House of Young Scientists (KHYS); NERC SISLAC; Royal Society Wolfson Merit Award(Royal Society); NASA Atmospheric Composition Modeling and Analysis Program(National Aeronautics &amp; Space Administration (NASA)); Projekt DEAL; Aura Science Team; SPARC</t>
  </si>
  <si>
    <t>This work was inspired by discussions at the SPARC (Stratosphere-troposphere Processes and their Role in Climate)-sponsored workshop on PSCs held at ETH Zurich in August 2014. Out of this workshop, the PSC initiative (PSCi) was established as a SPARC activity in 2015 with the ultimate goal of compiling this review paper. Much of the work was facilitated by a series of meetings of the PSCi team at the International Space Science Institute (ISSI) in Bern, Switzerland. We gratefully acknowledge the support of SPARC and ISSI in this effort. I. Tritscher was funded by the Deutsche Forschungsgemeinschaft (DFG) under project number 310479827. Support for L. Poole is provided under NASA contract NNL11AA10D. M. C. Pitts' work is supported by the NASA CALIPSO-CloudSat Science Team. S. P. Alexander was supported by the Australian Antarctic Science project 4012. A. Lambert's work at the Jet Propulsion Laboratory, California Institute of Technology, was carried out under a contract with the National Aeronautics and Space Administration. W. Woiwode was supported by the Karlsruhe House of Young Scientists (KHYS). M. P. Chipperfield was supported by the NERC SISLAC grant (NE/R001782/1) and by a Royal Society Wolfson Merit Award. R. Salawitch appreciates support from the NASA Atmospheric Composition Modeling and Analysis Program and Aura Science Team. We would also like to thank Lars Hoffman (FZJ-JSC) for providing the AIRS gravity wave data and Roland Neuber for providing the Ny-Alesund lidar data. The authors are grateful to Ralf Weigel for providing Figure 30; Yunqian Zhu for providing Figure 42; and Michael Steiner for providing Figure 44. Open access funding enabled and organized by Projekt DEAL.</t>
  </si>
  <si>
    <t>e2020RG000702</t>
  </si>
  <si>
    <t>10.1029/2020RG000702</t>
  </si>
  <si>
    <t>WOS:000667476800006</t>
  </si>
  <si>
    <t>Rohling, EJ; Yu, JM; Heslop, D; Foster, GL; Opdyke, B; Roberts, AP</t>
  </si>
  <si>
    <t>Rohling, Eelco J.; Yu, Jimin; Heslop, David; Foster, Gavin L.; Opdyke, Bradley; Roberts, Andrew P.</t>
  </si>
  <si>
    <t>Sea level and deep-sea temperature reconstructions suggest quasi-stable states and critical transitions over the past 40 million years</t>
  </si>
  <si>
    <t>ANTARCTIC ICE-SHEET; ISOTOPIC COMPOSITION; CLIMATE; VARIABILITY; DELTA-O-18; GLACIATION; RECORD; OCEAN; PRECIPITATION; MARINE</t>
  </si>
  <si>
    <t>Sea level and deep-sea temperature variations are key indicators of global climate changes. For continuous records over millions of years, deep-sea carbonate microfossil-based delta O-18 (delta(c)) records are indispensable because they reflect changes in both deep-sea temperature and seawater delta O-18 (delta(w)); the latter are related to ice volume and, thus, to sea level changes. Deep-sea temperature is usually resolved using elemental ratios in the same benthic microfossil shells used for delta(c), with linear scaling of residual delta(w) to sea level changes. Uncertainties are large and the linear-scaling assumption remains untested. Here, we present a new process-based approach to assess relationships between changes in sea level, mean ice sheet delta O-18, and both deep-sea delta(w) and temperature and find distinct nonlinearity between sea level and delta(w) changes. Application to delta(c) records over the past 40 million years suggests that Earth's climate system has complex dynamical behavior, with threshold-like adjustments (critical transitions) that separate quasi-stable deep-sea temperature and ice-volume states.</t>
  </si>
  <si>
    <t>[Rohling, Eelco J.; Yu, Jimin; Heslop, David; Opdyke, Bradley; Roberts, Andrew P.] Australian Natl Univ, Res Sch Earth Sci, Canberra, ACT 2601, Australia; [Rohling, Eelco J.; Foster, Gavin L.] Univ Southampton, Natl Oceanog Ctr, Sch Ocean &amp; Earth Sci, Southampton SO14 3ZH, Hants, England; [Yu, Jimin] Pilot Natl Lab Marine Sci &amp; Technol Qingdao, Qingdao 266237, Peoples R China</t>
  </si>
  <si>
    <t>Australian National University; NERC National Oceanography Centre; University of Southampton; Laoshan Laboratory</t>
  </si>
  <si>
    <t>Rohling, EJ (corresponding author), Australian Natl Univ, Res Sch Earth Sci, Canberra, ACT 2601, Australia.;Rohling, EJ (corresponding author), Univ Southampton, Natl Oceanog Ctr, Sch Ocean &amp; Earth Sci, Southampton SO14 3ZH, Hants, England.</t>
  </si>
  <si>
    <t>eelco.rohling@anu.edu.au</t>
  </si>
  <si>
    <t>Heslop, David/AGE-1592-2022; Foster, Gavin/W-5968-2019; Foster, Gavin/CAF-4654-2022; Rohling, Eelco J/B-9736-2008; Roberts, Andrew P/E-6422-2010; Yu, Jimin/I-7770-2012</t>
  </si>
  <si>
    <t>Heslop, David/0000-0001-8245-0555; Foster, Gavin/0000-0003-3688-9668; Rohling, Eelco J/0000-0001-5349-2158; Yu, Jimin/0000-0002-3896-1777</t>
  </si>
  <si>
    <t>U.K. Natural Environment Research Council [NE/P011381/1]; Australian Research Council [DP2000101157]; NERC [NE/P011381/1] Funding Source: UKRI</t>
  </si>
  <si>
    <t>U.K. Natural Environment Research Council(UK Research &amp; Innovation (UKRI)Natural Environment Research Council (NERC)); Australian Research Council(Australian Research Council); NERC(UK Research &amp; Innovation (UKRI)Natural Environment Research Council (NERC))</t>
  </si>
  <si>
    <t>This study was supported by U.K. Natural Environment Research Council grant NE/P011381/1 (to G.L.F. and E.J.R.). This study also contributes to Australian Research Council Discovery Project DP2000101157 (E.J.R., D.H., and G.L.F.).</t>
  </si>
  <si>
    <t>eabf5326</t>
  </si>
  <si>
    <t>10.1126/sciadv.abf5326</t>
  </si>
  <si>
    <t>TE4CT</t>
  </si>
  <si>
    <t>WOS:000669960200006</t>
  </si>
  <si>
    <t>Radzi, R; Merican, F; Broady, P; Convey, P; Muangmai, N; Omar, WMW; Lavoué, S</t>
  </si>
  <si>
    <t>Radzi, Ranina; Merican, Faradina; Broady, Paul; Convey, Peter; Muangmai, Narongrit; Omar, Wan Maznah Wan; Lavoue, Sebastien</t>
  </si>
  <si>
    <t>First record of the cyanobacterial genus Wilmottia (Coleofasciculaceae, Oscillatoriales) from the South Orkney Islands (Antarctica)</t>
  </si>
  <si>
    <t>ALGAE</t>
  </si>
  <si>
    <t>Antarctic cyanobacteria; distribution; polyphasic analysis; taxonomy; 16S rDNA</t>
  </si>
  <si>
    <t>STRAINS; 16S-23S; TOOL</t>
  </si>
  <si>
    <t>Two cyanobacterial morphotypes isolated from Signy Island, South Orkney Islands, maritime Antarctica were characterised using a polyphasic approach combining morphological, cytological and molecular analyses. These analyses showed that the strains grouped with members of the genus Wilmottia. This genus currently includes three species, W. murrayi, W. stricta, and W. koreana. Both morphotypes analysed in this study were placed within the clade of W. murrayi. This clade showed a well-supported separation from Antarctic and New Zealand strains, as well as strains from other regions. W. murrayi was first described from Antarctica and is now known from several Antarctic regions. Confirmation of the occurrence of W. murrayi at Signy Island significantly extends its known distribution in Antarctica. In addition, a new combination, W. arthurensis, is suggested for Phormidium arthurensis.</t>
  </si>
  <si>
    <t>[Radzi, Ranina; Merican, Faradina; Omar, Wan Maznah Wan; Lavoue, Sebastien] Univ Sains Malaysia, Sch Biol Sci, Minden 11800, Penang, Malaysia; [Merican, Faradina; Omar, Wan Maznah Wan] Univ Malaya, Natl Antarctic Res Ctr, Kuala Lumpur 50603, Malaysia; [Broady, Paul] Univ Canterbury, Sch Biol Sci, Christchurch 8041, New Zealand; [Convey, Peter] NERC, British Antarctic Survey, Cambridge CB3 0ET, England; [Convey, Peter] Univ Johannesburg, Dept Zool, ZA-2006 Auckland Pk, South Africa; [Muangmai, Narongrit] Kasetsart Univ, Fac Fisheries, Bangkok 10900, Thailand; [Muangmai, Narongrit] Hiroshima Univ, Grad Sch Integrated Sci Life, Hiroshima 7390046, Japan</t>
  </si>
  <si>
    <t>Universiti Sains Malaysia; Universiti Malaya; University of Canterbury; UK Research &amp; Innovation (UKRI); Natural Environment Research Council (NERC); NERC British Antarctic Survey; University of Johannesburg; Kasetsart University; Hiroshima University</t>
  </si>
  <si>
    <t>Merican, F (corresponding author), Univ Sains Malaysia, Sch Biol Sci, Minden 11800, Penang, Malaysia.;Merican, F (corresponding author), Univ Malaya, Natl Antarctic Res Ctr, Kuala Lumpur 50603, Malaysia.</t>
  </si>
  <si>
    <t>faradina@usm.my</t>
  </si>
  <si>
    <t>Convey, Peter/AAV-5728-2020; Lavoue, Sebastien/H-7118-2012; Sidik Merican, Faradina Merican/F-6785-2019</t>
  </si>
  <si>
    <t>Convey, Peter/0000-0001-8497-9903; Sidik Merican, Faradina Merican/0000-0003-1441-0134; Muangmai, Narongrit/0000-0001-7954-7348</t>
  </si>
  <si>
    <t>YPASM Berth Support, YPASM Fellowship [304/PBIOLOGI/650963]; RUI grant [1001/PBIOLOGI/811305]; Flagship grant [304/PBIOLOGI/650723/P131]; NERC; NERC [bas0100036] Funding Source: UKRI</t>
  </si>
  <si>
    <t>YPASM Berth Support, YPASM Fellowship; RUI grant; Flagship grant; NERC(UK Research &amp; Innovation (UKRI)Natural Environment Research Council (NERC)); NERC(UK Research &amp; Innovation (UKRI)Natural Environment Research Council (NERC))</t>
  </si>
  <si>
    <t>We thank Dr. Japareng Lalung for collection of soil samples from Signy Island and the staff at the British Antarctic Survey (BAS) Signy Island research station for logistical and other practical support. We thank Laura Gerrish (BAS Mapping and Geographic Information Centre) for preparation of the map in Fig. 1. This study received funding support from YPASM Berth Support, YPASM Fellowship 304/PBIOLOGI/650963, RUI grant 1001/PBIOLOGI/811305 and Flagship grant 304/PBIOLOGI/650723/P131. Peter Convey is supported by NERC core funding to the BAS `Biodiversity, Evolution and Adaptation' Team. This study contributes to the international SCAR `State of the Antarctic Ecosystem' (AntEco) research programme.</t>
  </si>
  <si>
    <t>KOREAN SOC PHYCOLOGY</t>
  </si>
  <si>
    <t>B1F, TRUST TOWER, 275-7 YANGJAE-DONG, SEOCHO-KU, SEOUL, 137-739, SOUTH KOREA</t>
  </si>
  <si>
    <t>1226-2617</t>
  </si>
  <si>
    <t>2093-0860</t>
  </si>
  <si>
    <t>ALGAE-SEOUL</t>
  </si>
  <si>
    <t>Algae</t>
  </si>
  <si>
    <t>10.4490/algae.2021.36.5.6</t>
  </si>
  <si>
    <t>TE3AA</t>
  </si>
  <si>
    <t>WOS:000669885400003</t>
  </si>
  <si>
    <t>Kajtar, JB; Santoso, A; Collins, M; Taschetto, AS; England, MH; Frankcombe, LM</t>
  </si>
  <si>
    <t>Kajtar, Jules B.; Santoso, Agus; Collins, Matthew; Taschetto, Andrea S.; England, Matthew H.; Frankcombe, Leela M.</t>
  </si>
  <si>
    <t>CMIP5 Intermodel Relationships in the Baseline Southern Ocean Climate System and With Future Projections</t>
  </si>
  <si>
    <t>Southern Ocean; CMIP5; baseline climate; climate sensitivity</t>
  </si>
  <si>
    <t>SEA-ICE; JET POSITION; MODEL; CLOUDS; CONSTRAINT</t>
  </si>
  <si>
    <t>Climate models exhibit a broad range in the simulated properties of the climate system. In the early historical period, the absolute global mean surface air temperature in Coupled Model Intercomparison Project, Phase 5 (CMIP5) models spans a range of similar to 12 degrees C - 15 degrees C. Other climate variables may be linked to global mean temperature, and so accurate representation of the baseline climate state is crucial for meaningful future climate projections. In CMIP5 baseline climate states, statistically significant intermodel correlations between Southern Ocean surface temperature, outgoing shortwave radiation, cloudiness, the position of the mid-latitude eddy-driven jet, and Antarctic sea ice area are found. The baseline temperature relationships extend to projected future changes in the same set of variables, impacting on the projected global mean surface temperature change. Models with initially cooler Southern Ocean tend to exhibit more global warming, and vice versa for initially warmer models. These relationships arise due to a capacity for change. For example, cold-biased models tend to have more cloud cover, sea ice, and equatorward jet initially, and thus a greater capacity to lose cloud cover and sea ice, and for the jet to shift poleward under global warming. A first look at emerging data from CMIP6 reveals a shift of the relationship from the Southern Ocean towards the Antarctic region, possibly due to reductions in Southern Ocean biases, such as in westerly wind representation.</t>
  </si>
  <si>
    <t>[Kajtar, Jules B.; Collins, Matthew] Univ Exeter, Coll Engn Math &amp; Phys Sci, Exeter, Devon, England; [Kajtar, Jules B.] Univ Tasmania, Inst Marine &amp; Ant Rct Studies, Hobart, Tas, Australia; [Kajtar, Jules B.; Santoso, Agus; Taschetto, Andrea S.; England, Matthew H.; Frankcombe, Leela M.] Australian Res Council Ctr Excellence Climate Ext, Canberra, ACT, Australia; [Santoso, Agus; Taschetto, Andrea S.; England, Matthew H.; Frankcombe, Leela M.] Univ New South Wales, Climate Change Res Ctr, Sydney, NSW, Australia; [Santoso, Agus] CSIRO Oceans &amp; Atmosphere, Ctr Southern Hemisphere Oceans Res CSHOR, Hobart, Tas, Australia</t>
  </si>
  <si>
    <t>University of Exeter; University of Tasmania; University of New South Wales Sydney; Commonwealth Scientific &amp; Industrial Research Organisation (CSIRO)</t>
  </si>
  <si>
    <t>Kajtar, JB; Collins, M (corresponding author), Univ Exeter, Coll Engn Math &amp; Phys Sci, Exeter, Devon, England.;Kajtar, JB (corresponding author), Univ Tasmania, Inst Marine &amp; Ant Rct Studies, Hobart, Tas, Australia.;Kajtar, JB (corresponding author), Australian Res Council Ctr Excellence Climate Ext, Canberra, ACT, Australia.</t>
  </si>
  <si>
    <t>jules.kajtar@utas.edu.au; M.Collins@exeter.ac.uk</t>
  </si>
  <si>
    <t>Santoso, Agus/J-7350-2012; Kajtar, Jules B./A-5897-2016; Santoso, Agus/P-1918-2019; England, Matthew/A-7539-2011; Frankcombe, Leela M/C-7003-2012; Collins, Matthew/F-8473-2011</t>
  </si>
  <si>
    <t>Kajtar, Jules B./0000-0003-0114-6610; Santoso, Agus/0000-0001-7749-8124; England, Matthew/0000-0001-9696-2930; Collins, Matthew/0000-0003-3785-6008; Taschetto, Andrea/0000-0001-6020-1603</t>
  </si>
  <si>
    <t>Natural Environment Research Council (SMURPHS) [NE/N005783/1, NE/N006348/1]; Australian Research Council Centre of Excellence for Climate Extremes [CE170100023]; Centre for Southern Hemisphere Oceans Research; Earth Systems and Climate Change Hub of the Australian Government's National Environmental Science Program; Australian Research Council [FT160100495, DE170100367]; U.S. Department of Energy, Office of Science Biological and Environmental Research (BER); National Oceanic and Atmospheric Administration Climate Program Office; NOAA Physical Sciences Laboratory; Australian Research Council [DE170100367, FT160100495] Funding Source: Australian Research Council; NERC [NE/N005783/1, NE/N006348/1] Funding Source: UKRI</t>
  </si>
  <si>
    <t>Natural Environment Research Council (SMURPHS); Australian Research Council Centre of Excellence for Climate Extremes(Australian Research Council); Centre for Southern Hemisphere Oceans Research(Commonwealth Scientific &amp; Industrial Research Organisation (CSIRO)); Earth Systems and Climate Change Hub of the Australian Government's National Environmental Science Program; Australian Research Council(Australian Research Council); U.S. Department of Energy, Office of Science Biological and Environmental Research (BER)(United States Department of Energy (DOE)); National Oceanic and Atmospheric Administration Climate Program Office(National Oceanic Atmospheric Admin (NOAA) - USA); NOAA Physical Sciences Laboratory(National Oceanic Atmospheric Admin (NOAA) - USA); Australian Research Council(Australian Research Council); NERC(UK Research &amp; Innovation (UKRI)Natural Environment Research Council (NERC))</t>
  </si>
  <si>
    <t>This work was supported by the Natural Environment Research Council (SMURPHS project NE/N005783/1 and NE/N006348/1), and by the Australian Research Council Centre of Excellence for Climate Extremes (CE170100023). Agus Santoso and Matthew H. England are also supported by the Centre for Southern Hemisphere Oceans Research, a joint research center between QNLM and CSIRO, and by the Earth Systems and Climate Change Hub of the Australian Government's National Environmental Science Program. Andrea S. Taschetto is supported by the Australian Research Council (FT160100495). Leela M.Frankcombe is supported by the Australian Research Council (DE170100367). We acknowledge the World Climate Research Program (WCRP) Working Group on Coupled Modeling, which is responsible for the Coupled Model Intercomparison Project (CMIP). Support for the Twentieth Century Reanalysis Project version 3 data-set is provided by the U.S. Department of Energy, Office of Science Biological and Environmental Research (BER), by the National Oceanic and Atmospheric Administration Climate Program Office, and by the NOAA Physical Sciences Laboratory. The authors wish to thank the two anonymous reviewers for taking the time to review our manuscript. Their careful consideration and suggestions helped to substantially improve the presentation of this study.</t>
  </si>
  <si>
    <t>e2020EF001873</t>
  </si>
  <si>
    <t>10.1029/2020EF001873</t>
  </si>
  <si>
    <t>SZ6EP</t>
  </si>
  <si>
    <t>WOS:000666656400010</t>
  </si>
  <si>
    <t>Johnson, JS; Pollard, D; Whitehouse, PL; Roberts, SJ; Rood, DH; Schaefer, JM</t>
  </si>
  <si>
    <t>Johnson, Joanne S.; Pollard, David; Whitehouse, Pippa L.; Roberts, Stephen J.; Rood, Dylan H.; Schaefer, Joerg M.</t>
  </si>
  <si>
    <t>Comparing Glacial-Geological Evidence and Model Simulations of Ice Sheet Change since the Last Glacial Period in the Amundsen Sea Sector of Antarctica</t>
  </si>
  <si>
    <t>Cosmogenic nuclide; forcing; glacial history; Holocene; ice sheet model; West Antarctic Ice Sheet</t>
  </si>
  <si>
    <t>LARGE ENSEMBLE ANALYSIS; GROUNDING LINE RETREAT; DEGLACIAL HISTORY; WEST ANTARCTICA; HOLOCENE DEGLACIATION; ISOSTATIC-ADJUSTMENT; CYCLE SIMULATIONS; THWAITES GLACIER; OUTLET GLACIER; EXPOSURE AGES</t>
  </si>
  <si>
    <t>Since the Last Glacial Maximum similar to 20,000 years ago, the Antarctic Ice Sheet has undergone extensive changes, resulting in a much smaller present-day configuration. Improving our understanding of basic physical processes that played important roles during that retreat is critical to providing more robust model projections of future retreat and sea-level rise. Here, a limited-area nested ice sheet model was applied to the last deglacial retreat of the West Antarctic Ice Sheet in the Amundsen Sea Embayment (ASE), at 5 km resolution. The ice sheet response to climate and sea-level forcing was examined at two sites along the flowlines of Pine Island Glacier and Pope Glacier, close to the Hudson Mountains and Mount Murphy respectively, and the simulated responses compared with ice sheet thinning histories derived from glacial-geological data. The sensitivity of results to selected model parameters was also assessed. The model simulations predict a broadly similar response to ocean forcing in both the central and eastern ASE, with an initial rapid phase of thinning followed by a slower phase to the modern configuration. Although there is a mismatch of up to 5,000 years between the timing of simulated and observed thinning, the modeling suggests that the upstream geological records of ice surface elevation change reflect a response to retreat near the grounding line. The model-data mismatch could potentially be improved by accounting for regional variations in mantle viscosity, sea-surface heights and basal sliding properties across the continental shelf.</t>
  </si>
  <si>
    <t>[Johnson, Joanne S.; Roberts, Stephen J.] British Antarctic Survey, Cambridge, England; [Pollard, David] Penn State Univ, Earth &amp; Environm Syst Inst, University Pk, PA 16802 USA; [Whitehouse, Pippa L.] Univ Durham, Dept Geog, Durham, England; [Rood, Dylan H.] Imperial Coll London, Dept Earth Sci &amp; Engn, London, England; [Schaefer, Joerg M.] Columbia Univ, Lamont Doherty Earth Observ, Palisades, NY USA</t>
  </si>
  <si>
    <t>UK Research &amp; Innovation (UKRI); Natural Environment Research Council (NERC); NERC British Antarctic Survey; Pennsylvania Commonwealth System of Higher Education (PCSHE); Pennsylvania State University; Pennsylvania State University - University Park; Durham University; Imperial College London; Columbia University</t>
  </si>
  <si>
    <t>Johnson, JS (corresponding author), British Antarctic Survey, Cambridge, England.</t>
  </si>
  <si>
    <t>jsj@bas.ac.uk</t>
  </si>
  <si>
    <t>Johnson, Joanne/0000-0003-4537-4447; Roberts, Stephen/0000-0003-3407-9127; Whitehouse, Pippa/0000-0002-9092-3444</t>
  </si>
  <si>
    <t>UK Natural Environment Research Council [NE/K012088/1, NE/K011278/1]; NERC [NE/K012088/1, NE/K011278/1] Funding Source: UKRI</t>
  </si>
  <si>
    <t>UK Natural Environment Research Council(UK Research &amp; Innovation (UKRI)Natural Environment Research Council (NERC)); NERC(UK Research &amp; Innovation (UKRI)Natural Environment Research Council (NERC))</t>
  </si>
  <si>
    <t>The authors thank Greg Balco, James Smith, and Richard Jones for discussion, and Laura Gerrish for drafting Figure 1. The work was funded by the UK Natural Environment Research Council (grants NE/K012088/1 and NE/K011278/1) and contributes to British Antarctic Survey's Polar Science for Planet Earth program. Datasets for this research are available in this data citation reference: Johnson et al. (2019b) [with Open Government Licence v.3, no access restrictions], and included in these papers and their supplementary materials: Johnson et al. (2014; 2020). The authors thank three anonymous reviewers for their thorough and constructive comments.</t>
  </si>
  <si>
    <t>e2020JF005827</t>
  </si>
  <si>
    <t>10.1029/2020JF005827</t>
  </si>
  <si>
    <t>SZ2OD</t>
  </si>
  <si>
    <t>WOS:000666410300014</t>
  </si>
  <si>
    <t>Willen, MO; Broerse, T; Groh, A; Wouters, B; Munneke, PK; Horwath, M; van den Broeke, MR; Schröder, L</t>
  </si>
  <si>
    <t>Willen, M. O.; Broerse, T.; Groh, A.; Wouters, B.; Munneke, P. Kuipers; Horwath, M.; van den Broeke, M. R.; Schroeder, L.</t>
  </si>
  <si>
    <t>Separating Long-Term and Short-Term Mass Changes of Antarctic Ice Drainage Basins: A Coupled State Space Analysis of Satellite Observations and Model Products</t>
  </si>
  <si>
    <t>mass changes; state space filtering; GRACE; satellite altimetry; Antarctica</t>
  </si>
  <si>
    <t>SEA-LEVEL; ISOSTATIC-ADJUSTMENT; SHEET; GRACE; ALTIMETRY; CLIMATE; BALANCE; SENSITIVITY; SNOWFALL; TRENDS</t>
  </si>
  <si>
    <t>Satellite gravimetry and altimetry measurements record gravity and elevation changes, respectively, which are useful for determining mass and volume change of the Antarctic Ice Sheet. Common methods employ products from regional climate modeling and firn modeling to aid interpretation and to link volume changes to mass changes. Estimating deterministic parameters over defined time periods is a conventional way to evaluate those changes. To overcome limitations of deterministic analyses with respect to time-variable signals, we have developed a state-space model framework. Therein, we jointly evaluate four mass and volume data sets by coupling of temporal signal variations. We identify long-term signals of ice drainage basins that are observed by the satellite gravimetry mission GRACE and several satellite altimetry missions from April 2002 until August 2016. The degree to which we can separate long-term and short-term variations strongly depends on the similarity of the mass and volume change time series. For the drainage system of the Pine Island Glacier (West Antarctica), our results show noticeable variations of the long-term trend with an acceleration of the contribution of ice dynamics to the mass balance from -11 +/- 8 to -58 +/- 8 Gt a(-1). Our results in Dronning Maud Land (East Antarctica) show a positive long-term contribution to the mass balance at almost a constant rate. The presented approach can fit time-variable changes without artificial selection of periods of interest. Furthermore, because we only enforce common long-term time variations between mass and volume data, differences in mean trend rates help to uncover model discrepancies.</t>
  </si>
  <si>
    <t>[Willen, M. O.; Groh, A.; Horwath, M.] Tech Univ Dresden, Inst Planetare Geodasie, Dresden, Germany; [Broerse, T.] Univ Utrecht, Dept Geosci, Utrecht, Netherlands; [Wouters, B.; Munneke, P. Kuipers; van den Broeke, M. R.] Univ Utrecht, Inst Marine &amp; Atmospher Res Utrecht IMAU, Utrecht, Netherlands; [Wouters, B.] Delft Univ Technol, Fac Civil Engn &amp; Geosci, Delft, Netherlands; [Schroeder, L.] Feaeral Agcy Cartog &amp; Geodesy, Leipzig, Germany</t>
  </si>
  <si>
    <t>Technische Universitat Dresden; Utrecht University; Utrecht University; Delft University of Technology</t>
  </si>
  <si>
    <t>Willen, MO (corresponding author), Tech Univ Dresden, Inst Planetare Geodasie, Dresden, Germany.</t>
  </si>
  <si>
    <t>matthias.willen@tu-dresden.de</t>
  </si>
  <si>
    <t>Horwath, Martin/ABH-4320-2020; Van den Broeke, Michiel R./F-7867-2011; Wouters, Bert/A-5301-2017</t>
  </si>
  <si>
    <t>Van den Broeke, Michiel R./0000-0003-4662-7565; Groh, Andreas/0000-0003-0106-5802; Willen, Matthias/0000-0001-5226-7231; Wouters, Bert/0000-0002-1086-2435; Schroder, Ludwig/0000-0002-6862-0930; Broerse, Taco/0000-0002-3235-0844; Horwath, Martin/0000-0001-5797-244X</t>
  </si>
  <si>
    <t>Deutsche Forschungsgemeinschaft (DFG), Special Priority Program [(SPP) 1889, HO 4232/4-1, HO 4232/4-2]; NWO VIDI Grant [016.Vidi.171.063]; Projekt DEAL</t>
  </si>
  <si>
    <t>Deutsche Forschungsgemeinschaft (DFG), Special Priority Program(German Research Foundation (DFG)); NWO VIDI Grant(Netherlands Organization for Scientific Research (NWO)); Projekt DEAL</t>
  </si>
  <si>
    <t>M. O. Willen was funded through grants HO 4232/4-1 and HO 4232/4-2 Reconciling ocean mass change and GIA from satellite gravity and altimetry (OMCG) from the Deutsche Forschungsgemeinschaft (DFG) as part of the Special Priority Program (SPP) 1889 Regional Sea Level Change and Society (SeaLevel). B. Wouters was funded by NWO VIDI Grant 016.Vidi.171.063. We thank Brooke Medley, three anonymous reviewers, the editor Olga Sergienko, and the associate editor Christine Dow for their helpful reviews and suggestions to improve the manuscript. Furthermore, we thank Erik Ivins, Eric Larour (both JPL, Caltech, USA), and Mirko Scheinert (TU Dresden, Germany) for the discussion of measuring and modeling basal melting of ice sheets. Open access funding enabled and organized by Projekt DEAL.</t>
  </si>
  <si>
    <t>e2020JF005966</t>
  </si>
  <si>
    <t>10.1029/2020JF005966</t>
  </si>
  <si>
    <t>WOS:000666410300002</t>
  </si>
  <si>
    <t>Olsen, KG; Hurford, TA; Schmerr, NC; Huang, MH; Brunt, KM; Zipparo, S; Cole, HM; Aster, RC</t>
  </si>
  <si>
    <t>Olsen, Kira G.; Hurford, Terry A.; Schmerr, Nicholas C.; Huang, Mong-Han; Brunt, Kelly M.; Zipparo, Sophia; Cole, Hank M.; Aster, Richard C.</t>
  </si>
  <si>
    <t>Projected Seismic Activity at the Tiger Stripe Fractures on Enceladus, Saturn, From an Analog Study of Tidally Modulated Icequakes Within the Ross Ice Shelf, Antarctica</t>
  </si>
  <si>
    <t>cryoseismicity; icequakes; Tiger Stripe Fractures; tidal flexure; Enceladus</t>
  </si>
  <si>
    <t>SOUTH POLAR TERRAIN; GROUNDING ZONE; PLUME ACTIVITY; CASSINI ISS; M-W; OCEAN; ERUPTIONS; DEFORMATION; EVOLUTION; STRESSES</t>
  </si>
  <si>
    <t>Dissipation of tidal energy is expected to generate seismicity on icy-ocean worlds; however, the distribution and timing of this seismic activity throughout an orbital cycle is not known. We used new observations from an icy-ocean-world analog environment on Earth to examine the relationship between tidally driven tensile stress and seismic activity within an ice shell. We investigated a pair of rifts within Antarctica's Ross Ice Shelf which are tidally stressed in a manner analogous to the orbital cycle of tidal stress experienced by Enceladus' Tiger Stripe Fractures. We found that seismic activity at the Antarctic rifts is sensitive to both the amplitude and the rate of tensile stress across the rifts. We combined these findings with calculated stress values along Enceladus' Tiger Stripe Fractures to predict seismic-activity levels expected along the ice-shell fractures. We predict a peak in seismicity along the four Tiger Stripe Fractures when Enceladus is 90 degrees-120 degrees past pericenter in its orbit around Saturn, at which point tensile stresses would reach similar to 2/3 of their maximum value. We also used the magnitude distribution of icequakes along Antarctic rifts to investigate implications for the likely size of stick-slip rupture patches along icy faults on Enceladus. Our findings predict that the Tiger Stripe Fractures should produce sustained, low-magnitude seismic events that involve rupture along discrete portions of each fracture's total length. We predict that seismicity would fall to 50% of peak levels when stresses across the Tiger Stripe Fractures are dominantly compressional.</t>
  </si>
  <si>
    <t>[Olsen, Kira G.; Hurford, Terry A.] NASA, Goddard Space Flight Ctr, Geol Geophys &amp; Geochem Lab, Greenbelt, MD 20771 USA; [Schmerr, Nicholas C.; Huang, Mong-Han; Zipparo, Sophia] Univ Maryland, Dept Geol, College Pk, MD 20742 USA; [Brunt, Kelly M.] NASA, Goddard Space Flight Ctr, Cryospher Sci Lab, Greenbelt, MD USA; [Brunt, Kelly M.] Univ Maryland, Earth SYst Sci Interdisciplinary Ctr, College Pk, MD 20742 USA; [Cole, Hank M.; Aster, Richard C.] Colorado State Univ, Warner Coll Nat Resources, Geosci Dept, Ft Collins, CO 80523 USA</t>
  </si>
  <si>
    <t>National Aeronautics &amp; Space Administration (NASA); NASA Goddard Space Flight Center; University System of Maryland; University of Maryland College Park; National Aeronautics &amp; Space Administration (NASA); NASA Goddard Space Flight Center; University System of Maryland; University of Maryland College Park; Colorado State University</t>
  </si>
  <si>
    <t>Olsen, KG (corresponding author), NASA, Goddard Space Flight Ctr, Geol Geophys &amp; Geochem Lab, Greenbelt, MD 20771 USA.</t>
  </si>
  <si>
    <t>kira.olsen@nasa.gov</t>
  </si>
  <si>
    <t>Aster, Richard/E-5067-2013; Hurford, Terry/F-2625-2012; Schmerr, Nicholas/D-7338-2012</t>
  </si>
  <si>
    <t>Aster, Richard/0000-0002-0821-4906; Olsen, Kira/0000-0002-4678-2859; Huang, Mong-Han/0000-0003-2331-3766; brunt, kelly/0000-0002-6462-6112; Cole, Hank/0000-0003-1684-9116; Schmerr, Nicholas/0000-0002-3256-1262</t>
  </si>
  <si>
    <t>NASA Solar Systems Workings Program; NASA; NASA [NNX17AF70G]; National Science Foundation [EAR1261681]; DOE National Nuclear Security Administration</t>
  </si>
  <si>
    <t>NASA Solar Systems Workings Program; NASA(National Aeronautics &amp; Space Administration (NASA)); NASA(National Aeronautics &amp; Space Administration (NASA)); National Science Foundation(National Science Foundation (NSF)); DOE National Nuclear Security Administration(National Nuclear Security AdministrationUnited States Department of Energy (DOE))</t>
  </si>
  <si>
    <t>This work was supported by the NASA Solar Systems Workings Program. K.G. Olsen was supported by an appointment to the NASA Postdoctoral Program at the NASA Goddard Space Flight Center, administered by USRA under contract with NASA. N.C. Schmerr was supported by NASA grant NNX17AF70G. The IRIS Data Management Center and other facilities of the IRIS Consortium are supported by the National Science Foundation under Co-operative Agreement EAR1261681 and the DOE National Nuclear Security Administration. We appreciate constructive comments from two anonymous reviewers and Editor Bradley Thomson. The authors are not aware of any conflicts of interest.</t>
  </si>
  <si>
    <t>e2021JE006862</t>
  </si>
  <si>
    <t>10.1029/2021JE006862</t>
  </si>
  <si>
    <t>SZ2KB</t>
  </si>
  <si>
    <t>WOS:000666399700008</t>
  </si>
  <si>
    <t>Grunes, M</t>
  </si>
  <si>
    <t>Grunes, Marissa</t>
  </si>
  <si>
    <t>Ahab and Ishmael in Antarctica: How Charles Wilkes's White Continent Gave Rise to the White Whale</t>
  </si>
  <si>
    <t>LEVIATHAN-A JOURNAL OF MELVILLE STUDIES</t>
  </si>
  <si>
    <t>MOBY-DICK; AMERICAN; MELVILLE; 'MOBY-DICK'; DREAM</t>
  </si>
  <si>
    <t>The U.S. Exploring Expedition (1838-1842) was the first global voyage of exploration launched by the United States government. News of the Expedition's discovery of the Antarctic continent commanded especially intense public interest, setting a precedent for monumental cultural ambitions in the new nation. The Narrative of the United States Exploring Expedition (1845)-penned by the Expedition's controversial leader Charles Wilkes-was early identified as a significant source for Melville's novels, with Wilkes as a model for Captain Ahab. Yet the Narrative's Antarctic passages, whose incidents most closely prefigure Moby-Dick, have received almost no attention. An examination of Wilkes's attempt to conquer the indomitable Antarctic reveals resonances with both Ahab and Ishmael, and shows how Antarctic ambiguities helped shape the ontologically mysterious White Whale. By dividing Wilkes's qualities and rhetoric between two complementary characters-Ahab and Ishmael-Melville explores the nonhuman sublime, its power to test human physical and epistemological limits, and the driving ambition it provokes. In the process, Melville extends Wilkes's image of the icy barrier around Antarctica. This wall, barrier, or mask becomes an origin point for the ambitions-Ahabian, Ishmaelian, Wilkesian and even Melvillian-that energize epic endeavors, including those of the young republic's nascent expansionist imperialism.</t>
  </si>
  <si>
    <t>[Grunes, Marissa] Harvard Univ, Cambridge, MA 02138 USA</t>
  </si>
  <si>
    <t>Harvard University</t>
  </si>
  <si>
    <t>Grunes, M (corresponding author), Harvard Univ, Cambridge, MA 02138 USA.</t>
  </si>
  <si>
    <t>JOHNS HOPKINS UNIV PRESS</t>
  </si>
  <si>
    <t>BALTIMORE</t>
  </si>
  <si>
    <t>JOURNALS PUBLISHING DIVISION, 2715 NORTH CHARLES ST, BALTIMORE, MD 21218-4363 USA</t>
  </si>
  <si>
    <t>1525-6995</t>
  </si>
  <si>
    <t>1750-1849</t>
  </si>
  <si>
    <t>LEVIATHAN-J MELVILLE</t>
  </si>
  <si>
    <t>Leviathan</t>
  </si>
  <si>
    <t>10.1353/lvn.2021.0013</t>
  </si>
  <si>
    <t>Literature, American</t>
  </si>
  <si>
    <t>TB8SG</t>
  </si>
  <si>
    <t>WOS:000668215400001</t>
  </si>
  <si>
    <t>Almeida, L; Mazloff, MR; Mata, MM</t>
  </si>
  <si>
    <t>Almeida, Lucas; Mazloff, Matthew R.; Mata, Mauricio M.</t>
  </si>
  <si>
    <t>The Impact of Southern Ocean Ekman Pumping, Heat and Freshwater Flux Variability on Intermediate and Mode Water Export in CMIP Models: Present and Future Scenarios</t>
  </si>
  <si>
    <t>air-sea exchange; climate; climate models; physical ocean; Southern Ocean; water masses</t>
  </si>
  <si>
    <t>HISTORICAL BIAS; CIRCULATION; CLIMATE; ATLANTIC; ICE</t>
  </si>
  <si>
    <t>Subduction in the Antarctic circumpolar region of the Southern Ocean (SO) results in the formation of Antarctic Intermediate Water (AAIW) and Subantarctic Mode Water (SAMW). Theoretical understanding predicts that subduction rates of these waters masses is driven by wind stress curl and buoyancy fluxes. The objective of this work is to evaluate the extent to which AAIW and SAMW variability are correlated to SO air-sea fluxes and how potential changes to those forcings would impact the future water mass export rates. We correlate the water mass volume transport at 30 degrees S with Ekman pumping, freshwater and heat fluxes in the Coupled Model Intercomparison Project. The export of these water masses varies across models, with most overestimating the total transport. Correlation coefficients between the air-sea fluxes and exports are consistent with theoretical expectations. In the picontrol/historical scenarios, the highest correlations with AAIW export variability are heat flux, while Ekman pumping best explains SAMW. However, multivariate regressions show that both AAIW and SAMW export variability are better explained using the combination of all three fluxes. In future scenario simulations air-sea fluxes trend significantly in the catastrophic scenario (RCP8.5 and SSP8.5). Both AAIW and SAMW are still highly correlated to the fluxes, but with different correlation coefficients. The dominant forcing components even change from the present simulations to the future scenario runs. Thus, correlations between AAIW and SAMW transports and air-sea fluxes are not stationary in time, limiting the predictive skill of statistical models and highlighting the importance of using complex climate models.</t>
  </si>
  <si>
    <t>[Almeida, Lucas; Mata, Mauricio M.] Univ Fed Rio Grande FURG, Inst Oceanog, Lab Estudos Oceanos &amp; Clima LEOC, Rio Grande, RS, Brazil; [Mazloff, Matthew R.] Univ Calif San Diego, Scripps Inst Oceanog, San Diego, CA 92103 USA</t>
  </si>
  <si>
    <t>Universidade Federal do Rio Grande; University of California System; University of California San Diego; Scripps Institution of Oceanography</t>
  </si>
  <si>
    <t>Almeida, L (corresponding author), Univ Fed Rio Grande FURG, Inst Oceanog, Lab Estudos Oceanos &amp; Clima LEOC, Rio Grande, RS, Brazil.</t>
  </si>
  <si>
    <t>lucasralm@gmail.com</t>
  </si>
  <si>
    <t>; Mata, Mauricio/H-4605-2011</t>
  </si>
  <si>
    <t>Almeida, Lucas/0000-0002-4401-0273; Mata, Mauricio/0000-0002-9028-8284</t>
  </si>
  <si>
    <t>CNPq [465680/2014-3, 306896/2015-0]; FAPERGS [17/2551-0000518-0]; Brazilian Antarctic Program (PROANTAR) through the Brazilian Ministry of the Environment (MMA); Brazilian Ministry of Science, Technology, Innovation MCTI; Council for Research and Scientific Development of Brazil (CNPq) [442628/2018-8]; CAPES Foundation [AUXPE 1995/2014]; CAPES [88887.368463/2019-00, 88887.370051/2019-00]; NSF [PLR-1425989, OPP-1936222, OCE-1924388]; NASA [80NSSC20K1076]</t>
  </si>
  <si>
    <t>CNPq(Conselho Nacional de Desenvolvimento Cientifico e Tecnologico (CNPQ)); FAPERGS(Fundacao de Amparo a Ciencia e Tecnologia do Estado do Rio Grande do Sul (FAPERGS)); Brazilian Antarctic Program (PROANTAR) through the Brazilian Ministry of the Environment (MMA); Brazilian Ministry of Science, Technology, Innovation MCTI; Council for Research and Scientific Development of Brazil (CNPq)(Conselho Nacional de Desenvolvimento Cientifico e Tecnologico (CNPQ)Fundacao de Apoio a Pesquisa do Distrito Federal (FAPDF)); CAPES Foundation(Coordenacao de Aperfeicoamento de Pessoal de Nivel Superior (CAPES)); CAPES(Coordenacao de Aperfeicoamento de Pessoal de Nivel Superior (CAPES)); NSF(National Science Foundation (NSF)); NASA(National Aeronautics &amp; Space Administration (NASA))</t>
  </si>
  <si>
    <t>This study is a contribution to the activities of the INCT-CRIOSFERA (CNPq grant 465680/2014-3 and FAPERGS grant 17/2551-0000518-0), the Southern Ocean Carbon and Climate Observations and Modeling (SOCCOM) and the Brazilian High Latitudes Oceanography Group (GOAL). The GOAL has been funded by the Brazilian Antarctic Program (PROANTAR) through the Brazilian Ministry of the Environment (MMA), the Brazilian Ministry of Science, Technology, Innovation MCTI), the Council for Research and Scientific Development of Brazil (CNPq; 442628/2018-8), and CAPES Foundation (AUXPE 1995/2014). The authors acknowledge the climate modeling groups for producing and making available their outputs. M. M. Mata acknowledges CNPq fellowship 306896/2015-0. L. Almeida acknowledges CAPES fellowships 88887.368463/2019-00 and 88887.370051/2019-00 in the scope of the CAPES-PRINT/FURG Project. M. Mazloff acknowledges NSF awards PLR-1425989, OPP-1936222, OCE-1924388 and NASA award 80NSSC20K1076.</t>
  </si>
  <si>
    <t>e2021JC017173</t>
  </si>
  <si>
    <t>10.1029/2021JC017173</t>
  </si>
  <si>
    <t>SX4VD</t>
  </si>
  <si>
    <t>WOS:000665203500024</t>
  </si>
  <si>
    <t>Meredith, MP; Stammerjohn, SE; Ducklow, HW; Leng, MJ; Arrowsmith, C; Brearley, JA; Venables, HJ; Barham, M; van Wessem, JM; Schofield, O; Waite, N</t>
  </si>
  <si>
    <t>Meredith, Michael P.; Stammerjohn, Sharon E.; Ducklow, Hugh W.; Leng, Melanie J.; Arrowsmith, Carol; Brearley, J. Alexander; Venables, Hugh J.; Barham, Mark; van Wessem, Jan Melchior; Schofield, Oscar; Waite, Nicole</t>
  </si>
  <si>
    <t>Local- and Large-Scale Drivers of Variability in the Coastal Freshwater Budget of the Western Antarctic Peninsula</t>
  </si>
  <si>
    <t>4207 Arctic and Antarctic oceanography (9310; 9315); 4870 stable isotopes (0454; 1041); 0740 snowmelt; 0750 sea ice (4540); 0776 glaciology (1621; 1827; 1863)</t>
  </si>
  <si>
    <t>CIRCUMPOLAR DEEP-WATER; SEA-ICE; MARGUERITE BAY; EXTRATROPICAL CIRCULATION; CLIMATE-CHANGE; ANNULAR MODES; MASS-BALANCE; MIXED-LAYER; FOOD-WEB; OCEAN</t>
  </si>
  <si>
    <t>The west Antarctic Peninsula (WAP) is a region of marked climatic variability, exhibiting strong changes in sea ice extent, retreat of most of its glaciers, and shifts in the amount and form of precipitation. These changes can have significant impacts on the oceanic freshwater budget and marine biogeochemical processes; it is thus important to ascertain the relative balance of the drivers and the spatial scales over which they operate. We present a novel 7-year summer-season (October to March; 2011 to 2018) series of oxygen isotopes in seawater (delta O-18), augmented with some winter sampling, collected adjacent to Anvers Island at the WAP. These data are used to attribute oceanic freshwater changes to sea ice and meteoric sources, and to deduce information on the spatial scales over which the changes are driven. Sea ice melt shows significant seasonality (similar to 9% range) and marked interannual changes, with pronounced maxima in seasons 2013/14 and 2016/17. Both of these extrema are driven by anomalous winds, but reflect strongly contrasting dynamic and thermodynamic sea ice responses. Meteoric water also shows seasonality (similar to 7% range) with interannual variability reflecting changes in the input of accumulated precipitation and glacial melt to the ocean. Unlike sea ice melt, meteoric water extremes are especially pronounced in thin (&lt;10 m) surface layers close to the proximate glacier, associated with enhanced ocean stratification. Isotopic tracers help to deconvolve the complex spatio-temporal scales inherent in the coastal freshwater budget, and hence improve our knowledge of the separate and cumulative physical and ecological impacts.</t>
  </si>
  <si>
    <t>[Meredith, Michael P.; Brearley, J. Alexander; Venables, Hugh J.; Barham, Mark] British Antarctic Survey, Cambridge, England; [Stammerjohn, Sharon E.] Univ Colorado, Inst Arctic &amp; Alpine Res, Boulder, CO 80309 USA; [Ducklow, Hugh W.] Columbia Univ, Lamont Doherty Earth Observ, New York, NY USA; [Leng, Melanie J.; Arrowsmith, Carol] British Geol Survey, Natl Environm Isotope Facil, Nottingham, England; [Leng, Melanie J.; Arrowsmith, Carol] Univ Nottingham, Sch Biosci, Nottingham, England; [van Wessem, Jan Melchior] Inst Marine &amp; Atmospher Res, Utrecht, Netherlands; [Schofield, Oscar; Waite, Nicole] Rutgers State Univ, Sch Environm &amp; Biol Sci, Ctr Ocean Observing Leadership, New Brunswick, NJ USA</t>
  </si>
  <si>
    <t>UK Research &amp; Innovation (UKRI); Natural Environment Research Council (NERC); NERC British Antarctic Survey; University of Colorado System; University of Colorado Boulder; Columbia University; UK Research &amp; Innovation (UKRI); Natural Environment Research Council (NERC); NERC British Geological Survey; University of Nottingham; Utrecht University; Rutgers University System; Rutgers University New Brunswick</t>
  </si>
  <si>
    <t>Meredith, MP (corresponding author), British Antarctic Survey, Cambridge, England.</t>
  </si>
  <si>
    <t>mmm@bas.ac.uk</t>
  </si>
  <si>
    <t>Brearley, Alexander/C-3313-2012; Schofield, Oscar/H-4169-2018</t>
  </si>
  <si>
    <t>Schofield, Oscar/0000-0003-2359-4131; STAMMERJOHN, SHARON/0000-0002-1697-8244; Barham, Mark/0000-0002-9724-2916; Brearley, Alexander/0000-0003-3700-8017; Leng, Melanie/0000-0003-1115-5166</t>
  </si>
  <si>
    <t>EU [821001]; US NSF Office of Polar Program [OPP-08-23101, PLR-14-0435]; NERC; NERC [NE/L011166/1, NE/N018095/1, bas0100033, bgs06003] Funding Source: UKRI</t>
  </si>
  <si>
    <t>EU(European Union (EU)); US NSF Office of Polar Program; NERC(UK Research &amp; Innovation (UKRI)Natural Environment Research Council (NERC)); NERC(UK Research &amp; Innovation (UKRI)Natural Environment Research Council (NERC))</t>
  </si>
  <si>
    <t>The authors thank the anonymous reviewers for constructive comments that helped improve this manuscript. John Kerfoot and Carleen Tijm Reijmer are sincerely thanked for data archiving. Meredith, Brearley, Barham, Venables, Leng, and Arrowsmith received support from the DYNERC-funded ORCHESTRA program; Meredith, Brearley, Barham, and Venables received support from the NERC National Capability-Single Centre scheme. This project also received funding from the EU's Horizon 2020 research and innovation program under the grant agreement No. 821001. Laura Gerrish is thanked for cartographic input. Isotope sampling was supported by the US NSF Office of Polar Program grants OPP-08-23101 and PLR-14-0435 (Palmer LTER); the authors thank all who contributed to the sample collection, including the Antarctic Research Consortium for logistics, boating and laboratory support. Palmer LTER also supported the participation of Stammerjohn, Ducklow, Schofield, and Waite in this research. Naomi Manahan and Rich Iannuzzi (LDEO) are thanked for coordinating sampling and logistics, and for data processing.</t>
  </si>
  <si>
    <t>e2021JC017172</t>
  </si>
  <si>
    <t>10.1029/2021JC017172</t>
  </si>
  <si>
    <t>WOS:000665203500022</t>
  </si>
  <si>
    <t>Rezvani, MH; Watson, CS; King, MA</t>
  </si>
  <si>
    <t>Rezvani, Mohammad-Hadi; Watson, Christopher S.; King, Matt A.</t>
  </si>
  <si>
    <t>Estimating Vertical Land Motion and Residual Altimeter Systematic Errors Using a Kalman-Based Approach</t>
  </si>
  <si>
    <t>vertical land motion; altimetry systematic errors; sea-level rise; global climate change; GPS velocity field; spatially interpolated GPS velocities; glacial isostatic adjustment; Baltic Sea</t>
  </si>
  <si>
    <t>SEA-LEVEL RISE; GLACIAL ISOSTATIC-ADJUSTMENT; TIDE-GAUGE DATA; SATELLITE ALTIMETRY; BALTIC SEA; TRENDS; VARIABILITY; COASTAL; TOPEX; GPS</t>
  </si>
  <si>
    <t>Vertical land motion (VLM) is the connection between absolute sea-level (ASL) from a satellite altimeter (ALT) and relative sea-level from a tide gauge (TG). VLM is often sparsely observed yet is required for understanding sea-level rise. Many studies have sought to exploit ALT and TG data to infer VLM, yet regionally correlated systematic errors in altimetry have not been considered. We have developed a Kalman filtering and smoothing framework to simultaneously estimate location-specific VLM and residual mission-specific systematic errors in a geocentric reference frame. We used ALT minus TG, ALT crossovers and global positioning system (GPS) bedrock height observations in a multi-stage solution approach that gradually separated time-variable parameter estimates in an ill-posed problem. We evaluated the performance of the method using the Jason-series along-track data in the Baltic Sea, where glacial isostatic adjustment is the dominant driver of VLM. We estimated local VLM variability at TGs of up to similar to 4.5 mm/yr which is not evident in spatially interpolated GPS velocities. The estimated regional altimeter errors are significant and within the range of similar to +/- 0.5-2.5 mm/yr. Our approach improves agreement between ASL estimates from ALT and TG records, provides a similar to 20% decrease in root mean squared error of latitudinal ASL variability at TGs, and a reduction of the ASL rate from altimetry by similar to 0.3 mm/yr across the region. This method advances the ALT-TG approach to determining VLM at TG locations and systematic errors of altimetry, which is broadly applicable to other regional- and global-scale studies.</t>
  </si>
  <si>
    <t>[Rezvani, Mohammad-Hadi; Watson, Christopher S.; King, Matt A.] Univ Tasmania, Sch Geog Planning &amp; Spatial Sci, Hobart, Tas, Australia</t>
  </si>
  <si>
    <t>Rezvani, MH (corresponding author), Univ Tasmania, Sch Geog Planning &amp; Spatial Sci, Hobart, Tas, Australia.</t>
  </si>
  <si>
    <t>mohammadhadi.rezvani@utas.edu.au</t>
  </si>
  <si>
    <t>King, Matt/B-4622-2008; Watson, Christopher S/D-4707-2013</t>
  </si>
  <si>
    <t>King, Matt/0000-0001-5611-9498; Watson, Christopher/0000-0002-7464-4592; Rezvani, Mohammadhadi/0000-0001-9754-2196</t>
  </si>
  <si>
    <t>Australian Research Council [SR140300001, DP150100615]; Australia's Integrated Marine Observing System (IMOS) - IMOS by the National Collaborative Research Infrastructure Strategy (NCRIS); Australian Research Council [SR140300001] Funding Source: Australian Research Council</t>
  </si>
  <si>
    <t>Australian Research Council(Australian Research Council); Australia's Integrated Marine Observing System (IMOS) - IMOS by the National Collaborative Research Infrastructure Strategy (NCRIS); Australian Research Council(Australian Research Council)</t>
  </si>
  <si>
    <t>This research was supported under the Australian Research Council's Special Research Initiative for Antarctic Gateway Partnership (Project ID SR140300001). This work has benefitted from the Bass Strait altimeter validation facility which is supported by Australia's Integrated Marine Observing System (IMOS) - IMOS is enabled by the National Collaborative Research Infrastructure Strategy (NCRIS). IMOS is operated by a consortium of institutions as an unincorporated joint venture, with the University of Tasmania as Lead Agent. Aspects of this work were also supported by the Australian Research Council Discovery Project DP150100615. We acknowledge the TPAC High Performance Computing facilities used for computations. Discussions with Dr. Benoit Legresy and Prof. Richard Coleman while undertaking this work are appreciated. The authors thank Prof. Don P. Chambers (Editor), Dr. Alvaro Santamaria-Gomez (reviewer), and an anonymous reviewer for their constructive comments that helped to improve this manuscript.</t>
  </si>
  <si>
    <t>e2020JC017106</t>
  </si>
  <si>
    <t>10.1029/2020JC017106</t>
  </si>
  <si>
    <t>WOS:000665203500029</t>
  </si>
  <si>
    <t>Takahashi, A; Hibiya, T</t>
  </si>
  <si>
    <t>Takahashi, Anne; Hibiya, Toshiyuki</t>
  </si>
  <si>
    <t>Influence of the Distortion of Vertical Wavenumber Spectra on Estimates of Turbulent Dissipation Using the Finescale Parameterization: Observations in the Antarctic Circumpolar Current</t>
  </si>
  <si>
    <t>turbulent mixing; internal waves; Antarctic Circumpolar Current; Southern Ocean; finescale parameterization; in-situ observations</t>
  </si>
  <si>
    <t>MICROSTRUCTURE MEASUREMENTS; INTERNAL WAVES; TIME SCALES; ENERGY; SHEAR; THORPE; PROPAGATION; BREAKING; BALANCE</t>
  </si>
  <si>
    <t>Finescale parameterizations are powerful tools for estimating the global distribution of turbulent kinetic energy dissipation rates e. However, they tend to overestimate e in the Antarctic Circumpolar Current (ACC), where bottom-reaching mesoscale eddies coexist with energetic internal waves such as wind-induced near-inertial waves and bottom-generated internal lee waves. In this study, we explore the reason for such overestimations by analyzing simultaneous microstructure and finestructure measurements in the ACC. Finescale parameterizations overestimate e where vertical wavenumber spectra of internal wave energy are distorted from the canonical Garrett-Munk (GM) spectrum by a spectral hump at similar to 0.01 cpm wavenumbers. Since shear and strain spectra are integrated over the noise-free wavenumbers lower than the rolloff wavenumber, the spectral levels are overestimated for such spectra. These distorted shear spectra are mainly located in the upper ocean, while distorted strain spectra near the seafloor. Correlation analyses suggest that shear and strain spectral humps are caused by near-inertial and lee wave packets superposed on a GM-like internal wave field, and these wave packets are generated or amplified by geostrophic shear flows.</t>
  </si>
  <si>
    <t>[Takahashi, Anne; Hibiya, Toshiyuki] Univ Tokyo, Grad Sch Sci, Dept Earth &amp; Planetary Sci, Tokyo, Japan; [Takahashi, Anne] Univ Washington, Appl Phys Lab, Seattle, WA 98105 USA</t>
  </si>
  <si>
    <t>University of Tokyo; University of Washington; University of Washington Seattle</t>
  </si>
  <si>
    <t>Takahashi, A (corresponding author), Univ Tokyo, Grad Sch Sci, Dept Earth &amp; Planetary Sci, Tokyo, Japan.;Takahashi, A (corresponding author), Univ Washington, Appl Phys Lab, Seattle, WA 98105 USA.</t>
  </si>
  <si>
    <t>annetaka@uw.edu</t>
  </si>
  <si>
    <t>HIBIYA, TOSHIYUKI/G-5051-2014</t>
  </si>
  <si>
    <t>Japan Society for the Promotion of Science (JSPS) KAKENHI [15H02131, 17J06060]; Grants-in-Aid for Scientific Research [17J06060] Funding Source: KAKEN</t>
  </si>
  <si>
    <t>Japan Society for the Promotion of Science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</si>
  <si>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Observational data were obtained from the 19th and 21st Kaiyodai Antarctic Research Expedition (KARE) surveys, and the Souther Ocean Finestructure (SOFine) survey. The authors are deeply grateful to all the participants in the KARE19 and KARE21 cruises of the T/V Umitaka-maru of Tokyo University of Marine Science and Technology for their support. Special thanks to Dr. Yujiro Kitade for his valuable suggestions and supports. The authors acknowledge valuable discussion with Drs. Alberto Naveira Garabato, Katsuro Katsumata, Ryuichiro Inoue, Shinya Koketsu, and Kaoru Sato. The authors thank Dr. Eric Kunze for many useful comments on the manuscript. Three anonymous reviewers also provide helpful comments. This study is based on Anne Takahashi's Ph.D. thesis and was supported by the Japan Society for the Promotion of Science (JSPS) KAKENHI grants 15H02131 to T. Hibiya and 17J06060 to A. Takahashi.</t>
  </si>
  <si>
    <t>e2020JC016613</t>
  </si>
  <si>
    <t>10.1029/2020JC016613</t>
  </si>
  <si>
    <t>WOS:000665203500013</t>
  </si>
  <si>
    <t>Wongpan, P; Vancoppenolle, M; Langhorne, PJ; Smith, IJ; Madec, G; Gough, AJ; Mahoney, AR; Haskell, TG</t>
  </si>
  <si>
    <t>Wongpan, P.; Vancoppenolle, M.; Langhorne, P. J.; Smith, I. J.; Madec, G.; Gough, A. J.; Mahoney, A. R.; Haskell, T. G.</t>
  </si>
  <si>
    <t>Sub-Ice Platelet Layer Physics: Insights From a Mushy-Layer Sea Ice Model</t>
  </si>
  <si>
    <t>Antarctic sea ice; mushy layer; platelet ice; ice shelf-ocean interaction; sea ice properties; sea ice simulation</t>
  </si>
  <si>
    <t>SHELF WATER PLUME; MCMURDO SOUND; GRAVITY DRAINAGE; WEDDELL SEA; GROWTH; DYNAMICS; PARAMETERIZATION; THERMODYNAMICS</t>
  </si>
  <si>
    <t>The sub-ice platelet layer (SIPL) is a highly porous, isothermal, friable layer of ice crystals and saltwater, that can develop to several meters in thickness under consolidated sea ice near Antarctic ice shelves. While the SIPL has been comprehensively described, details of its physics are rather poorly understood. In this contribution we describe the halo-thermodynamic mechanisms driving the development and stability of the SIPL in mushy-layer sea ice model simulations, forced by thermal atmospheric and oceanic conditions in McMurdo Sound, Ross Sea, Antarctica. The novelty of these simulations is that they predict a realistic model analogue for the SIPL. Two aspects of the model are essential: (a) a large initial brine fraction is imposed on newly forming ice, and (b) brine rejection via advective desalination. The SIPL appears once conductive heat fluxes become insufficient to remove latent heat required to freeze the highly porous new ice. Favorable conditions for SIPL formation include cold air, supercooled waters, and consolidated ice and snow that are thick enough to provide sufficient thermal insulation. Thermohaline properties resulting from large liquid fractions stabilize the SIPL, in particular a low thermal diffusivity. Intense convection within the isothermal SIPL generates the SIPL-consolidated ice contrast without transporting heat. Using standard physical constants and free parameters, the model successfully predicts the SIPL and consolidated ice thicknesses at six locations. While most simulations were performed with 50 layers, an SIPL emerged with moderate accuracy in thickness for three layers proving a low-cost representation of the SIPL in large-scale climate models.</t>
  </si>
  <si>
    <t>[Wongpan, P.; Langhorne, P. J.; Smith, I. J.; Gough, A. J.] Univ Otago, Dept Phys, Dunedin, New Zealand; [Wongpan, P.] Hokkaido Univ, Inst Low Temp Sci, Sapporo, Hokkaido, Japan; [Wongpan, P.] Japan Soc Promot Sci, Tokyo, Japan; [Wongpan, P.] Univ Tasmania, Australian Antarctic Program Partnership, Inst Marine &amp; Antarctic Studies, Hobart, Tas, Australia; [Vancoppenolle, M.; Madec, G.] Sorbonne Univ, CNRS, LOCEAN, IRD,MNHN,IPSL, Paris, France; [Madec, G.] Univ Grenoble Alpes, CNRS, Grenoble INP, LJK,INRIA, Grenoble, France; [Mahoney, A. R.] Univ Alaska Fairbanks, Geophys Inst, Fairbanks, AK 99775 USA; [Haskell, T. G.] Callaghan Innovat, Lower Hutt, New Zealand</t>
  </si>
  <si>
    <t>University of Otago; Hokkaido University; Japan Society for the Promotion of Science; University of Tasmania; Centre National de la Recherche Scientifique (CNRS); Museum National d'Histoire Naturelle (MNHN); Universite Paris Cite; Sorbonne Universite; Institut de Recherche pour le Developpement (IRD); Centre National de la Recherche Scientifique (CNRS); Communaute Universite Grenoble Alpes; Universite Grenoble Alpes (UGA); Institut National Polytechnique de Grenoble; Inria; University of Alaska System; University of Alaska Fairbanks; Callaghan Innovation</t>
  </si>
  <si>
    <t>Wongpan, P (corresponding author), Univ Otago, Dept Phys, Dunedin, New Zealand.;Wongpan, P (corresponding author), Hokkaido Univ, Inst Low Temp Sci, Sapporo, Hokkaido, Japan.;Wongpan, P (corresponding author), Japan Soc Promot Sci, Tokyo, Japan.;Wongpan, P (corresponding author), Univ Tasmania, Australian Antarctic Program Partnership, Inst Marine &amp; Antarctic Studies, Hobart, Tas, Australia.</t>
  </si>
  <si>
    <t>pat.wongpan@utas.edu.au</t>
  </si>
  <si>
    <t>Wongpan, Pat/AAX-6946-2020; Vancoppenolle, Martin/AAA-7711-2022; madec, gurvan/E-7825-2010; Gough, Alex J/D-4784-2009; Langhorne, Pat/C-3539-2018</t>
  </si>
  <si>
    <t>Wongpan, Pat/0000-0002-7113-8221; Vancoppenolle, Martin/0000-0002-7573-8582; madec, gurvan/0000-0002-6447-4198; Langhorne, Pat/0000-0003-0239-7657</t>
  </si>
  <si>
    <t>University of Otago; JSPS [18F18794]; Claude McCarthy Fellowship; New Zealand Foundation for Research Science and Technology [IPY UOOX0705]; Ministry of Business, Innovation and Employment [C01X1226]; NIWA [CAOA1703]; Velodrome of Roubaix; Deep South National Science Challenge project, Targeted observations and process-informed modeling of Antarctic sea ice; New Zealand Ministry of Business, Innovation &amp; Employment (MBIE) [C01X1226] Funding Source: New Zealand Ministry of Business, Innovation &amp; Employment (MBIE); Grants-in-Aid for Scientific Research [18F18794] Funding Source: KAKEN</t>
  </si>
  <si>
    <t>University of Otago; JSPS(Ministry of Education, Culture, Sports, Science and Technology, Japan (MEXT)Japan Society for the Promotion of Science); Claude McCarthy Fellowship; New Zealand Foundation for Research Science and Technology(New Zealand Foundation for Research, Science and Technology); Ministry of Business, Innovation and Employment(New Zealand Ministry of Business, Innovation and Employment (MBIE)); NIWA; Velodrome of Roubaix; Deep South National Science Challenge project, Targeted observations and process-informed modeling of Antarctic sea ice; New Zealand Ministry of Business, Innovation &amp; Employment (MBIE)(New Zealand Ministry of Business, Innovation and Employment (MBIE)); Grants-in-Aid for Scientific Research(Ministry of Education, Culture, Sports, Science and Technology, Japan (MEXT)Japan Society for the Promotion of ScienceGrants-in-Aid for Scientific Research (KAKENHI))</t>
  </si>
  <si>
    <t>We gratefully acknowledge the logistical support of Antarctica New Zealand, in particular, the winter-over crews of 2009 who deployed temperature strings. P. Wongpan was supported by a University of Otago Doctoral Scholarship and Postgraduate Publishing Bursary (Doctoral), and JSPS Postdoctoral Fellowship for Foreign Researchers: 18F18794. Work on this paper was undertaken while P. Wongpan enjoyed the hospitality of Sorbonne Universite, LOCEAN-IPSL, in particular Eric Fourlon, under the financial support of a Claude McCarthy Fellowship. The study was also financially supported by New Zealand Foundation for Research Science and Technology contract IPY UOOX0705, and by subcontracts to National Institute of Water and Atmospheric Research (NIWA): project C01X1226 funded by Ministry of Business, Innovation and Employment; the Deep South National Science Challenge project, Targeted observations and process-informed modeling of Antarctic sea ice; and numerous NIWA core funding projects, most recently CAOA1703. M. Vancoppenolle and P. Wongpan acknowledge support from the Velodrome of Roubaix. We are grateful to Philipp Griewank, an anonymous reviewer and the editor for their constructive comments and suggestions on earlier versions of this work.</t>
  </si>
  <si>
    <t>e2019JC015918</t>
  </si>
  <si>
    <t>10.1029/2019JC015918</t>
  </si>
  <si>
    <t>WOS:000665203500021</t>
  </si>
  <si>
    <t>Zhang, Y; Chambers, D; Liang, XF</t>
  </si>
  <si>
    <t>Zhang, Yang; Chambers, Don; Liang, Xinfeng</t>
  </si>
  <si>
    <t>Regional Trends in Southern Ocean Eddy Kinetic Energy</t>
  </si>
  <si>
    <t>eddy kinetic energy; long-term trends; sampling experiment; Southern Ocean; climate change</t>
  </si>
  <si>
    <t>ANTARCTIC CIRCUMPOLAR CURRENT; HEAT; VARIABILITY; TRANSPORT; SATELLITE; FRONTS; EDDIES; FLUX; ALTIMETRY</t>
  </si>
  <si>
    <t>Previous model-based studies and observation-based studies suggest that increasing wind energy input into the Southern Ocean will primarily cause increases in eddy kinetic energy (EKE) with no significant change in the mean circulation, a result that has been named the eddy-saturation hypothesis. However, due to the sparsity of the available observations, quantifying and understanding regional EKE changes in the Southern Ocean is challenging. In this study, we examine regional trends in the Southern Ocean EKE using altimetry crossover measurements and an ocean reanalysis product to quantify if undersampling by altimetry will bias EKE trend estimates and to test if previously observed EKE trends are homogenous throughout the Southern Ocean or concentrated in a few regions. To verify that the EKE computed from altimetry crossovers accurately represents yearly averaged EKE over the Southern Ocean, we first conduct a sampling experiment with the HYCOM Global Ocean Forecasting System 3.1 ocean reanalysis. We find that the crossover sampling is sufficient to represent the yearly averaged EKE when averaged over sectors of at least 30 degrees of longitude. We find no coherent increase in EKE over the entire Southern Ocean from altimetry crossover measurements, but instead find significant EKE increase over only one region, primarily south of New Zealand and downstream of the Campbell Plateau. We conclude that the EKE change in the Southern Ocean is not as homogenous as implied by previous studies and more work is needed to understand if this is consistent with the eddy-saturation hypothesis or related more to local dynamics.</t>
  </si>
  <si>
    <t>[Zhang, Yang; Liang, Xinfeng] Univ Delaware, Sch Marine Sci &amp; Policy, Lewes, DE 19958 USA; [Chambers, Don] Univ S Florida, Coll Marine Sci, St Petersburg, FL USA</t>
  </si>
  <si>
    <t>University of Delaware; State University System of Florida; University of South Florida</t>
  </si>
  <si>
    <t>Zhang, Y (corresponding author), Univ Delaware, Sch Marine Sci &amp; Policy, Lewes, DE 19958 USA.</t>
  </si>
  <si>
    <t>yzhangud@udel.edu</t>
  </si>
  <si>
    <t>Liang, Xinfeng/B-4716-2014</t>
  </si>
  <si>
    <t>Liang, Xinfeng/0000-0002-5628-4896; Chambers, Don/0000-0002-5439-0257; Zhang, Yang/0000-0001-7718-1303</t>
  </si>
  <si>
    <t>NASA/NOAA Ocean Surface Topography Science Team; NOAA/University of Miami Cooperative Institute for Marine and Atmospheric Science (CIMAS)</t>
  </si>
  <si>
    <t>We thank three anonymous reviewers for their helpful comments and suggestions. This research was funded by NASA/NOAA Ocean Surface Topography Science Team via a sub-award from the NOAA/University of Miami Cooperative Institute for Marine and Atmospheric Science (CIMAS).</t>
  </si>
  <si>
    <t>e2020JC016973</t>
  </si>
  <si>
    <t>10.1029/2020JC016973</t>
  </si>
  <si>
    <t>WOS:000665203500031</t>
  </si>
  <si>
    <t>Rosenbaum, G; Caulfield, JT; Ubide, T; Ward, JF; Sandiford, D; Sandiford, M</t>
  </si>
  <si>
    <t>Rosenbaum, Gideon; Caulfield, John T.; Ubide, Teresa; Ward, Jack F.; Sandiford, Dan; Sandiford, Mike</t>
  </si>
  <si>
    <t>Spatially and Geochemically Anomalous Arc Magmatism: Insights From the Andean Arc</t>
  </si>
  <si>
    <t>Andes; subduction; magmatism; volcanism; slab; geochemistry</t>
  </si>
  <si>
    <t>QUANTIFYING CRUSTAL THICKNESS; SUBDUCTION ZONE; UPPER-MANTLE; MOUNT-ETNA; TECTONIC EVOLUTION; ELEMENT CHEMISTRY; SOUTHERN PERU; ORE-DEPOSITS; COPPER-GOLD; SLAB</t>
  </si>
  <si>
    <t>While most volcanic arcs show a distinctive spatial relationship to subducting plates, there are many examples where volcanoes occur in anomalous locations. These are commonly also geochemically anomalous relative to the composition of more typical subduction-related rocks. Using Holocene volcanoes in South America as a case study, we document the spatial and geochemical patterns along the Andean volcanic belt. To determine whether spatial variations are also geochemically anomalous, we assess a series of geochemical indices that provide information on the depth and degree of melting, and the role of metasomatic subduction inputs in melt generation. We use these parameters to develop a scoring system, with the lowest and highest scores indicating typical and anomalous arc melting processes, respectively. Typical arc magmatism is defined as melts generated in the sub-arc mantle wedge through slab-derived fluid metasomatism, with or without contributions from subducted sediments. In contrast, we show that anomalous volcanism in South America appears to relate to geometric anomalies in the subducting Nazca plate (e.g., beneath Sumaco, Laguna Blanca and Payun Matru), or to areas affected by variations in mantle flow due to the proximity to the slab edge (Crater Basalt Volcanic Field). By establishing relationships between anomalous magmatism and slab structure, we propose that similar geochemical fingerprints could be used to explore the magmatic response to slab deformation and/or tearing in older arc systems, particularly in cases where the three-dimensional slab structure is no longer detectable.</t>
  </si>
  <si>
    <t>[Rosenbaum, Gideon; Ubide, Teresa; Ward, Jack F.] Univ Queensland, Sch Earth &amp; Environm Sci, Brisbane, Qld, Australia; [Caulfield, John T.] Queensland Univ Technol, Cent Analyt Res Facil, Brisbane, Qld, Australia; [Sandiford, Dan] Univ Tasmania, Inst Marine &amp; Antarctic Studies, Hobart, Tas, Australia; [Sandiford, Mike] Univ Melbourne, Sch Earth Sci, Melbourne, Vic, Australia</t>
  </si>
  <si>
    <t>University of Queensland; Queensland University of Technology (QUT); University of Tasmania; University of Melbourne; Melbourne Bioinformatics</t>
  </si>
  <si>
    <t>Rosenbaum, G (corresponding author), Univ Queensland, Sch Earth &amp; Environm Sci, Brisbane, Qld, Australia.</t>
  </si>
  <si>
    <t>g.rosenbaum@uq.edu.au</t>
  </si>
  <si>
    <t>Ubide, Teresa/L-8225-2016; Rosenbaum, Gideon/G-4686-2012</t>
  </si>
  <si>
    <t>Ubide, Teresa/0000-0002-2944-8736; Rosenbaum, Gideon/0000-0002-2544-093X; Ward, Jack/0000-0002-5024-8309</t>
  </si>
  <si>
    <t>ARC [DP200101566]; Australian Research Council [DP200101566] Funding Source: Australian Research Council</t>
  </si>
  <si>
    <t>ARC(Australian Research Council); Australian Research Council(Australian Research Council)</t>
  </si>
  <si>
    <t>This research was funded by ARC grant DP200101566. We wish to thank Yoram Rosenbaum for help creating a database of Andean volcanoes. The manuscript benefited from comments by Agustin Cardona, three anonymous reviewers, and handling Editor Claudio Faccenna.</t>
  </si>
  <si>
    <t>e2021GC009688</t>
  </si>
  <si>
    <t>10.1029/2021GC009688</t>
  </si>
  <si>
    <t>SZ2LK</t>
  </si>
  <si>
    <t>WOS:000666403200017</t>
  </si>
  <si>
    <t>Pavlovska, M; Prekrasna, I; Dykyi, E; Zotov, A; Dzhulai, A; Frolova, A; Slobodnik, J; Stoica, E</t>
  </si>
  <si>
    <t>Pavlovska, Mariia; Prekrasna, Ievgeniia; Dykyi, Evgen; Zotov, Andrii; Dzhulai, Artem; Frolova, Alina; Slobodnik, Jaroslav; Stoica, Elena</t>
  </si>
  <si>
    <t>Niche partitioning of bacterial communities along the stratified water column in the Black Sea</t>
  </si>
  <si>
    <t>MICROBIOLOGYOPEN</t>
  </si>
  <si>
    <t>16S rRNA gene; anoxic; Black Sea; microbial community; PICRUSt; vertical distribution</t>
  </si>
  <si>
    <t>ANAEROBIC AMMONIUM OXIDATION; COMPLETE GENOME SEQUENCE; GREEN SULFUR BACTERIA; ORGANIC-MATTER; BACTERIOPLANKTON COMMUNITY; DENITRIFYING BACTERIA; PELAGIC REDOXCLINES; NITRITE OXIDATION; SOUTH-PACIFIC; ANAMMOX</t>
  </si>
  <si>
    <t>The Black Sea is the largest semi-closed permanently anoxic basin on our planet with long-term stratification. The study aimed at describing the Black Sea microbial community taxonomic and functional composition within the range of depths spanning across oxic/anoxic interface, and to uncover the factors behind both their vertical and regional differentiation. 16S rRNA gene MiSeq sequencing was applied to get the data on microbial community taxonomy, and the PICRUSt pipeline was used to infer their functional profile. The normoxic zone was mainly inhabited by primary producers and heterotrophic prokaryotes (e.g., Flavobacteriaceae, Rhodobacteraceae, Synechococcaceae) whereas the euxinic zone-by heterotrophic and chemoautotrophic taxa (e.g., MSBL2, Piscirickettsiaceae, and Desulfarculaceae). Assimilatory sulfate reduction and oxygenic photosynthesis were prevailing within the normoxic zone, while the role of nitrification, dissimilatory sulfate reduction, and anoxygenic photosynthesis increased in the oxygen-depleted water column part. Regional differentiation of microbial communities between the Ukrainian shelf and offshore zone was detected as well, yet it was significantly less pronounced than the vertical one. It is suggested that regional differentiation within a well-oxygenated zone is driven by the difference in phytoplankton communities providing various substrates for the prokaryotes, whereas redox stratification is the main driving force behind microbial community vertical structure.</t>
  </si>
  <si>
    <t>[Pavlovska, Mariia; Prekrasna, Ievgeniia; Dykyi, Evgen; Zotov, Andrii; Dzhulai, Artem] State Inst Natl Antarctic Sci Ctr, Kiev, Ukraine; [Pavlovska, Mariia; Dykyi, Evgen] Ukrainian Sci Ctr Ecol Sea, Odesa, Ukraine; [Pavlovska, Mariia] Natl Univ Life &amp; Environm Sci Ukraine, Kiev, Ukraine; [Zotov, Andrii] NAS Ukraine, State Inst Inst Marine Biol, Odesa, Ukraine; [Frolova, Alina] Inst Mol Biol &amp; Genet NASU, Kiev, Ukraine; [Slobodnik, Jaroslav] Environm Inst, Kos, Slovakia; [Stoica, Elena] Natl Inst Marine Res &amp; Dev Grigore Antipa, Bd Mamaia 300, RO-900581 Constanta, Romania</t>
  </si>
  <si>
    <t>Ministry of Education &amp; Science of Ukraine; State Institution National Antarctic Scientific Center; Ukrainian Scientific Center of Ecology of the Sea (UkrSCES); National University of Life &amp; Environmental Sciences of Ukraine; National Academy of Sciences Ukraine; National Academy of Sciences Ukraine; Institute of Molecular Biology &amp; Genetics of NASU; Environmental Institute; National Institute for Marine Research &amp; Development Grigore Antipa</t>
  </si>
  <si>
    <t>Stoica, E (corresponding author), Natl Inst Marine Res &amp; Dev Grigore Antipa, Bd Mamaia 300, RO-900581 Constanta, Romania.</t>
  </si>
  <si>
    <t>estoica@alpha.rmri.ro</t>
  </si>
  <si>
    <t>Zotov, Andrii/KFT-2756-2024; NULES, NUBiP/ABC-8391-2021; Stoica, Elena/C-5392-2011; Frolova, Alina O/I-3134-2016</t>
  </si>
  <si>
    <t>Frolova, Alina O/0000-0001-5469-7366; Stoica, Elena/0000-0001-8766-0973; Prekrasna, Ievgeniia/0000-0001-8139-4395; Dzhulai, Artem/0000-0002-9756-8799; Pavlovska, Mariia/0000-0003-2050-5973</t>
  </si>
  <si>
    <t>EOSC-hub [777536]; Romanian Authority of Scientific Research Program; EU/UNDP [ENPI/2013/313 -169]; HNSciCloud [687614]</t>
  </si>
  <si>
    <t>EOSC-hub; Romanian Authority of Scientific Research Program; EU/UNDP; HNSciCloud</t>
  </si>
  <si>
    <t>EOSC- -hub, Grant/Award Number: 777536; Romanian Authority of Scientific Research Program; EU/UNDP, Grant/ Award Number: ENPI/2013/313 --169; HNSciCloud, Grant/Award Number: 687614</t>
  </si>
  <si>
    <t>2045-8827</t>
  </si>
  <si>
    <t>MicrobiologyOpen</t>
  </si>
  <si>
    <t>e1195</t>
  </si>
  <si>
    <t>10.1002/mbo3.1195</t>
  </si>
  <si>
    <t>TA3UE</t>
  </si>
  <si>
    <t>WOS:000667175200015</t>
  </si>
  <si>
    <t>Yan, Z; Yan, H; Wang, T</t>
  </si>
  <si>
    <t>Yan, Zhan; Yan, Hang; Wang, Tao</t>
  </si>
  <si>
    <t>A Fast Non-Local Means Filtering Method for Interferometric Phase Based on Wavelet Packet Transform</t>
  </si>
  <si>
    <t>RADIO SCIENCE</t>
  </si>
  <si>
    <t>Fast non-local means filtering; InSAR; phase filtering; wavelet packet transform</t>
  </si>
  <si>
    <t>RADAR; DEFORMATION; NOISE; INSAR; EARTHQUAKE; REDUCTION</t>
  </si>
  <si>
    <t>Phase unwrapping is very important to acquire surface deformation using InSAR, unwrapping the interferometric phase directly is not appropriate because the phase is affected by various noises. Therefore, it is essential to apply a suitable filter to the interferometric phase before phase unwrapping. Although there are many filtering methods for noise, these methods cannot be used directly due to the particularity of interferometric phase noise and therefore it is important to do the corresponding domain transformation. Here, a fast non-local means filtering method based on wavelet packet transform is proposed. Originally, wavelet packet transform is performed on the real part and the imaginary part respectively, which avoids the influence of phase jumps on the subsequent filtering. Furthermore, the fast non-local means filtering can be applied to smooth the acquired wavelet packet coefficients. Eventually, inverse transform of the wavelet packet is used to reconstruct the phase after filtering. Compared with other filtering algorithms in simulated and actual Sentinel-1 data, the superiority of this algorithm is proved.</t>
  </si>
  <si>
    <t>[Yan, Zhan] Beijing Normal Univ, State Key Lab Earth Surface Proc &amp; Resource Ecol, Beijing, Peoples R China; [Yan, Zhan] Univ Chinese Acad Sci, Beijing, Peoples R China; [Yan, Zhan] Chinese Acad Sci, Inst Geodesy &amp; Geophys, State Key Lab Geodesy &amp; Earths Dynam, Wuhan, Peoples R China; [Yan, Hang] Xidian Univ, State Key Lab Integrated Serv Networks, Xian, Shaanxi, Peoples R China; [Wang, Tao] Wuhan Univ, Chinese Antarctic Ctr Surveying &amp; Mapping, Wuhan, Peoples R China</t>
  </si>
  <si>
    <t>Beijing Normal University; Chinese Academy of Sciences; University of Chinese Academy of Sciences, CAS; Chinese Academy of Sciences; Innovation Academy for Precision Measurement Science &amp; Technology, CAS; Xidian University; Wuhan University</t>
  </si>
  <si>
    <t>Wang, T (corresponding author), Wuhan Univ, Chinese Antarctic Ctr Surveying &amp; Mapping, Wuhan, Peoples R China.</t>
  </si>
  <si>
    <t>taowang@whu.edu.cn</t>
  </si>
  <si>
    <t>0048-6604</t>
  </si>
  <si>
    <t>1944-799X</t>
  </si>
  <si>
    <t>RADIO SCI</t>
  </si>
  <si>
    <t>Radio Sci.</t>
  </si>
  <si>
    <t>e2019RS007052</t>
  </si>
  <si>
    <t>10.1029/2019RS007052</t>
  </si>
  <si>
    <t>Astronomy &amp; Astrophysics; Geochemistry &amp; Geophysics; Meteorology &amp; Atmospheric Sciences; Remote Sensing; Telecommunications</t>
  </si>
  <si>
    <t>TA7RN</t>
  </si>
  <si>
    <t>WOS:000667443400002</t>
  </si>
  <si>
    <t>Drago, M; Cardona, L; Franco-Trecu, V; Riet-Sapriza, FG; Crespo, EA; García, N; Inchausti, P</t>
  </si>
  <si>
    <t>Drago, Massimiliano; Cardona, Luis; Franco-Trecu, Valentina; Riet-Sapriza, Federico G.; Crespo, Enrique A.; Garcia, Nestor; Inchausti, Pablo</t>
  </si>
  <si>
    <t>Relationship between the female attendance pattern and pup growth rate in the South American sea lion (Carnivora)</t>
  </si>
  <si>
    <t>SCIENTIA MARINA</t>
  </si>
  <si>
    <t>Otaria flavescens; Otaria byronia; pup growth rate; lactating female; milk composition; diving; foraging trip</t>
  </si>
  <si>
    <t>ANTARCTIC FUR SEALS; FORAGING BEHAVIOR; MILK-COMPOSITION; ENVIRONMENTAL VARIATION; ARCTOCEPHALUS-GAZELLA; OTARIA-FLAVESCENS; MARINE PREDATOR; ENERGY CONTENT; DIET; LACTATION</t>
  </si>
  <si>
    <t>Changes in the duration and frequency of foraging trips by female otariids may result in changes in the duration and frequency of lactation bouts and hence influence pup growth rate, unless females modify milk energy density and/or the total amount of milk delivered depending on the trip duration. To test this hypothesis on South American sea lions, we measured two attendance pattern components (foraging trip and haul-out duration) and three diving behaviour components of nursing females (dive time, bottom time and number of dives per h) at two different rookeries in Uruguay and Argentina, the composition and energy density of their milk, and the growth rate of their pups. Female foraging trip and haul-out durations depended on pup sex and weight, whereas milk energy density depended on female body mass and foraging trip durations. By contrast, the three dive variables were independent of female body mass or pup sex. Pup growth was also independent of the foraging trip and haul-out duration, with pup sex as the only significant variable. This suggests that individual differences in female foraging behaviour play a minor role in determining pup growth rates during the first three weeks after birth.</t>
  </si>
  <si>
    <t>[Drago, Massimiliano; Cardona, Luis] Univ Barcelona, IRBio, Av Diagonal 643, Barcelona 08028, Spain; [Drago, Massimiliano; Cardona, Luis] Univ Barcelona, Dept Evolutionary Biol Ecol &amp; Environm Sci, Av Diagonal 643, Barcelona 08028, Spain; [Drago, Massimiliano; Inchausti, Pablo] Univ la Republ UdeLaR, Ctr Univ Reg Este CURE, Dept Ecol &amp; Evoluc, C Tacuarembo S-N, Maldonado 20000, Uruguay; [Franco-Trecu, Valentina] Univ la Republ UdeLaR, Fac Ciencias, Dept Ecol &amp; Evoluc, Igua 4225, Montevideo 11400, Uruguay; [Riet-Sapriza, Federico G.] Univ los Andes, Dept Ciencias Biol, Fac Ciencias, Lab Ecol Mol Vertebrados Acuat LEMVA, Carrera 1E 18A-10, Bogota, Colombia; [Crespo, Enrique A.] Univ Nacl Patagonia San Juan Bosco, Bvd Brown 3051, RA-9120 Puerto Madryn, Chubut, Argentina; [Crespo, Enrique A.; Garcia, Nestor] Ctr Nacl Patagon CENPAT CONICET, Lab Mamiferos Marinos, Bvd Brown 29150, RA-9120 Puerto Madryn, Argentina</t>
  </si>
  <si>
    <t>University of Barcelona; University of Barcelona; Universidad de la Republica, Uruguay; Universidad de la Republica, Uruguay; Universidad de los Andes (Colombia); Universidad Nacional de la Patagonia San Juan Bosco; Centro Nacional Patagonico (CENPAT); Consejo Nacional de Investigaciones Cientificas y Tecnicas (CONICET)</t>
  </si>
  <si>
    <t>Drago, M (corresponding author), Univ Barcelona, IRBio, Av Diagonal 643, Barcelona 08028, Spain.;Drago, M (corresponding author), Univ Barcelona, Dept Evolutionary Biol Ecol &amp; Environm Sci, Av Diagonal 643, Barcelona 08028, Spain.;Drago, M (corresponding author), Univ la Republ UdeLaR, Ctr Univ Reg Este CURE, Dept Ecol &amp; Evoluc, C Tacuarembo S-N, Maldonado 20000, Uruguay.</t>
  </si>
  <si>
    <t>m.drago@ub.edu; luis.cardona@ub.edu; vfranco-trecu@fcien.edu.uy; frietsapriza@gmail.com; kike.crespo@uv.es; garcia@cenpat-conicet.gob.ar; pablo.inchausti.f@gmail.com</t>
  </si>
  <si>
    <t>Franco-Trecu, Valentina/N-5266-2019; Drago, Massimiliano/JAN-9491-2023; Drago, Massimiliano/K-1863-2017; Cardona, Luis/L-1680-2014; Crespo, Enrique/Q-5487-2018</t>
  </si>
  <si>
    <t>Drago, Massimiliano/0000-0003-2764-9849; Drago, Massimiliano/0000-0003-2764-9849; Inchausti, Pablo/0000-0002-3498-5894; Garcia, Nestor Anibal/0000-0002-3178-7534; Franco-Trecu, Valentina/0000-0003-1791-010X; Cardona, Luis/0000-0002-7892-1323; Crespo, Enrique/0000-0001-9216-7817; Riet, Federico/0000-0002-6568-2802</t>
  </si>
  <si>
    <t>National Agency for Research and Innovation, ANII-Uruguay [PD_NAC_2013_1_10382]; ONG Yaqu-pacha (Germany); Zoo d'Amneville (France); Agencia Nacional de Promocion Cientifica y Tecnologica [PICT 2110]</t>
  </si>
  <si>
    <t>National Agency for Research and Innovation, ANII-Uruguay; ONG Yaqu-pacha (Germany); Zoo d'Amneville (France); Agencia Nacional de Promocion Cientifica y Tecnologica(ANPCyTSpanish Government)</t>
  </si>
  <si>
    <t>We thank L. Olivera, N. Veiga, M. Casela, D.P. Costa, D.J. Shuman, H. Katz and the staff of the Marine Mammal Laboratory of the Centro Nacional Patagonico (CENPAT-CONICET), particularly G.M. Svendsen, R. Gonzalez, N. Sueyro, M. Coscarella and S. Ameghino, for overall assistance and logistic support during fieldwork in Uruguay and Argentina. We also thank L. Reisfeld of the Sao Paulo Aquarium for veterinary assistance during fieldwork in Argentina. We also thank the two anonymous referees for their careful revision and useful comments to improve the manuscript. The research that gave rise to the results presented in this publication was funded by the National Agency for Research and Innovation, ANII-Uruguay (PD_NAC_2013_1_10382), the ONG Yaqu-pacha (Germany), the Zoo d'Amneville (France) and the Agencia Nacional de Promocion Cientifica y Tecnologica (PICT 2110).</t>
  </si>
  <si>
    <t>CONSEJO SUPERIOR INVESTIGACIONES CIENTIFICAS-CSIC</t>
  </si>
  <si>
    <t>MADRID</t>
  </si>
  <si>
    <t>Editorial CSIC, C/VITRUVIO 8, 28006 MADRID, SPAIN</t>
  </si>
  <si>
    <t>0214-8358</t>
  </si>
  <si>
    <t>1886-8134</t>
  </si>
  <si>
    <t>SCI MAR</t>
  </si>
  <si>
    <t>Sci. Mar.</t>
  </si>
  <si>
    <t>10.3989/scimar.05128.008</t>
  </si>
  <si>
    <t>SS5SM</t>
  </si>
  <si>
    <t>WOS:000661816000003</t>
  </si>
  <si>
    <t>Howard-Williams, C; Hawes, I; Gilbert, N</t>
  </si>
  <si>
    <t>Howard-Williams, Clive; Hawes, Ian; Gilbert, Neil</t>
  </si>
  <si>
    <t>Why do so few Antarctic Specially Protected Areas protect inland waters?</t>
  </si>
  <si>
    <t>[Howard-Williams, Clive] Natl Inst Water &amp; Atmospher Res Ltd, Christchurch, New Zealand; [Hawes, Ian] Univ Waikato, Coastal Marine Grp, Tauranga 3110, New Zealand; [Gilbert, Neil] Constantia Consulting Ltd, 310 Papanui Rd, Christchurch 8052, New Zealand</t>
  </si>
  <si>
    <t>National Institute of Water &amp; Atmospheric Research (NIWA) - New Zealand; University of Waikato</t>
  </si>
  <si>
    <t>Howard-Williams, C (corresponding author), Natl Inst Water &amp; Atmospher Res Ltd, Christchurch, New Zealand.</t>
  </si>
  <si>
    <t>Gilbert, Neil/AAD-7842-2022</t>
  </si>
  <si>
    <t>Gilbert, Neil/0000-0003-2055-4249</t>
  </si>
  <si>
    <t>10.1017/S0954102021000201</t>
  </si>
  <si>
    <t>TC4MS</t>
  </si>
  <si>
    <t>WOS:000668615200001</t>
  </si>
  <si>
    <t>Mori, E; Brunetti, C; Carapelli, A; Burrini, L; Fattorini, N; Ferretti, F; Olmastroni, S</t>
  </si>
  <si>
    <t>Mori, Emiliano; Brunetti, Claudia; Carapelli, Antonio; Burrini, Lucia; Fattorini, Niccolo; Ferretti, Francesco; Olmastroni, Silvia</t>
  </si>
  <si>
    <t>Genetic diversity in clustered colonies of an Antarctic marine mesopredator: a role for habitat quality?</t>
  </si>
  <si>
    <t>Adelie penguin; gene flow; microsatellite; philopatry; population clusters; Ross Sea</t>
  </si>
  <si>
    <t>ADELIE PENGUINS; ROSS SEA; POPULATION-DYNAMICS; CLIMATE-CHANGE; DISPERSAL; FLOW; ICE</t>
  </si>
  <si>
    <t>Genetic structure may be highly variable across seabird species, and particularly among those that are distributed over large geographical areas. The Adelie penguin (Pygoscelis adeliae) is a numerically dominant Antarctic seabird that is considered to be a key species in coastal ecosystems. Since the Last Glacial Maximum, penguin colonization of the Antarctic coastline occurred at varying geographical and temporal scales, contributing to an incomplete understanding of how modern colonies relate to each other at local or regional scales. We assessed the population genetic structure of Adelie penguins (n = 86 individuals) from three adjacent colonies along the Victoria Land coast using molecular genetic markers (i.e. seven microsatellite loci isolated through next-generation sequencing). Our results indicate meta-population dynamics and possibly relationships with habitat quality. A generally low genetic diversity (Nei's index: 0.322-0.667) was observed within each colony, in contrast to significant genetic heterogeneity among colonies (pairwise F-ST = 0.071-0.148), indicating that populations were genetically structured. Accordingly, an assignment test correctly placed individuals within the respective colonies from which they were sampled. The presence of inter-colony genetic differentiation contrasts with previous studies on this species that showed a lack of genetic structure, possibly due to higher juvenile or adult dispersal. Our sampled colonies were not panmictic and suggest a lower migration rate, which may reflect relatively stable environmental conditions in the Ross Sea compared to other regions of Antarctica, where the ocean climate is warming.</t>
  </si>
  <si>
    <t>[Mori, Emiliano; Burrini, Lucia; Fattorini, Niccolo; Ferretti, Francesco] Univ Siena, Dept Life Sci, Via PA Mattioli 4, I-53100 Siena, Italy; [Mori, Emiliano] CNR, Ist Ric Ecosistemi Terr, Via Madonna Piano 10, I-50019 Sesto Fiorentino, Italy; [Brunetti, Claudia; Carapelli, Antonio] Univ Siena, Dept Life Sci, Via Aldo Moro 2, I-53100 Siena, Italy; [Olmastroni, Silvia] Univ Siena Via, Dept Phys Earth &amp; Environm Sci, Via PA Mattioli 4, I-53100 Siena, Italy; [Olmastroni, Silvia] Museo Nazl Antartide F Ippolito, Via Laterina 8, I-53100 Siena, Italy</t>
  </si>
  <si>
    <t>University of Siena; Consiglio Nazionale delle Ricerche (CNR); University of Siena</t>
  </si>
  <si>
    <t>Olmastroni, S (corresponding author), Univ Siena Via, Dept Phys Earth &amp; Environm Sci, Via PA Mattioli 4, I-53100 Siena, Italy.;Olmastroni, S (corresponding author), Museo Nazl Antartide F Ippolito, Via Laterina 8, I-53100 Siena, Italy.</t>
  </si>
  <si>
    <t>silvia.olmastroni@unisi.it</t>
  </si>
  <si>
    <t>Fattorini, Niccolò/AAJ-9976-2020; Mori, Emiliano/AAA-8803-2022; Brunetti, Claudia/HPH-8238-2023; OLMASTRONI, Silvia/G-6267-2018</t>
  </si>
  <si>
    <t>Fattorini, Niccolò/0000-0001-8022-7464; Mori, Emiliano/0000-0001-8108-7950; Brunetti, Claudia/0000-0002-5260-5840; Ferretti, Francesco/0000-0002-0414-1615; OLMASTRONI, Silvia/0000-0002-9319-9914; CARAPELLI, Antonio/0000-0002-3165-9620</t>
  </si>
  <si>
    <t>'PenguinERA' project [1985/2018, 192517/111-12, PNRA2016 AZ1.11]</t>
  </si>
  <si>
    <t>'PenguinERA' project</t>
  </si>
  <si>
    <t>This analysis was funded by PNRA2016 AZ1.11 'PenguinERA' project, EM grant DDG Rep. 1985/2018 prot. no 192517/111-12, 12-12-2018.</t>
  </si>
  <si>
    <t>PII S0954102021000067</t>
  </si>
  <si>
    <t>10.1017/S0954102021000067</t>
  </si>
  <si>
    <t>WOS:000668615200002</t>
  </si>
  <si>
    <t>Chau, JH; Greve, M; Van Vuuren, BJ</t>
  </si>
  <si>
    <t>Chau, John H.; Greve, Michelle; Jansen Van Vuuren, Bettine</t>
  </si>
  <si>
    <t>Molecular evidence for hybridization in the aquatic plant Limosella on sub-Antarctic Marion Island</t>
  </si>
  <si>
    <t>cytonuclear discordance; gene tree incongruence; introgression; Limosella aquatica; Limosella australis; Ranunculus moseleyi</t>
  </si>
  <si>
    <t>PHYLOGENY; EVOLUTION; GENUS</t>
  </si>
  <si>
    <t>DNA sequence data have become a crucial tool in assessing the relationship between morphological variation and genetic and taxonomic groups, including in the Antarctic biota. Morphologically distinct populations of submersed aquatic vascular plants were observed on sub-Antarctic Marion Island, potentially representing the two species of such plants listed in the island's flora, Limosella australis R.Br. (Scrophulariaceae) and Ranunculus moseleyi Hook.f. (Ranunculaceae). To confirm their taxonomic identity, we sequenced a nuclear locus (internal transcribed spacer; ITS) and two plastid loci (trnL-trnF, rps16) from three specimens collected on Marion Island and compared the sequences with those in public sequence databases. For all three loci, sequences from the Marion Island specimens were nearly identical despite morphological dissimilarity, and phylogenetic analyses resolved them to a position in Limosella. In phylogenetic trees and comparisons of species-specific sequence polymorphisms, the Marion Island specimens were closest to a clade comprising Limosella aquatica L., L. curdieana F.Muell. and L. major Diels for ITS and closest to L. australis for the plastid loci. Cytonuclear discordance suggests a history of hybridization or introgression, which may have consequences for morphological variability and ecological adaptation.</t>
  </si>
  <si>
    <t>[Chau, John H.; Jansen Van Vuuren, Bettine] Univ Johannesburg, Dept Zool, Ctr Ecol Genom &amp; Wildlife Conservat, ZA-2006 Auckland Pk, South Africa; [Greve, Michelle] Univ Pretoria, Dept Plant &amp; Soil Sci, ZA-0028 Hatfield, South Africa</t>
  </si>
  <si>
    <t>University of Johannesburg; University of Pretoria</t>
  </si>
  <si>
    <t>Chau, JH (corresponding author), Univ Johannesburg, Dept Zool, Ctr Ecol Genom &amp; Wildlife Conservat, ZA-2006 Auckland Pk, South Africa.</t>
  </si>
  <si>
    <t>jhchau@uw.edu</t>
  </si>
  <si>
    <t>Jansen van Vuuren, Bettine/E-6227-2013</t>
  </si>
  <si>
    <t>Jansen van Vuuren, Bettine/0000-0002-5334-5358; Greve, Michelle/0000-0002-6229-8506</t>
  </si>
  <si>
    <t>National Research Foundation (SANAP) [110728, 110734]</t>
  </si>
  <si>
    <t>National Research Foundation (SANAP)</t>
  </si>
  <si>
    <t>We gratefully acknowledge financial support from the National Research Foundation (SANAP grants 110728 and 110734).</t>
  </si>
  <si>
    <t>PII S0954102021000079</t>
  </si>
  <si>
    <t>10.1017/S0954102021000079</t>
  </si>
  <si>
    <t>WOS:000668615200003</t>
  </si>
  <si>
    <t>Labrousse, S; Ryan, S; Roquet, F; Picard, B; McMahon, CR; Harcourt, R; Hindell, M; Le Goff, H; Lourenco, A; David, Y; Sallée, JB; Charrassin, JB</t>
  </si>
  <si>
    <t>Labrousse, Sara; Ryan, Svenja; Roquet, Fabien; Picard, Baptiste; McMahon, Clive R.; Harcourt, Robert; Hindell, Mark; Le Goff, Herve; Lourenco, Antonio; David, Yves; Sallee, Jean-Baptiste; Charrassin, Jean-Benoit</t>
  </si>
  <si>
    <t>Weddell seal behaviour during an exceptional oceanographic event in the Filchner-Ronne Ice Shelf in 2017</t>
  </si>
  <si>
    <t>Antarctic predators; bio-telemetry; foraging behaviour; physical oceanography; spatial ecology; Weddell Sea</t>
  </si>
  <si>
    <t>SOUTHERN ELEPHANT SEALS; ROSS SEA; LEPTONYCHOTES-WEDDELLII; ECOLOGY; HABITAT; MASS</t>
  </si>
  <si>
    <t>Rapid and regionally contrasting climate changes have been observed around Antarctica. However, our understanding of the impact of these changes on ecosystems remains limited, and there is an urgent need to better identify habitats of Antarctic species. The Weddell seal (Leptonychotes weddellii) is a circumpolar mesopredator and an indicative species of Antarctic marine communities. It has been extensively studied in the western Ross Sea and East Antarctica, and an understanding of its ecology in the Weddell Sea in the wintertime is emerging. We documented the behavioural response(s) of four Weddell seals from February to June in 2017 in the Filchner-Ronne Ice Shelf region and related these to unusual oceanographic conditions in 2017. Unexpectedly, we found that Weddell seals had the longest foraging effort within the outflow of Ice Shelf Water or at its turbulent boundary. They also foraged on the eastern side of the trough from April to June within the Modified Warm Deep Water and seem to take advantage of the unusual conditions of persistent inflow of warm waters through the winter. Linking animal behavioural responses to oceanographic conditions is informative for quantifying rarely recorded events and provides great insight into how predators may respond to changing conditions.</t>
  </si>
  <si>
    <t>[Labrousse, Sara; Le Goff, Herve; Lourenco, Antonio; Sallee, Jean-Baptiste; Charrassin, Jean-Benoit] UPMC Univ, Sorbonne Univ, IPSL, Paris 06,UMR 7159,LOCEAN, F-75005 Paris, France; [Ryan, Svenja] Woods Hole Oceanog Inst, Dept Phys Oceanog, Woods Hole, MA 02543 USA; [Roquet, Fabien] Univ Gothenburg, Dept Marine Sci, Gothenburg, Sweden; [Picard, Baptiste] Univ Rochelle, CNRS, UMR 7372, Ctr Etud Biol Chize CEBC, F-79360 Villiers En Bois, France; [McMahon, Clive R.] Sydney Inst Marine Sci, IMOS Anim Tagging, 19 Chowder Bay Rd, Bethesda, MD 20889 USA; [McMahon, Clive R.; Harcourt, Robert] Macquarie Univ, Dept Biol Sci, Sydney, NSW 2109, Australia; [McMahon, Clive R.; Hindell, Mark] Univ Tasmania, Inst Marine &amp; Antarctic Studies, Private Bag 129, Hobart, Tas 7001, Australia; [David, Yves] TBM Environm, 2 Rue Suede, F-56400 Auray, France</t>
  </si>
  <si>
    <t>Sorbonne Universite; Museum National d'Histoire Naturelle (MNHN); Universite Paris Cite; Centre National de la Recherche Scientifique (CNRS); CNRS - National Institute for Earth Sciences &amp; Astronomy (INSU); Woods Hole Oceanographic Institution; University of Gothenburg; Centre National de la Recherche Scientifique (CNRS); CNRS - Institute of Ecology &amp; Environment (INEE); Macquarie University; University of Tasmania</t>
  </si>
  <si>
    <t>Labrousse, S (corresponding author), UPMC Univ, Sorbonne Univ, IPSL, Paris 06,UMR 7159,LOCEAN, F-75005 Paris, France.</t>
  </si>
  <si>
    <t>McMahon, Clive R/D-5713-2013; SALLEE, Jean baptiste/HDO-5355-2022; Hindell, Mark A/K-1131-2013</t>
  </si>
  <si>
    <t>McMahon, Clive R/0000-0001-5241-8917; Baptiste, Picard/0000-0001-9565-9446; Labrousse, Sara/0000-0002-8099-3254; Harcourt, Robert/0000-0003-4666-2934</t>
  </si>
  <si>
    <t>Australian collaborative research structure 'The Integrated Marine Observing System' (IMOS); Centre National d'Etudes Spatiales (CNES); Antarctic Science Bursary; European Research Council (ERC) under the European Union's Horizon 2020 research and innovation programme [637770]; Feodor-Lynen Fellowship from the Alexander von Humboldt Foundation</t>
  </si>
  <si>
    <t>Australian collaborative research structure 'The Integrated Marine Observing System' (IMOS); Centre National d'Etudes Spatiales (CNES)(Centre National D'etudes Spatiales); Antarctic Science Bursary; European Research Council (ERC) under the European Union's Horizon 2020 research and innovation programme(European Research Council (ERC)); Feodor-Lynen Fellowship from the Alexander von Humboldt Foundation(Alexander von Humboldt Foundation)</t>
  </si>
  <si>
    <t>This study was coordinated within the framework of the oceanographic cruise JR16004 led by the principal investigator J.-B. Sallee on the British Antarctic Survey (BAS) icebreaker, the RRS James Clark Ross. This work was funded by an Australian collaborative research structure 'The Integrated Marine Observing System' (IMOS), Centre National d'Etudes Spatiales (CNES) project and the Antarctic Science Bursary. J-BS received funding from the European Research Council (ERC) under the European Union's Horizon 2020 research and innovation programme (Grant Agreement 637770). SR was supported through a Feodor-Lynen Fellowship from the Alexander von Humboldt Foundation. Special thanks go to the Association of Polar Early Career Scientists, Lars Boehme for the all of the field advice and Caroline Gilbert for all of the veterinary recommendations. All animals in this study were handled in accordance with the BAS animal welfare and ethical review process (AWERB). The experimental protocols were approved by BAS AWERB committee (#1029) on 23 June 2016. We thank the two anonymous reviewers for their comments, which helped us to improve this paper.</t>
  </si>
  <si>
    <t>PII S0954102021000092</t>
  </si>
  <si>
    <t>10.1017/S0954102021000092</t>
  </si>
  <si>
    <t>WOS:000668615200004</t>
  </si>
  <si>
    <t>McKay, CP; Swayze, GA; Clark, RN; Kokaly, RF</t>
  </si>
  <si>
    <t>McKay, Christopher P.; Swayze, Gregg A.; Clark, Roger N.; Kokaly, Raymond F.</t>
  </si>
  <si>
    <t>Spectroscopic detection of microbial colonization in Antarctic sandstone</t>
  </si>
  <si>
    <t>cryptoendolithic; fluorescence; infrared spectroscopy; Linnaeus Terrace; Mars; organics</t>
  </si>
  <si>
    <t>MCMURDO DRY VALLEYS; ENDOLITHIC MICROORGANISMS; BEACON SANDSTONE; FOSSIL FORMATION; GALE CRATER; ROSS DESERT; COMMUNITIES; LIFE; SAMPLE; ROCKS</t>
  </si>
  <si>
    <t>We report infrared reflectance and ultraviolet fluorescence spectra of the surfaces and cleaved side of Beacon Sandstone from Antarctica that harbours a cryptoendolithic microbial community - a photosynthesis-based consortium of algae, lichen and bacteria present a few millimetres below the surface. Chlorophyll absorptions were present in the reflectance spectra of the exposed interior but not on the top or bottom surfaces and their band depths changed &lt; 4% between measurements taken 19 years apart, indicating the stability of the microorganisms when the sample is kept dry. The presence of subsurface organic layers was detected in reflectance at 3.41 mu m on the sample's surface. Fluorescence spectra of the cleaved side showed the blue fluorescence peaks expected from chlorophyll but no 0.65-0.80 mu m peaks seen in fluorescence measurements of green vegetation. A weak fluorescence signal was detectable at the surface of the sample, presumably due to some light leaking into the subsurface through pores or cracks in the goethite coating the sample's surface. Theoretically, this weak fluorescence signal could possibly be observed in rock surfaces broken by erosion or meteor impacts on Mars. Sandstone outcrops have been reported on Mars and detection of organic layers in sandstones there would be of interest.</t>
  </si>
  <si>
    <t>[McKay, Christopher P.] NASA, Ames Res Ctr, Space Sci Div, Moffett Field, CA 94035 USA; [Swayze, Gregg A.; Kokaly, Raymond F.] US Geol Survey, MS964 Box,25046 Denver Fed Ctr, Denver, CO 80225 USA; [Clark, Roger N.] Planetary Sci Inst, 1700 East Ft Lowell,Suite 106, Tucson, AZ 85719 USA</t>
  </si>
  <si>
    <t>National Aeronautics &amp; Space Administration (NASA); NASA Ames Research Center; United States Department of the Interior; United States Geological Survey</t>
  </si>
  <si>
    <t>McKay, CP (corresponding author), NASA, Ames Res Ctr, Space Sci Div, Moffett Field, CA 94035 USA.</t>
  </si>
  <si>
    <t>Chris.McKay@nasa.gov</t>
  </si>
  <si>
    <t>Kokaly, Raymond F/A-6817-2017</t>
  </si>
  <si>
    <t>McKay, Christopher/0000-0002-6243-1362</t>
  </si>
  <si>
    <t>US National Science Foundation [OPP 91-18730]; NASA Astrobiology Program; USGS Spectral Library and Remote Sensing Projects; NASA programme [W15805]</t>
  </si>
  <si>
    <t>US National Science Foundation(National Science Foundation (NSF)); NASA Astrobiology Program(National Aeronautics &amp; Space Administration (NASA)); USGS Spectral Library and Remote Sensing Projects; NASA programme</t>
  </si>
  <si>
    <t>Field sampleswere collected as part of a project supported by the US National Science Foundation grant OPP 91-18730 to E.I. Friedmann. CPM acknowledges support from the NASA Astrobiology Program. The USGS Spectral Library and Remote Sensing Projects and the NASA programme W15805 (RNC, Principle Investigator) also provided support. Fluorescence and ultraviolet reflectance were measured in RNC's Planetary Science Institute laboratory.</t>
  </si>
  <si>
    <t>PII S0954102021000122</t>
  </si>
  <si>
    <t>10.1017/S0954102021000122</t>
  </si>
  <si>
    <t>WOS:000668615200005</t>
  </si>
  <si>
    <t>Eastman, JT; Eakin, RR</t>
  </si>
  <si>
    <t>Eastman, Joseph T.; Eakin, Richard R.</t>
  </si>
  <si>
    <t>Checklist of the species of notothenioid fishes</t>
  </si>
  <si>
    <t>Antarctica; diversity; taxonomy</t>
  </si>
  <si>
    <t>DEEP ROSS SEA; TREMATOMUS NOTOTHENIOIDEI; PERCIFORMES; ARTEDIDRACONIDAE; PISCES; GENUS; PLUNDERFISH; ISLANDS; ICEFISH; FAMILY</t>
  </si>
  <si>
    <t>We provide our perspective on the species-level taxonomy of notothenioid fishes, the dominant component of the fish fauna of Antarctica. There are 140 species in 45 genera, an increase of 15% since the previous summary in 2000. Biogeographically, 30 species are non-Antarctic, 33 are sub-Antarctic and 77 are Antarctic. The checklist is documented with footnotes that provide the rationale for our decisions. Supplementary Material provides additional details for our decisions on two species of Pogonophryne.</t>
  </si>
  <si>
    <t>[Eastman, Joseph T.] Ohio Univ, Dept Biomed Sci, Athens, OH 45701 USA; [Eakin, Richard R.] 31223 Jonston Rd, Guys Mills, PA 16327 USA</t>
  </si>
  <si>
    <t>University System of Ohio; Ohio University</t>
  </si>
  <si>
    <t>Eastman, JT (corresponding author), Ohio Univ, Dept Biomed Sci, Athens, OH 45701 USA.</t>
  </si>
  <si>
    <t>eastman@ohio.edu</t>
  </si>
  <si>
    <t>Eastman, Joseph T./O-6150-2019</t>
  </si>
  <si>
    <t>Eastman, Joseph T./0000-0003-3868-261X</t>
  </si>
  <si>
    <t>10.1017/S0954102020000632</t>
  </si>
  <si>
    <t>WOS:000668615200006</t>
  </si>
  <si>
    <t>Barlett, EMR; Sierra, ME; Costa, AJ; Tosonotto, GV</t>
  </si>
  <si>
    <t>Ruiz Barlett, E. M.; Sierra, M. E.; Costa, A. J.; Tosonotto, G. V.</t>
  </si>
  <si>
    <t>Interannual variability of hydrographic properties in Potter Cove during summers between 2010 and 2017</t>
  </si>
  <si>
    <t>Antarctic fjord; ENSO; King George Island; meltwater; oceanographic and meteorological parameters; SAM</t>
  </si>
  <si>
    <t>KING-GEORGE-ISLAND; ANTARCTICA; ENSO; ICE; SEDIMENT; BAYS</t>
  </si>
  <si>
    <t>The temporal and spatial variability of oceanographic properties in Potter Cove was analysed for the 2010-17 summer periods. This was linked with meteorological parameters and sea ice. The water column structure presented significant differences in turbidity between two areas (away from and closer to the Fourcade Glacier). The recent retreat has been transforming it into a land terminating glacier. Therefore, correlations obtained between oceanographic properties near the glacier and meteorological parameters reveal that atmospheric conditions are the main forcing of the Potter system, in agreement with previous studies. Also, high turbidity values within deeper waters in 2013 and 2014 were probably related to resuspended glacial sediment input into the cove. Interannual variability observed in the local parameters was connected to ENSO and SAM, reflecting a larger connection with ENSO, mainly in longer timescales. Colder waters during the 2010 and 2016 El Nino phases could be related to lower air temperature. In summer 2010 during a negative SAM phase, colder, more saline and low turbid waters were observed. Alternatively, in 2012 during La Nina and positive SAM, warmer, fresher and more turbid conditions were found with high vertical stratification. Finally, during 2015 (positive SAM), warmer and low salinity waters were observed.</t>
  </si>
  <si>
    <t>[Ruiz Barlett, E. M.; Sierra, M. E.; Costa, A. J.; Tosonotto, G. V.] Inst Antartico Argentino, Av 25 Mayo 1143 B1650HMK, Buenos Aires, DF, Argentina; [Ruiz Barlett, E. M.] Inst Antartico Argentino, Dept Oceanog, Av 25 Mayo 1143 B1650HMK, Buenos Aires, DF, Argentina</t>
  </si>
  <si>
    <t>Instituto Antartico Argentino; Instituto Antartico Argentino</t>
  </si>
  <si>
    <t>Barlett, EMR (corresponding author), Inst Antartico Argentino, Av 25 Mayo 1143 B1650HMK, Buenos Aires, DF, Argentina.;Barlett, EMR (corresponding author), Inst Antartico Argentino, Dept Oceanog, Av 25 Mayo 1143 B1650HMK, Buenos Aires, DF, Argentina.</t>
  </si>
  <si>
    <t>eruizbarlett@yahoo.com.ar</t>
  </si>
  <si>
    <t>Ruiz Barlett, Eduardo Mariano/0000-0002-2704-0964; Sierra, Marta Eugenia/0000-0003-4196-6621</t>
  </si>
  <si>
    <t>EU [319718]</t>
  </si>
  <si>
    <t>EU(European Union (EU))</t>
  </si>
  <si>
    <t>This work was performed at Carlini Station within the framework of the scientific collaboration between Instituto Antartico Argentino (IAA) / Direccion Nacional del Antartico (DNA) and the Alfred Wegener Institute, Helmholtz Centre for Polar and Marine Research (AWI). Also, thanks to the technicians Alejandro Ulrich and Oscar Gonzalez and PhD. Doris Abele for their cooperation during the work in Antarctica. We would also like to thank all, Prefectura Naval Argentina and Ejercito Argentino staff at Carlini Station, who during the period 2010-17 collaborated in the field activities necessary to collect all the data presented here. Thanks to Camila Neder for her assistance in compiling the CTD data. We would also like to thank Silvia Rodriguez for providing language help and Lucas Martinez Alvarez for his statistical assistance. In addition, we thank the reviewers for their helpful comments. The present manuscript presents an outcome of the EU project IMCONet (FP7 IRSES, Action No. 319718).</t>
  </si>
  <si>
    <t>PII S0954102020000668</t>
  </si>
  <si>
    <t>10.1017/S0954102020000668</t>
  </si>
  <si>
    <t>WOS:000668615200007</t>
  </si>
  <si>
    <t>Verfaillie, D; Charton, J; Schimmelpfennig, I; Stroebele, Z; Jomelli, V; Bétard, F; Favier, V; Cavero, J; Berthier, E; Goosse, H; Rinterknecht, V; Legentil, C; Charrassin, R; Aumaître, G; Bourlès, DL; Keddadouche, K</t>
  </si>
  <si>
    <t>Verfaillie, Deborah; Charton, Joanna; Schimmelpfennig, Irene; Stroebele, Zoe; Jomelli, Vincent; Betard, Francois; Favier, Vincent; Cavero, Julien; Berthier, Etienne; Goosse, Hugues; Rinterknecht, Vincent; Legentil, Claude; Charrassin, Raphaelle; Aumaitre, Georges; Bourles, Didier L.; Keddadouche, Karim</t>
  </si>
  <si>
    <t>Evolution of the Cook Ice Cap (Kerguelen Islands) between the last centuries and 2100 ce based on cosmogenic dating and glacio-climatic modelling</t>
  </si>
  <si>
    <t>degree-day glaciological model; future projections; glacial fluctuations; in situ cosmogenic chlorine-36 dating; moraines; sub-Antarctic islands</t>
  </si>
  <si>
    <t>NEW-ZEALAND; FLUCTUATIONS</t>
  </si>
  <si>
    <t>The Cook Ice Cap (CIC) on the sub-Antarctic Kerguelen Islands recently experienced extremely negative surface mass balance. Further deglaciation could have important impacts on endemic and invasive fauna and flora. To put this exceptional glacier evolution into a multi-centennial-scale context, we refined the evolution of the CIC over the last millennium, investigated the associated climate conditions and explored its potential evolution by 2100 ce. A glaciological model, constrained by cosmic ray exposure dating of moraines, historical documents and recent direct mass balance observations, was used to simulate the ice-cap extents during different phases of advance and retreat between the last millennium and 2100 ce. Cosmogenic dating suggests glacial advance around the early Little Ice Age (LIA), consistent with findings from other sub-Antarctic studies, and the rather cold and humid conditions brought about by the negative phase of the Southern Annular Mode (SAM). This study contributes to our currently limited understanding of palaeoclimate for the early LIA in the southern Indian Ocean. Glaciological modelling and observations confirm the recent decrease in CIC extent linked to the intensification of the SAM. Although affected by large uncertainties, future simulations suggest a complete disappearance of CIC by the end of the century.</t>
  </si>
  <si>
    <t>[Verfaillie, Deborah; Goosse, Hugues] Catholic Univ Louvain, Earth &amp; Life Inst, Louvain La Neuve, Belgium; [Charton, Joanna; Schimmelpfennig, Irene; Jomelli, Vincent; Rinterknecht, Vincent; Aumaitre, Georges; Bourles, Didier L.; Keddadouche, Karim] Aix Marseille Univ, CNRS, IRD, Coll France,INRAE,UM CEREGE 34, Aix En Provence, France; [Stroebele, Zoe; Cavero, Julien; Legentil, Claude] Univ Paris 1 Pantheon Sorbonne, CNRS, Lab Geog Phys, Meudon, France; [Betard, Francois] Univ Paris, Lab PRODIG, UFR Geog Hist Econ &amp; Soc GHES, CNRS,UMR 8586, Paris, France; [Favier, Vincent] Univ Grenoble Alpes, CNRS, IGE, Grenoble, France; [Berthier, Etienne; Charrassin, Raphaelle] Univ Toulouse, CNES, CNRS, LEGOS,IRD,UPS, Toulouse, France</t>
  </si>
  <si>
    <t>Universite Catholique Louvain; INRAE; Centre National de la Recherche Scientifique (CNRS); Universite PSL; College de France; Institut de Recherche pour le Developpement (IRD); Aix-Marseille Universite; Centre National de la Recherche Scientifique (CNRS); Universite Paris-Est-Creteil-Val-de-Marne (UPEC); Sorbonne Universite; Universite Paris Cite; Centre National de la Recherche Scientifique (CNRS); CNRS - Institute for Humanities &amp; Social Sciences (INSHS); Centre National de la Recherche Scientifique (CNRS); Communaute Universite Grenoble Alpes; Universite Grenoble Alpes (UGA); Universite de Toulouse; Universite Toulouse III - Paul Sabatier; Centre National de la Recherche Scientifique (CNRS); Institut de Recherche pour le Developpement (IRD); Laboratoire d'Etudes en Geophysique et oceanographie spatiales</t>
  </si>
  <si>
    <t>Verfaillie, D (corresponding author), Catholic Univ Louvain, Earth &amp; Life Inst, Louvain La Neuve, Belgium.</t>
  </si>
  <si>
    <t>deborah.verfaillie@gmail.com</t>
  </si>
  <si>
    <t>Charton, Joanna/ABB-9286-2021; Berthier, Etienne/B-8900-2009; Favier, Vincent/T-1936-2017</t>
  </si>
  <si>
    <t>Charton, Joanna/0000-0002-2625-8793; Berthier, Etienne/0000-0001-5978-9155; Cavero, Julien/0000-0003-2158-3420; Schimmelpfennig, Irene/0000-0001-8145-9160; Favier, Vincent/0000-0001-6024-9498</t>
  </si>
  <si>
    <t>LabEx DynamiTe [ANR-11-LABX-0046]; French INSU LEFE Glacepreker project; IPEV Kesaaco 1048 project; INSU/CNRS; ANR through the 'Projets thematiques d'excellence' programme for the 'Equipements d'excellence' ASTER-CEREGE action and IRD; French Space Agency (CNES)</t>
  </si>
  <si>
    <t>LabEx DynamiTe; French INSU LEFE Glacepreker project; IPEV Kesaaco 1048 project; INSU/CNRS(Centre National de la Recherche Scientifique (CNRS)); ANR through the 'Projets thematiques d'excellence' programme for the 'Equipements d'excellence' ASTER-CEREGE action and IRD(Agence Nationale de la Recherche (ANR)); French Space Agency (CNES)(Centre National D'etudes Spatiales)</t>
  </si>
  <si>
    <t>This work has received financial support from the LabEx DynamiTe (ANR-11-LABX-0046) Les Envahisseurs, as part of the 'Investissements d'Avenir' programme. This paper was also supported by the French INSU LEFE Glacepreker project and by the IPEV Kesaaco 1048 project. Logistical supply to the Kerguelen Islands was provided by the French Polar Institute. The 36Cl measurements were performed at the ASTER AMS national facility (CEREGE, Aix-en-Provence) that is supported by the INSU/CNRS, the ANR through the 'Projets thematiques d'excellence' programme for the 'Equipements d'excellence' ASTER-CEREGE action and IRD. EB acknowledges support from the French Space Agency (CNES).</t>
  </si>
  <si>
    <t>PII S0954102021000080</t>
  </si>
  <si>
    <t>10.1017/S0954102021000080</t>
  </si>
  <si>
    <t>WOS:000668615200008</t>
  </si>
  <si>
    <t>Le Bel, DA; Zappa, CJ; Budillon, G; Gordon, AL</t>
  </si>
  <si>
    <t>Le Bel, Deborah A.; Zappa, Christopher J.; Budillon, Giorgio; Gordon, Arnold L.</t>
  </si>
  <si>
    <t>Salinity response to atmospheric forcing of the Terra Nova Bay polynya, Antarctica</t>
  </si>
  <si>
    <t>High Salinity Shelf Water; ocean-atmosphere interaction; polynyas; salinity response</t>
  </si>
  <si>
    <t>ROSS SEA; ICE PRODUCTION; VARIABILITY; TEMPERATURE; AREA</t>
  </si>
  <si>
    <t>The density and salinity of High Salinity Shelf Water, a key component of Antarctic Bottom Water emanating from the Ross Sea, are intensified by brine rejection induced by ice formation within the Terra Nova Bay (TNB) polynya. Ocean mooring data from 2007, meteorological observations from automatic weather stations and a satellite-derived history of the opening of TNB polynya delineate variability in water column salinity linked to atmospheric forcing, with a period on the order of 10 days. Lagged correlation analysis indicates that on average salinity response lags the polynya opening by 2 days and the wind forcing by 5 days. We find stronger correlations of salinity with the wind during March through May and with the polynya open-water fraction during June through October, with decreasing lags in the latter period. A one-dimensional mixed-layer model incorporating thermodynamic ice formation captures the oscillations in salinity. A process study shows that the variability in the polynya open-water fraction governs the final salinity attained by the model as well as the salinity cycling. Variability in surface heat fluxes modulates that effect. Our work suggests that there is a more complex relationship between salinity, the polynya open-water fraction, and atmospheric forcing than previously suggested.</t>
  </si>
  <si>
    <t>[Le Bel, Deborah A.; Zappa, Christopher J.; Gordon, Arnold L.] Columbia Univ, Lamont Doherty Earth Observ, Palisades, NY 10964 USA; [Budillon, Giorgio] Univ Napoli Parthenope, Ctr Direz, Isola C4, I-80143 Naples, Italy</t>
  </si>
  <si>
    <t>Columbia University; Parthenope University Naples</t>
  </si>
  <si>
    <t>Zappa, CJ (corresponding author), Columbia Univ, Lamont Doherty Earth Observ, Palisades, NY 10964 USA.</t>
  </si>
  <si>
    <t>zappa@ldeo.columbia.edu</t>
  </si>
  <si>
    <t>; Gordon, Arnold L./H-1049-2011</t>
  </si>
  <si>
    <t>Zappa, Christopher J/0000-0003-0041-2913; Gordon, Arnold L./0000-0001-6480-6095</t>
  </si>
  <si>
    <t>NSF [ANT-0739519, ANT-1341688]; Italian National Program for Antarctic Research [PNRA-PdR 2009/A2.04, OSS-13 MORSea, 2009/B.09]</t>
  </si>
  <si>
    <t>NSF(National Science Foundation (NSF)); Italian National Program for Antarctic Research</t>
  </si>
  <si>
    <t>This work was supported by NSF Award Nos. ANT-0739519 and ANT-1341688 to Lamont-Doherty Earth Observatory of Columbia University. Logistical and financial support for CLIMA, MORSea and T-Rex projects was provided by the Italian National Program for Antarctic Research (PNRA-PdR 2009/A2.04, OSS-13 MORSea and T-Rex; 2009/B.09).</t>
  </si>
  <si>
    <t>PII S0954102021000146</t>
  </si>
  <si>
    <t>10.1017/S0954102021000146</t>
  </si>
  <si>
    <t>WOS:000668615200009</t>
  </si>
  <si>
    <t>Lösing, M; Ebbing, J</t>
  </si>
  <si>
    <t>Loesing, M.; Ebbing, J.</t>
  </si>
  <si>
    <t>Predicting Geothermal Heat Flow in Antarctica With a Machine Learning Approach</t>
  </si>
  <si>
    <t>heat flow; Antarctica; machine learning; gradient boosting regression</t>
  </si>
  <si>
    <t>UPPER-MANTLE; CRUSTAL COMPOSITION; WEST ANTARCTICA; FLUX; ICE; GONDWANA; MODEL; EVOLUTION; LITHOSPHERE; TOPOGRAPHY</t>
  </si>
  <si>
    <t>We present a machine learning approach to statistically derive geothermal heat flow (GHF) for Antarctica. The adopted approach estimates GHF from multiple geophysical and geological data sets, assuming that GHF is substantially related to the geodynamic setting of the plates. We apply a Gradient Boosted Regression Tree algorithm to find an optimal prediction model relating GHF to the observables. The geophysical and geological features are primarily global data sets, which are often unreliable in polar regions due to limited data coverage. Quality and reliability of the data sets are reviewed and discussed in line with the estimated GHF model. Predictions for Australia, where an extensive database of GHF measurements exists, demonstrate the validity of the approach. In Antarctica, only a sparse number of direct GHF measurements are available. Therefore, we explore the use of regional data sets of Antarctica and its tectonic Gondwana neighbors to refine the predictions. With this, we demonstrate the need for adding reliable data to the machine learning approach. Finally, we present a new geothermal heat flow map, which exhibits intermediate values compared to previous models, ranging from 35 to 156 mW/m(2), and visible connections to the conjugate margins in Australia, Africa, and India.</t>
  </si>
  <si>
    <t>[Loesing, M.; Ebbing, J.] Univ Kiel, Inst Geosci, Kiel, Germany</t>
  </si>
  <si>
    <t>University of Kiel</t>
  </si>
  <si>
    <t>Lösing, M (corresponding author), Univ Kiel, Inst Geosci, Kiel, Germany.</t>
  </si>
  <si>
    <t>mareen.loesing@ifg.uni-kiel.de</t>
  </si>
  <si>
    <t>Ebbing, Joerg/B-8796-2013</t>
  </si>
  <si>
    <t>Ebbing, Joerg/0000-0001-7492-5338; Losing, Mareen/0000-0002-9222-2107</t>
  </si>
  <si>
    <t>Deutsche Forschungsgemeinschaft (DFG) [SPP 1158, EB 255/8-1]</t>
  </si>
  <si>
    <t>We thank the editor and two anonymous reviewers for their constructive criticism that helped to improve our manuscript. This work was supported by the Deutsche Forschungsgemeinschaft (DFG) in the framework of the priority programme Antarctic Research with comparative investigations in Arctic ice areas SPP 1158 by a grant (Grant No. EB 255/8-1). Open access funding enabled and organized by Projekt DEAL.</t>
  </si>
  <si>
    <t>e2020JB021499</t>
  </si>
  <si>
    <t>10.1029/2020JB021499</t>
  </si>
  <si>
    <t>SX4WE</t>
  </si>
  <si>
    <t>WOS:000665206200022</t>
  </si>
  <si>
    <t>Corbea-Pérez, A; Calleja, JF; Recondo, C; Fernández, S</t>
  </si>
  <si>
    <t>Corbea-Perez, Alejandro; Calleja, Javier F.; Recondo, Carmen; Fernandez, Susana</t>
  </si>
  <si>
    <t>Evaluation of the MODIS (C6) Daily Albedo Products for Livingston Island, Antarctic</t>
  </si>
  <si>
    <t>albedo; Antarctica; MODIS snow albedo; in-situ albedo; albedo trend</t>
  </si>
  <si>
    <t>LAND-SURFACE ALBEDO; SOLAR ZENITH ANGLE; SNOW ALBEDO; ICE-SHEET; INTERANNUAL VARIABILITY; ENERGY-BALANCE; HAIG GLACIER; SEA-ICE; GREENLAND; REFLECTANCE</t>
  </si>
  <si>
    <t>Although extensive research of Moderate Resolution Imaging Spectroradiometer (MODIS) albedo data is available on the Greenland Ice Sheet, there is a lack of studies evaluating MODIS albedo products over Antarctica. In this paper, MOD10A1, MYD10A1, and MCD43 (C6) daily albedo products were compared with the in situ albedo data on Livingston Island, South Shetland Islands (SSI), Antarctica, from 2006 to 2015, for both all-sky and clear-sky conditions, and for the entire study period and only the southern summer months. This is the first evaluation in which MYD10A1 and MCD43 are also included, which can be used to improve the accuracy of the snow BRDF/albedo modeling. The best correlation was obtained with MOD10A1 in clear-sky conditions (r = 0.7 and RMSE = 0.042). With MCD43, only data from the backup algorithm could be used, so the correlations obtained were lower (r = 0.6). However, it was found that there was no significant difference between the values obtained for all-sky and for clear-sky data. In addition, the MODIS products were found to describe the in situ data trend, with increasing albedo values in the range between 0.04 decade(-1) and 0.16 decade(-1). We conclude that MODIS daily albedo products can be applied to study the albedo in the study area.</t>
  </si>
  <si>
    <t>[Corbea-Perez, Alejandro; Recondo, Carmen] Univ Oviedo, Dept Min Exploitat &amp; Prospecting, Remote Sensing Applicat RSApps Res Grp, Mieres 33600, Spain; [Calleja, Javier F.] Univ Oviedo, Dept Phys, Remote Sensing Applicat RSApps Res Grp, Oviedo 33007, Spain; [Fernandez, Susana] Univ Oviedo, Dept Geol, Math Modelling MOMA Res Grp, Oviedo 33005, Spain</t>
  </si>
  <si>
    <t>University of Oviedo; University of Oviedo; University of Oviedo</t>
  </si>
  <si>
    <t>Corbea-Pérez, A (corresponding author), Univ Oviedo, Dept Min Exploitat &amp; Prospecting, Remote Sensing Applicat RSApps Res Grp, Mieres 33600, Spain.</t>
  </si>
  <si>
    <t>corbeaalejandro@uniovi.es; jfcalleja@uniovi.es; mdrecondo@uniovi.es; fernandezmsusana@uniovi.es</t>
  </si>
  <si>
    <t>Recondo, Carmen/B-1215-2012; Pérez, Alejandro I Corbea/I-4944-2018; Calleja, Javier/K-8230-2014; Fernandez, Susana/IUQ-3116-2023</t>
  </si>
  <si>
    <t>Recondo, Carmen/0000-0001-9813-6798; Calleja, Javier/0000-0003-0536-9934; Corbea Perez, Alejandro Ibrahim/0000-0001-5089-7299</t>
  </si>
  <si>
    <t>Spanish Ministry of Economy, project PERMASNOW [CTM2014-52021-R]; University of Oviedo, Spain [GR-2016-0005]; Government of the Principality of Asturias [BP17-151]; University of Oviedo</t>
  </si>
  <si>
    <t>Spanish Ministry of Economy, project PERMASNOW; University of Oviedo, Spain; Government of the Principality of Asturias(Principality of Asturias); University of Oviedo</t>
  </si>
  <si>
    <t>This work was funded by the Spanish Ministry of Economy, project PERMASNOW (CTM2014-52021-R). The Remote Sensing Applications (RSApps) Research Group (GR-2016-0005) was funded by the University of Oviedo, Spain. A. Corbea-Perez acknowledges funding from the Ph.D. Grants: Severo Ochoa from the Government of the Principality of Asturias [BP17-151] and Predoctoral Grant from the University of Oviedo.</t>
  </si>
  <si>
    <t>10.3390/rs13122357</t>
  </si>
  <si>
    <t>SZ1XJ</t>
  </si>
  <si>
    <t>WOS:000666366700001</t>
  </si>
  <si>
    <t>Esse, C; Correa-Araneda, F; Acuña, C; Santander-Massa, R; De los Ríos-Escalante, P; Saavedra, P; Jaque-Jaramillo, X; Moreno, R; García-Meneses, PM; Soto, DP</t>
  </si>
  <si>
    <t>Esse, Carlos; Correa-Araneda, Francisco; Acuna, Cristian; Santander-Massa, Rodrigo; De los Rios-Escalante, Patricio; Saavedra, Pablo; Jaque-Jaramillo, Ximena; Moreno, Roberto; Massyel Garcia-Meneses, Paola; Soto, Daniel P.</t>
  </si>
  <si>
    <t>Structure, Diversity, and Environmental Determinants of High-Latitude Threatened Conifer Forests</t>
  </si>
  <si>
    <t>FORESTS</t>
  </si>
  <si>
    <t>sub-Antarctic; Patagonia; Pilgerodendron uviferum; biodiversity indexes; Kawesqar National Park; WorldClim; SoilGrids</t>
  </si>
  <si>
    <t>PILGERODENDRON-UVIFERUM; OLD-GROWTH; BIODIVERSITY; VEGETATION</t>
  </si>
  <si>
    <t>Pilgerodendron uviferum (D. Don) Florin is an endemic, threatened conifer that grows in South America. In the sub-Antarctic territory, one of the most isolated places in the world, some forest patches remain untouched since the last glaciation. In this study, we analyze the tree structure and tree diversity and characterize the environmental conditions where P. uviferum-dominated stands develop within the Magellanic islands in Kawesqar National Park, Chile. An environmental matrix using the databases WorldClim and SoilGrids and local topography variables was used to identify the main environmental variables that explain the P. uviferum-dominated stands. PCA was used to reduce the environmental variables, and PERMANOVA and nMDS were used to evaluate differences among forest communities. The results show that two forest communities are present within the Magellanic islands. Both forest communities share the fact that they can persist over time due to the high water table that limits the competitive effect from other tree species less tolerant to high soil water table and organic matter. Our results contribute to knowledge of the species' environmental preference and design conservation programs.</t>
  </si>
  <si>
    <t>[Esse, Carlos; Correa-Araneda, Francisco; Acuna, Cristian; Santander-Massa, Rodrigo; Jaque-Jaramillo, Ximena; Moreno, Roberto] Univ Autonoma Chile, Inst Iberoamer Desarrollo Sostenible IIDS, Unidad Cambio Climat &amp; Medio Ambiente UCCMA, Ave Alemania 01090, Temuco 4780000, Chile; [De los Rios-Escalante, Patricio] Univ Catolica Temuco, Fac Recursos Nat, Dept Ciencias Biol &amp; Quim, Ave Rudecindo Ortega 02950 Campus San Juan Pablo, Temuco 4780000, Chile; [De los Rios-Escalante, Patricio] Univ Catolica Temuco, Nucleo Estudios Ambientales, Temuco 4780000, Chile; [Saavedra, Pablo] Univ Austral Chile, Fac Ciencias Forestales &amp; Recursos Nat, Escuela Graduados, Valdivia 5090000, Chile; [Massyel Garcia-Meneses, Paola] Univ Nacl Autonoma Mexico, Inst Ecol, Lab Nacl Ciencias Sostenibilidad LANCIS, Ciudad De Mexico 04510, Mexico; [Soto, Daniel P.] Univ Aysen, Dept Ciencias Nat &amp; Tecnol, Coyhaique 5950000, Chile</t>
  </si>
  <si>
    <t>Universidad Autonoma de Chile; Universidad Catolica de Temuco; Universidad Catolica de Temuco; Universidad Austral de Chile; Universidad Nacional Autonoma de Mexico</t>
  </si>
  <si>
    <t>Esse, C (corresponding author), Univ Autonoma Chile, Inst Iberoamer Desarrollo Sostenible IIDS, Unidad Cambio Climat &amp; Medio Ambiente UCCMA, Ave Alemania 01090, Temuco 4780000, Chile.</t>
  </si>
  <si>
    <t>carlos.esse@uautonoma.cl; francisco.correa@uautonoma.cl; cristian.acuna.loyola@gmail.com; rodrigo.santander@uautonoma.cl; prios@uct.cl; psaavedra@proyectos.uct.cl; ximena.jaque.jaramillo@gmail.com; roberto.moreno@uautonoma.cl; paola.garcia@ecologia.unam.mx; daniel.soto@uaysen.cl</t>
  </si>
  <si>
    <t>De los Rios Escalante, Patricio R./E-2775-2014; Garcia, Paola/JRW-9253-2023; Soto, Daniel/AAG-9627-2020; Moreno, Roberto/AAR-8808-2021</t>
  </si>
  <si>
    <t>De los Rios Escalante, Patricio R./0000-0001-5056-7003; Garcia, Paola/0000-0001-8065-399X; Soto, Daniel/0000-0002-7119-8558; Moreno, Roberto/0000-0002-9789-0905; Saavedra Briones, Pablo/0000-0002-9762-1991; Acuna, Cristian/0000-0003-2811-3018</t>
  </si>
  <si>
    <t>National Forestry Corporation (CONAF) of Chile; FONDECYT Projects of ANID Chile [11160650, 11170390]; Project MECESUP [UCT 0804]</t>
  </si>
  <si>
    <t>National Forestry Corporation (CONAF) of Chile; FONDECYT Projects of ANID Chile; Project MECESUP</t>
  </si>
  <si>
    <t>This research was funded by the National Forestry Corporation (CONAF) of Chile and FONDECYT Projects, grant numbers 11160650 and 11170390 of ANID Chile, and Project MECESUP UCT 0804.</t>
  </si>
  <si>
    <t>1999-4907</t>
  </si>
  <si>
    <t>Forests</t>
  </si>
  <si>
    <t>10.3390/f12060775</t>
  </si>
  <si>
    <t>Forestry</t>
  </si>
  <si>
    <t>SZ8CY</t>
  </si>
  <si>
    <t>WOS:000666787300001</t>
  </si>
  <si>
    <t>Dragone, NB; Diaz, MA; Hogg, I; Lyons, WB; Jackson, WA; Wall, DH; Adams, BJ; Fierer, N</t>
  </si>
  <si>
    <t>Dragone, Nicholas B.; Diaz, Melisa A.; Hogg, Ian; Lyons, W. Berry; Jackson, W. Andrew; Wall, Diana H.; Adams, Byron J.; Fierer, Noah</t>
  </si>
  <si>
    <t>Exploring the Boundaries of Microbial Habitability in Soil</t>
  </si>
  <si>
    <t>antarctica; soils; bacteria; fungi; extremophiles; astrobiology</t>
  </si>
  <si>
    <t>DRY VALLEY; BACTERIA; DESERT; DIVERSITY; MOUNTAINS; LIMITS; FUNGI; LIFE; DNA; PERCHLORATE</t>
  </si>
  <si>
    <t>Microbes are widely assumed to be capable of colonizing even the most challenging terrestrial surface environments on Earth given enough time. We would not expect to find surface soils uninhabited by microbes as soils typically harbor diverse microbial communities and viable microbes have been detected in soils exposed to even the most inhospitable conditions. However, if uninhabited soils do exist, we might expect to find them in Antarctica. We analyzed 204 ice-free soils collected from across a remote valley in the Transantarctic Mountains (84-85 degrees S, 174-177 degrees W) and were able to identify a potential limit of microbial habitability. While most of the soils we tested contained diverse microbial communities, with fungi being particularly ubiquitous, microbes could not be detected in many of the driest, higher elevation soils-results that were confirmed using cultivation-dependent, cultivation-independent, and metabolic assays. While we cannot confirm that this subset of soils is completely sterile and devoid of microbial life, our results suggest that microbial life is severely restricted in the coldest, driest, and saltiest Antarctic soils. Constant exposure to these conditions for thousands of years has limited microbial communities so that their presence and activity is below detectable limits using a variety of standard methods. Such soils are unlikely to be unique to the studied region with this work supporting previous hypotheses that microbial habitability is constrained by near-continuous exposure to cold, dry, and salty conditions, establishing the environmental conditions that limit microbial life in terrestrial surface soils.</t>
  </si>
  <si>
    <t>[Dragone, Nicholas B.; Fierer, Noah] Univ Colorado, Dept Ecol &amp; Evolutionary Biol, Boulder, CO 80309 USA; [Dragone, Nicholas B.; Fierer, Noah] Cooperat Inst Res Environm Sci, Boulder, CO 80309 USA; [Diaz, Melisa A.; Lyons, W. Berry] Ohio State Univ, Sch Earth Sci, Lubbock, OH USA; [Diaz, Melisa A.; Lyons, W. Berry] Ohio State Univ, Byrd Polar &amp; Climate Res Ctr, Lubbock, OH USA; [Diaz, Melisa A.] Woods Hole Oceanog Inst, Dept Geol &amp; Geophys &amp; Appl Ocean Phys &amp; Engn, Falmouth, MA USA; [Hogg, Ian] Polar Knowledge Canada, Canadian High Arctic Res Stn, Cambridge Bay, NU, Canada; [Hogg, Ian] Univ Waikato, Sch Sci, Hamilton, New Zealand; [Jackson, W. Andrew] Texas Tech Univ, Dept Civil Environm &amp; Construct Engn, Lubbock, TX 79409 USA; [Wall, Diana H.] Colorado State Univ, Dept Biol, Ft Collins, CO 80523 USA; [Wall, Diana H.] Colorado State Univ, Sch Global Environm Stainabil, Ft Collins, CO 80523 USA; [Adams, Byron J.] Brigham Young Univ, Dept Biol Evolutionary Ecol Labs, Provo, UT 84602 USA; [Adams, Byron J.] Brigham Young Univ, Monte L Bean Museum, Provo, UT 84602 USA</t>
  </si>
  <si>
    <t>University of Colorado System; University of Colorado Boulder; University System of Ohio; Ohio State University; University System of Ohio; Ohio State University; Woods Hole Oceanographic Institution; University of Waikato; Texas Tech University System; Texas Tech University; Colorado State University; Colorado State University; Brigham Young University; Brigham Young University</t>
  </si>
  <si>
    <t>Dragone, NB; Fierer, N (corresponding author), Univ Colorado, Dept Ecol &amp; Evolutionary Biol, Boulder, CO 80309 USA.;Dragone, NB; Fierer, N (corresponding author), Cooperat Inst Res Environm Sci, Boulder, CO 80309 USA.</t>
  </si>
  <si>
    <t>nidr7164@colorado.edu; Noah.fierer@colorado.edu</t>
  </si>
  <si>
    <t>Jackson, William/B-8999-2009; Wall, Diana H/F-5491-2011; Adams, Byron J/C-3808-2009; Hogg, Ian D./HNS-7393-2023</t>
  </si>
  <si>
    <t>Jackson, William/0000-0003-4232-4364; Hogg, Ian D./0000-0002-6685-0089; Dragone, Nicholas/0000-0002-8983-6482; Diaz, Melisa/0000-0001-6657-358X; Wall, Diana H./0000-0002-9466-5235</t>
  </si>
  <si>
    <t>U.S. National Science Foundation [ANT 1341629, OPP 1637708]; University Colorado Department of Ecology and Evolutionary Biology</t>
  </si>
  <si>
    <t>U.S. National Science Foundation(National Science Foundation (NSF)); University Colorado Department of Ecology and Evolutionary Biology</t>
  </si>
  <si>
    <t>We thank Jessica Henley, Matthew Gebert, Savanna Pierce, Brett Davidheiser-Kroll, Katie Snell, Sebastian Kopf, Marci Shaver-Adams, Natasha Griffin, Thomas Powers, Alyssa Pike, Kevin Dickerson, and Daniel Gilbert for their help with the laboratory analyses, Cecilia Milano de Tomasei for help with permits, stores, sample shipment, and Marci Shaver-Adams and Geoff Schellens for help with sample collection and field safety support. We also thank the pilots and technicians of PHI helicopters, and the Shackleton Glacier camp staff for supporting our field campaign. Craig Cary provided feedback on several aspects of the project. This work was supported by grants from the U.S. National Science Foundation (ANT 1341629 to B. J. Adams, N. Fierer, W. Berry Lyons, and D. H. Wall and OPP 1637708 to B. J. Adams) with additional support provided to N. B. Dragone from University Colorado Department of Ecology and Evolutionary Biology. The authors declare no competing interests.</t>
  </si>
  <si>
    <t>e2020JG006052</t>
  </si>
  <si>
    <t>10.1029/2020JG006052</t>
  </si>
  <si>
    <t>SZ2YE</t>
  </si>
  <si>
    <t>WOS:000666436400021</t>
  </si>
  <si>
    <t>Coleine, C; Selbmann, L; Pombubpa, N; Stajich, JE</t>
  </si>
  <si>
    <t>Coleine, Claudia; Selbmann, Laura; Pombubpa, Nuttapon; Stajich, Jason E.</t>
  </si>
  <si>
    <t>Amplicon Sequencing of Rock-Inhabiting Microbial Communities from Joshua Tree National Park, USA</t>
  </si>
  <si>
    <t>Endolithic microorganisms have been reported to date in hot and cold drylands worldwide, where they represent the prevailing life forms ensuring ecosystem functionality, playing a paramount role in global biogeochemical processes. We report here an amplicon sequencing characterization of rocks collected from Joshua Tree National Park (JTNP), USA.</t>
  </si>
  <si>
    <t>[Coleine, Claudia; Selbmann, Laura] Univ Tuscia, Dept Ecol &amp; Biol Sci, Viterbo, Italy; [Selbmann, Laura] Italian Antarctic Natl Museum MNA, Mycol Sect, Genoa, Italy; [Pombubpa, Nuttapon; Stajich, Jason E.] Univ Calif Riverside, Dept Microbiol &amp; Plant Pathol, Riverside, CA 92521 USA; [Pombubpa, Nuttapon; Stajich, Jason E.] Univ Calif Riverside, Inst Integrat Genome Biol, Riverside, CA 92521 USA</t>
  </si>
  <si>
    <t>Tuscia University; University of California System; University of California Riverside; University of California System; University of California Riverside</t>
  </si>
  <si>
    <t>Selbmann, L (corresponding author), Univ Tuscia, Dept Ecol &amp; Biol Sci, Viterbo, Italy.;Selbmann, L (corresponding author), Italian Antarctic Natl Museum MNA, Mycol Sect, Genoa, Italy.;Stajich, JE (corresponding author), Univ Calif Riverside, Dept Microbiol &amp; Plant Pathol, Riverside, CA 92521 USA.;Stajich, JE (corresponding author), Univ Calif Riverside, Inst Integrat Genome Biol, Riverside, CA 92521 USA.</t>
  </si>
  <si>
    <t>selbmann@unitus.it; jason.stajich@ucr.edu</t>
  </si>
  <si>
    <t>Stajich, Jason Eric/C-7297-2008; Selbmann, Laura/L-3056-2013; Coleine, Claudia/AAE-1889-2020</t>
  </si>
  <si>
    <t>Stajich, Jason Eric/0000-0002-7591-0020; Selbmann, Laura/0000-0002-8967-3329; Coleine, Claudia/0000-0002-9289-6179</t>
  </si>
  <si>
    <t>Italian National Program for Antarctic Research (PNRA); Royal Thai government fellowship; U.S. Department of Agriculture National Institute of Food and Agriculture Hatch project [CA-R-PPA-5062-H]; NSF [DBI-1429826]; NIH [S10-OD016290]</t>
  </si>
  <si>
    <t>Italian National Program for Antarctic Research (PNRA); Royal Thai government fellowship; U.S. Department of Agriculture National Institute of Food and Agriculture Hatch project; NSF(National Science Foundation (NSF)); NIH(United States Department of Health &amp; Human ServicesNational Institutes of Health (NIH) - USA)</t>
  </si>
  <si>
    <t>C.C. was supported by an Italian National Program for Antarctic Research (PNRA) postdoctoral fellowship. N.P. was supported by a Royal Thai government fellowship. J.E.S. is a CIFAR fellow in the Fungal Kingdom: Threats and Opportunities program. Sequencing was supported by funds through the U.S. Department of Agriculture National Institute of Food and Agriculture Hatch project CA-R-PPA-5062-H to J.E.S. Data analyses were performed on the High-Performance Computing Center at the University of California, Riverside, in the Institute of Integrative Genome Biology, supported by NSF DBI-1429826 and NIH S10-OD016290. We declare that we have no competing interests.</t>
  </si>
  <si>
    <t>e00494-21</t>
  </si>
  <si>
    <t>10.1128/MRA.00494-21</t>
  </si>
  <si>
    <t>TD0QO</t>
  </si>
  <si>
    <t>WOS:000669041400007</t>
  </si>
  <si>
    <t>Hsu, PC; Fu, Z; Murakami, H; Lee, JY; Yoo, C; Johnson, NC; Chang, CH; Liu, Y</t>
  </si>
  <si>
    <t>Hsu, Pang-Chi; Fu, Zhen; Murakami, Hiroyuki; Lee, June-Yi; Yoo, Changhyun; Johnson, Nathaniel C.; Chang, Chueh-Hsin; Liu, Yu</t>
  </si>
  <si>
    <t>East Antarctic cooling induced by decadal changes in Madden-Julian oscillation during austral summer</t>
  </si>
  <si>
    <t>CLIMATE-CHANGE; SURFACE; MJO; PROJECT</t>
  </si>
  <si>
    <t>While West Antarctica has experienced the most significant warming in the world, a profound cooling trend in austral summer was observed over East Antarctica (30 degrees W to 150 degrees E, 70 degrees to 90 degrees S) from 1979 to 2014. Previous studies attributed these changes to high-latitude atmospheric dynamics, stratospheric ozone change, and tropical sea surface temperature anomalies. We show that up to 20 to 40% of the observed summer cooling trend in East Antarctica was forced by decadal changes of the Madden-Julian oscillation (MJO). Both observational analysis and climate model experiments indicate that the decadal changes in the MJO, characterized by less (more) atmospheric deep convection in the Indian Ocean (western Pacific) during the recent two decades, led to the net cooling trend over East Antarctica through modifying atmospheric circulations linked to poleward-propagating Rossby wave trains. This study highlights that changes in intraseasonal tropical climate patterns may result in important climate change over Antarctica.</t>
  </si>
  <si>
    <t>[Hsu, Pang-Chi; Fu, Zhen; Liu, Yu] Nanjing Univ Informat Sci &amp; Technol, Minist Educ, Key Lab Meteorol Disaster, Nanjing, Peoples R China; [Murakami, Hiroyuki; Johnson, Nathaniel C.] NOAA, Geophys Fluid Dynam Lab, Princeton, NJ USA; [Murakami, Hiroyuki] Univ Corp Atmospher Res, Boulder, CO USA; [Lee, June-Yi] Pusan Natl Univ, Res Ctr Climate Sci, Busan, South Korea; [Lee, June-Yi] Inst Basic Sci, Ctr Climate Phys, Busan, South Korea; [Yoo, Changhyun] Ewha Womans Univ, Dept Climate &amp; Energy Syst Engn, Seoul, South Korea; [Chang, Chueh-Hsin] Ewha Womans Univ, Ctr Climate Environm Change Predict Res, Seoul, South Korea; [Chang, Chueh-Hsin] Natl Taiwan Univ, Dept Atmospher Sci, Taipei, Taiwan; [Liu, Yu] Hainan Meteorol Observ, Haikou, Hainan, Peoples R China; [Liu, Yu] Key Lab South China Sea Meteorol Disaster Prevent, Haikou, Hainan, Peoples R China</t>
  </si>
  <si>
    <t>Nanjing University of Information Science &amp; Technology; National Oceanic Atmospheric Admin (NOAA) - USA; National Center Atmospheric Research (NCAR) - USA; Pusan National University; Institute for Basic Science - Korea (IBS); Ewha Womans University; Ewha Womans University; National Taiwan University</t>
  </si>
  <si>
    <t>Lee, JY (corresponding author), Pusan Natl Univ, Res Ctr Climate Sci, Busan, South Korea.;Lee, JY (corresponding author), Inst Basic Sci, Ctr Climate Phys, Busan, South Korea.</t>
  </si>
  <si>
    <t>juneyi@pusan.ac.kr</t>
  </si>
  <si>
    <t>Lee, June-Yi/AAT-3407-2021; Johnson, Nathaniel/L-8045-2015; Murakami, Hiroyuki/L-5745-2015</t>
  </si>
  <si>
    <t>Lee, June-Yi/0000-0002-3986-9753; Johnson, Nathaniel/0000-0003-4906-178X; Chang, Chueh-Hsin/0000-0003-4558-9755; Fu, Zhen/0000-0002-4807-3343; Murakami, Hiroyuki/0000-0002-1816-3452</t>
  </si>
  <si>
    <t>National Key Research and Development Program of China [2018YFC1505804]; Institute for Basic Science of Korea [IBS-R028-D1]; National Research Foundation (NRF) of Korea [NRF2019R1I1A3A01058290]; National Oceanic and Atmospheric Administration, U.S. Department of Commerce [NA14OAR4320106]; [NRF-2018R1A6A1A08025520]; [NRF-2019R1C1C1003161]</t>
  </si>
  <si>
    <t>National Key Research and Development Program of China; Institute for Basic Science of Korea; National Research Foundation (NRF) of Korea(National Research Foundation of Korea); National Oceanic and Atmospheric Administration, U.S. Department of Commerce(National Oceanic Atmospheric Admin (NOAA) - USA); ;</t>
  </si>
  <si>
    <t>This work was supported by the National Key Research and Development Program of China (2018YFC1505804). J.-Y.L. was supported by the Institute for Basic Science of Korea (project code IBS-R028-D1) and the National Research Foundation (NRF) of Korea (NRF2019R1I1A3A01058290). C.Y. and C.-H.C. were supported by NRF-2018R1A6A1A08025520 and NRF-2019R1C1C1003161). N.C.J. was supported by the National Oceanic and Atmospheric Administration, U.S. Department of Commerce (NA14OAR4320106). Author contributions: P.-C.H. conceived the study and led the writing of the manuscript. J.-Y.L. oversaw the study and the writing of the manuscript. Z.F. and Y.L. analyzed the results and prepared the figures. H.M. carried out the general circulation model experiments. C.Y., N.C.J., and C.-H.C. contributed to the writing of the manuscript. All authors contributed to discussions and writing of the manuscript.</t>
  </si>
  <si>
    <t>eabf9903</t>
  </si>
  <si>
    <t>10.1126/sciadv.abf9903</t>
  </si>
  <si>
    <t>SX1NO</t>
  </si>
  <si>
    <t>WOS:000664978800005</t>
  </si>
  <si>
    <t>Jeong, HB; Kim, HK</t>
  </si>
  <si>
    <t>Jeong, Han Byeol; Kim, Hyung Kwoun</t>
  </si>
  <si>
    <t>Increased mRNA Stability and Expression Level of Croceibacter atlanticus Lipase Gene Developed through Molecular Evolution Process</t>
  </si>
  <si>
    <t>JOURNAL OF MICROBIOLOGY AND BIOTECHNOLOGY</t>
  </si>
  <si>
    <t>Lipase; Croceibacter atlanticus; error-prone PCR; enzyme production</t>
  </si>
  <si>
    <t>CANDIDA-ANTARCTICA LIPASE; ESCHERICHIA-COLI; ENGINEERING DATABASE; CODON OPTIMIZATION; PREDICTION; SELECTION; CLONING</t>
  </si>
  <si>
    <t>In order to use an enzyme industrially, it is necessary to increase the activity of the enzyme and optimize the reaction characteristics through molecular evolution techniques. We used the error-prone PCR method to improve the reaction characteristics of LipCA lipase discovered in Antarctic Croceibacter atlanticus. Recombinant Escherichia coli colonies showing large halo zones were selected in tributyrin-containing medium. The lipase activity of one mutant strain (M3-1) was significantly increased, compared to the wild-type (WT) strain. M3-1 strain produced about three times more lipase enzyme than did WT strain. After confirming the nucleotide sequence of the M3-1 gene to be different from that of the WT gene by four bases (73, 381, 756, and 822), the secondary structures of WT and M3-1 mRNA were predicted and compared by RNAfold web program. Compared to the mean free energy (MFE) of WT mRNA, that of M3-1 mRNA was lowered by 4.4 kcal/mol, and the MFE value was significantly lowered by mutations of bases 73 and 756. Site-directed mutagenesis was performed to find out which of the four base mutations actually affected the enzyme expression level. Among them, one mutant enzyme production decreased as WT enzyme production when the base 73 was changed (T -&gt; C). These results show that one base change at position 73 can significantly affect protein expression level, and demonstrate that changing the mRNA sequence can increase the stability of mRNA, and can increase the production of foreign protein in E. coli.</t>
  </si>
  <si>
    <t>[Jeong, Han Byeol; Kim, Hyung Kwoun] Catholic Univ Korea, Div Biotechnol, Bucheon 14662, South Korea</t>
  </si>
  <si>
    <t>Catholic University of Korea</t>
  </si>
  <si>
    <t>Kim, HK (corresponding author), Catholic Univ Korea, Div Biotechnol, Bucheon 14662, South Korea.</t>
  </si>
  <si>
    <t>hkkim@catholic.ac.kr</t>
  </si>
  <si>
    <t>Catholic University of Korea; Korea Polar Research Institute [PE21150]</t>
  </si>
  <si>
    <t>Catholic University of Korea; Korea Polar Research Institute(Korea Polar Research Institute of Marine Research Placement (KOPRI))</t>
  </si>
  <si>
    <t>This research was supported by the Research Fund 2020 of The Catholic University of Korea. This work was also supported by Korea Polar Research Institute (PE21150). We appreciate Ji-Woo Park and Seo-Yeon Park for their help in cloning experiment.</t>
  </si>
  <si>
    <t>KOREAN SOC MICROBIOLOGY &amp; BIOTECHNOLOGY</t>
  </si>
  <si>
    <t>KOREA SCI TECHNOL CENTER #507, 635-4 YEOGSAM-DONG, KANGNAM-GU, SEOUL 135-703, SOUTH KOREA</t>
  </si>
  <si>
    <t>1017-7825</t>
  </si>
  <si>
    <t>1738-8872</t>
  </si>
  <si>
    <t>J MICROBIOL BIOTECHN</t>
  </si>
  <si>
    <t>J. Microbiol. Biotechnol.</t>
  </si>
  <si>
    <t>10.4014/jmb.2103.03011</t>
  </si>
  <si>
    <t>TB2IU</t>
  </si>
  <si>
    <t>WOS:000667770900003</t>
  </si>
  <si>
    <t>Fox, LR; Wade, BS; Holbourn, A; Leng, MJ; Bhatia, R</t>
  </si>
  <si>
    <t>Fox, Lyndsey R.; Wade, Bridget S.; Holbourn, Ann; Leng, Melanie J.; Bhatia, Rehemat</t>
  </si>
  <si>
    <t>Temperature Gradients Across the Pacific Ocean During the Middle Miocene</t>
  </si>
  <si>
    <t>middle Miocene; equatorial Pacific Ocean; SST's; planktonic foraminifera; Mg; Ca; stable isotopes</t>
  </si>
  <si>
    <t>SEA-SURFACE TEMPERATURE; EASTERN EQUATORIAL PACIFIC; PLANKTONIC-FORAMINIFERA; MG/CA RATIO; WARM POOL; VARIABILITY; PLIOCENE; SEAWATER; RECORD; CHEMISTRY</t>
  </si>
  <si>
    <t>Sea surface temperatures (SSTs) of the tropical Pacific Ocean exert powerful controls on regional and global climates. Previous studies have suggested that during warm climate phases, the east-west temperature gradient collapsed. To date, there has been no high-resolution reconstruction of sea surface conditions in both the east and west Pacific Ocean during the Miocene Climate Optimum (MCO) and across the middle Miocene climate transition (MMCT); therefore, our understanding of the mean oceanographic state during this major global climatic shift is limited. Here, we present new SST reconstructions for the eastern Pacific Ocean (15.5-13.3 Ma) which show a clear east-west temperature gradient of similar to 4 degrees C during the warmest interval of the Neogene, implying that the oceanographic processes that produce the modern gradient were present and active. There is no shift in the east-west gradient across the MMCT indicating that the gradient was not impacted by global cooling and ice growth. We find a 2 degrees C sea surface cooling in the eastern equatorial Pacific, that lags the benthic foraminiferal delta O-18 positive shift by 150 kyr, indicating that tropical temperature did not decrease synchronously with the expansion of the Antarctic ice sheet. Reconstructed variations in the delta O-18 composition of seawater, determined by combining our Mg/Ca and delta O-18 records, reveal a freshening in the eastern Pacific Ocean after 13.8 Ma, suggesting changes in the hydrological cycle and in tropical fronts in response to the new icehouse regime.</t>
  </si>
  <si>
    <t>[Fox, Lyndsey R.; Wade, Bridget S.] Univ Leeds, Sch Earth &amp; Environm, Leeds, W Yorkshire, England; [Fox, Lyndsey R.] Univ Kingston, Sch Engn &amp; Environm, Surrey, England; [Wade, Bridget S.; Bhatia, Rehemat] UCL, Earth Sci, London, England; [Holbourn, Ann] Univ Kiel, Inst Geosci, Kiel, Germany; [Leng, Melanie J.] British Geol Survey, Natl Environm Isotope Facil, Nottingham, England; [Leng, Melanie J.] Univ Nottingham, Sch Biosci, Sutton Bonington Campus, Loughborough, Leics, England</t>
  </si>
  <si>
    <t>University of Leeds; University of London; University College London; University of Kiel; UK Research &amp; Innovation (UKRI); Natural Environment Research Council (NERC); NERC British Geological Survey; University of Nottingham</t>
  </si>
  <si>
    <t>Fox, LR (corresponding author), Univ Leeds, Sch Earth &amp; Environm, Leeds, W Yorkshire, England.;Fox, LR (corresponding author), Univ Kingston, Sch Engn &amp; Environm, Surrey, England.</t>
  </si>
  <si>
    <t>l.fox@kingston.ac.uk</t>
  </si>
  <si>
    <t>Wade, Bridget S/F-4987-2014</t>
  </si>
  <si>
    <t>Wade, Bridget S/0000-0002-7245-8614; Leng, Melanie/0000-0003-1115-5166; Holbourn, Ann/0000-0002-3167-0862; Fox, Lyndsey/0000-0002-1471-2506; Bhatia, Rehemat/0000-0003-3970-4235</t>
  </si>
  <si>
    <t>UK Natural Environment Research Council (NERC) [NE/I528750/1]; UK-IODP Rapid Response Award; NERC [NE/G014817]; NERC Isotope Geosciences Facilities [IP-1345-1112, IP-1239-0511]; Deutsche Forschungsgemeinschaft [HO233/1]; U.S. National Science Foundation; NERC [NE/I528750/1, NE/G014817/2, NE/V003917/1, bgs06003] Funding Source: UKRI</t>
  </si>
  <si>
    <t>UK Natural Environment Research Council (NERC)(UK Research &amp; Innovation (UKRI)Natural Environment Research Council (NERC)); UK-IODP Rapid Response Award; NERC(UK Research &amp; Innovation (UKRI)Natural Environment Research Council (NERC)); NERC Isotope Geosciences Facilities; Deutsche Forschungsgemeinschaft(German Research Foundation (DFG)); U.S. National Science Foundation(National Science Foundation (NSF)); NERC(UK Research &amp; Innovation (UKRI)Natural Environment Research Council (NERC))</t>
  </si>
  <si>
    <t>This research was supported by UK Natural Environment Research Council (NERC) reference number NE/I528750/1 and a UK-IODP Rapid Response Award to Lyndsey Fox, NERC grant NE/G014817 and NERC Isotope Geosciences Facilities (IP-1345-1112 and IP-1239-0511) to Bridget Wade, and the Deutsche Forschungsgemeinschaft Grant HO233/1 to Ann Holbourn. Samples were provided by the Integrated Ocean Drilling Program (IODP). IODP is sponsored by the U.S. National Science Foundation and participating countries. We thank Paul Minton, Anna Joy Drury, Mark Leckie and David Evans for discussion, and Marcus Regenberg for his assistance with Mg/Ca analyses. We are grateful to Yige Zhang and Flavia Boscolo-Galazzo for helpful constructive reviews that greatly improved the manuscript.</t>
  </si>
  <si>
    <t>e2020PA003924</t>
  </si>
  <si>
    <t>10.1029/2020PA003924</t>
  </si>
  <si>
    <t>SX2UL</t>
  </si>
  <si>
    <t>WOS:000665065500014</t>
  </si>
  <si>
    <t>Lund, DC; Chase, Z; Kohfeld, KE; Wilson, EA</t>
  </si>
  <si>
    <t>Lund, David C.; Chase, Zanna; Kohfeld, Karen E.; Wilson, Earle A.</t>
  </si>
  <si>
    <t>Tracking Southern Ocean Sea Ice Extent With Winter Water: A New Method Based on the Oxygen Isotopic Signature of Foraminifera</t>
  </si>
  <si>
    <t>foraminifera; sea ice; Southern Ocean; oxygen isotopes</t>
  </si>
  <si>
    <t>LAST GLACIAL MAXIMUM; HIGHLY BRANCHED ISOPRENOIDS; WEST ANTARCTIC PENINSULA; NEOGLOBOQUADRINA-PACHYDERMA; DEEP-WATER; PLANKTONIC-FORAMINIFERA; STABLE-ISOTOPE; SURFACE TEMPERATURE; DIATOM DISTRIBUTION; ATLANTIC SECTOR</t>
  </si>
  <si>
    <t>Southern Ocean sea ice plays a central role in the oceanic meridional overturning circulation, transforming globally prevalent watermasses through surface buoyancy loss and gain. Buoyancy loss due to surface cooling and sea ice growth promotes the formation of bottom water that flows into the Atlantic, Indian, and Pacific basins, while buoyancy gain due to sea ice melt helps transform the returning deep flow into intermediate and mode waters. Because northward expansion of Southern Ocean sea ice during the Last Glacial Maximum (LGM; 19-23 kyr BP) may have enhanced deep ocean stratification and contributed to lower atmospheric CO2 levels, reconstructions of sea ice extent are critical to understanding the LGM climate state. Here, we present a new sea ice proxy based on the O-18/O-16 ratio of foraminifera (delta O-18(c)). In the seasonal sea ice zone, sea ice formation during austral winter creates a cold surface mixed layer that persists in the sub-surface during spring and summer. The cold sub-surface layer, known as winter water, sits above relatively warm deep water, creating an inverted temperature profile. The unique surface-to-deep temperature contrast is reflected in estimates of equilibrium delta O-18(c), implying that paired analysis of planktonic and benthic foraminifera can be used to infer sea ice extent. To demonstrate the feasibility of the delta O-18(c) method, we present a compilation of N. pachyderma and Cibicidoides spp. results from the Atlantic sector that yields an estimate of winter sea ice extent consistent with modern observations.</t>
  </si>
  <si>
    <t>[Lund, David C.] Univ Connecticut, Dept Marine Sci, Groton, CT 06340 USA; [Chase, Zanna] Univ Tasmania, Inst Marine &amp; Antarctic Studies, Hobart, Tas, Australia; [Kohfeld, Karen E.] Simon Fraser Univ, Sch Resources &amp; Environm Management, Burnaby, BC, Canada; [Kohfeld, Karen E.] Simon Fraser Univ, Sch Environm Sci, Burnaby, BC, Canada; [Wilson, Earle A.] CALTECH, Div Geol &amp; Planetary Sci, Pasadena, CA 91125 USA</t>
  </si>
  <si>
    <t>University of Connecticut; University of Tasmania; Simon Fraser University; Simon Fraser University; California Institute of Technology</t>
  </si>
  <si>
    <t>Lund, DC (corresponding author), Univ Connecticut, Dept Marine Sci, Groton, CT 06340 USA.</t>
  </si>
  <si>
    <t>david.lund@uconn.edu</t>
  </si>
  <si>
    <t>; Chase, Zanna/E-9232-2013</t>
  </si>
  <si>
    <t>Kohfeld, Karen/0000-0001-7241-1624; Wilson, Earle/0000-0003-2329-5115; Chase, Zanna/0000-0001-5060-779X</t>
  </si>
  <si>
    <t>e2020PA004095</t>
  </si>
  <si>
    <t>10.1029/2020PA004095</t>
  </si>
  <si>
    <t>Bronze, Green Published, Green Accepted</t>
  </si>
  <si>
    <t>WOS:000665065500010</t>
  </si>
  <si>
    <t>Paul, F; Mielke, T; Schwarz, C; Schröder, J; Rampai, T; Skatulla, S; Audh, RR; Hepworth, E; Vichi, M; Lupascu, DC</t>
  </si>
  <si>
    <t>Paul, Felix; Mielke, Tommy; Schwarz, Carina; Schroeder, Joerg; Rampai, Tokoloho; Skatulla, Sebastian; Audh, Riesna R.; Hepworth, Ehlke; Vichi, Marcello; Lupascu, Doru C.</t>
  </si>
  <si>
    <t>Frazil Ice in the Antarctic Marginal Ice Zone</t>
  </si>
  <si>
    <t>marginal ice zone; Antarctic; frazil ice; sea ice; grease ice; rheology; viscosity</t>
  </si>
  <si>
    <t>SEA-ICE; WAVE-PROPAGATION; DISSIPATION; ATTENUATION; EVOLUTION; PANCAKE; POLAR; MODEL</t>
  </si>
  <si>
    <t>Frazil ice, consisting of loose disc-shaped ice crystals, is the first ice that forms in the annual cycle in the marginal ice zone (MIZ) of the Antarctic. A sufficient number of frazil ice crystals form the surface grease ice layer, playing a fundamental role in the freezing processes in the MIZ. As soon as the ocean waves are sufficiently damped by a frazil ice cover, a closed ice cover can form. In this article, we investigate the rheological properties of frazil ice, which has a crucial influence on the growth of sea ice in the MIZ. An in situ test setup for measuring temperature and rheological properties was developed. Frazil ice shows shear thinning flow behavior. The presented measurements enable real-data-founded modelling of the annual ice cycle in the MIZ.</t>
  </si>
  <si>
    <t>[Paul, Felix; Mielke, Tommy; Lupascu, Doru C.] Univ Duisburg Essen, Inst Mat Sci, D-45141 Essen, Germany; [Paul, Felix; Mielke, Tommy; Lupascu, Doru C.] Univ Duisburg Essen, Ctr Nanointegrat Duisburg Essen CENIDE, D-45141 Essen, Germany; [Schwarz, Carina; Schroeder, Joerg] Univ Duisburg Essen, Inst Mech, D-45141 Essen, Germany; [Rampai, Tokoloho] Univ Cape Town, Dept Chem Engn, ZA-7701 Rondebosch, South Africa; [Rampai, Tokoloho; Skatulla, Sebastian; Audh, Riesna R.; Hepworth, Ehlke; Vichi, Marcello] Univ Cape Town, Marine &amp; Antarctic Res Ctr Innovat &amp; Sustainabil, ZA-7700 Cape Town, South Africa; [Skatulla, Sebastian] Univ Cape Town, Dept Civil Engn, ZA-7701 Rondebosch, South Africa; [Audh, Riesna R.; Hepworth, Ehlke; Vichi, Marcello] Univ Cape Town, Dept Oceanog, ZA-7701 Cape Town, South Africa</t>
  </si>
  <si>
    <t>University of Duisburg Essen; University of Duisburg Essen; University of Duisburg Essen; University of Cape Town; University of Cape Town; University of Cape Town; University of Cape Town</t>
  </si>
  <si>
    <t>Lupascu, DC (corresponding author), Univ Duisburg Essen, Inst Mat Sci, D-45141 Essen, Germany.;Lupascu, DC (corresponding author), Univ Duisburg Essen, Ctr Nanointegrat Duisburg Essen CENIDE, D-45141 Essen, Germany.</t>
  </si>
  <si>
    <t>felix.paul@uni-due.de; tommy.mielke@uni-due.de; carina.schwarz@uni-due.de; j.schroeder@uni-due.de; tokoloho.rampai@uct.ac.za; sebastian.skatulla@uct.ac.za; ADHRIE001@myuct.ac.za; djnehl001@myuct.ac.za; marcello.vichi@uct.ac.za; doru.lupascu@uni-due.de</t>
  </si>
  <si>
    <t>Vichi, Marcello/GLR-9823-2022; Skatulla, Sebastian/AAU-9706-2020; Lupascu, Doru Constantin/ABC-4328-2021; Schroder, Jorg/S-2315-2016</t>
  </si>
  <si>
    <t>Vichi, Marcello/0000-0002-0686-9634; Lupascu, Doru Constantin/0000-0002-6895-1334; Audh, Riesna Reuben/0000-0002-4163-4515; Skatulla, Sebastian/0000-0003-1061-3356; Mielke, Tommy/0009-0002-4835-2817; Schroder, Jorg/0000-0001-7960-9553; Rampai, Tokoloho/0000-0002-5808-947X; Paul, Felix/0000-0002-2328-4048; Schwarz, Carina/0000-0001-7964-1908; Ncube, Mbongeni/0000-0003-0625-8451</t>
  </si>
  <si>
    <t>South African National Research Foundation (NRF) through the South African National Antarctic Programme (SANAP); Department of Science and Innovation; Department of Environmental Affairs</t>
  </si>
  <si>
    <t>The SCALE cruises are funded by the South African National Research Foundation (NRF) through the South African National Antarctic Programme (SANAP), with contributions from the Department of Science and Innovation and the Department of Environmental Affairs.</t>
  </si>
  <si>
    <t>10.3390/jmse9060647</t>
  </si>
  <si>
    <t>TA6QF</t>
  </si>
  <si>
    <t>WOS:000667372400001</t>
  </si>
  <si>
    <t>Samsonov, AA; Bogdanova, YV; Branduardi-Raymont, G; Xu, L; Zhang, J; Sormakov, D; Troshichev, OA; Forsyth, C</t>
  </si>
  <si>
    <t>Samsonov, A. A.; Bogdanova, Y., V; Branduardi-Raymont, G.; Xu, L.; Zhang, J.; Sormakov, D.; Troshichev, O. A.; Forsyth, C.</t>
  </si>
  <si>
    <t>Geosynchronous Magnetopause Crossings and Their Relationships With Magnetic Storms and Substorms</t>
  </si>
  <si>
    <t>geosynchronous magnetopause crossings; empirical magnetopause models; geostationary orbit</t>
  </si>
  <si>
    <t>INTERPLANETARY CONDITIONS; MAGNETOSPHERIC SUBSTORMS; GEOMAGNETIC-ACTIVITY; SHOCK; MODEL; GEOEFFECTIVENESS; LOCATION; ORIGIN; FIELD; SHAPE</t>
  </si>
  <si>
    <t>The paper investigates the strengthening of magnetospheric activity related to geosynchronous magnetopause crossings (GMCs). We make a list of GMC events using the empirical magnetopause model (Lin et al., 2010, ) and hourly averaged OMNI data and find which solar wind and magnetospheric conditions accompany and follow the GMCs. The GMCs are mostly caused by the impact of interplanetary coronal mass ejections (ICMEs) and/or interplanetary shocks often with a strong increase in the density and a moderate increase in velocity. The average solar wind density during the first GMC hour is higher than 20 cm(-3) in 70% cases, while the velocity is higher than 500 km/s in 56% cases. The hourly interplanetary magnetic field (IMF) B-Z is negative in 87% cases. The average over all events SMU (SML), Kp, and PC indices reach maxima (minima) in 1 h after the GMC beginning, while the delay of the minimum of the Dst index is usually 3-8 h. These average time delays do not depend on the strength of the storms and substorms. The SML (Dst) minimum is less than -500 nT (-30 nT) in the next 24 h in 95% (99%) cases, that is, the GMC events are mostly followed by magnetic storms and substorms. We compare solar wind and magnetospheric conditions for GMCs connected with ICMEs and stream interaction regions (SIRs). Our study confirms that the ICME-related events are characterized by stronger ring current and auroral activity than the SIR-related events. The difference might be explained by the different behavior of the solar wind velocity.</t>
  </si>
  <si>
    <t>[Samsonov, A. A.; Branduardi-Raymont, G.; Xu, L.; Zhang, J.; Forsyth, C.] Univ Coll London, Mullard Space Sci Lab, Dorking, Surrey, England; [Bogdanova, Y., V] Sci &amp; Technol Facil Council, RAL Space, Rutherford Appleton Lab, Didcot, Oxon, England; [Sormakov, D.; Troshichev, O. A.] Arctic &amp; Antarctic Res Inst, St Petersburg, Russia</t>
  </si>
  <si>
    <t>University of London; University College London; UK Research &amp; Innovation (UKRI); Science &amp; Technology Facilities Council (STFC); STFC Rutherford Appleton Laboratory; Arctic &amp; Antarctic Research Institute</t>
  </si>
  <si>
    <t>Samsonov, AA (corresponding author), Univ Coll London, Mullard Space Sci Lab, Dorking, Surrey, England.</t>
  </si>
  <si>
    <t>a.samsonov@ucl.ac.uk</t>
  </si>
  <si>
    <t>Samsonov, Andrey/I-7057-2012; Sormakov, Dmitry/K-1695-2014; Troshichev, Oleg/P-3848-2015; Forsyth, Colin/E-4159-2010</t>
  </si>
  <si>
    <t>Samsonov, Andrey/0000-0001-8243-1151; Sormakov, Dmitry/0000-0003-2829-5982; Branduardi-Raymont, Graziella/0000-0002-6620-6357; Troshichev, Oleg/0000-0002-7887-9831; Forsyth, Colin/0000-0002-0026-8395; Zhang, Jinge/0000-0001-8641-9627</t>
  </si>
  <si>
    <t>UK Space Agency [ST/T002964/1]; STFC RAL Space IHR grant</t>
  </si>
  <si>
    <t>UK Space Agency; STFC RAL Space IHR grant</t>
  </si>
  <si>
    <t>The authors thank Prof. Mike Hapgood for a valuable consultation on the space weather effects on the satellites outside of the magnetosphere. The authors express gratitude to Ian Richardson for a consultation on ICME events from their catalog. A.A.Samsonov and G.Branduardi-Raymont acknowledge support from the UK Space Agency under grant ST/T002964/1. Y.V.Bogdanova is supported by the STFC RAL Space IHR grant.</t>
  </si>
  <si>
    <t>e2020SW002704</t>
  </si>
  <si>
    <t>10.1029/2020SW002704</t>
  </si>
  <si>
    <t>TB3YA</t>
  </si>
  <si>
    <t>WOS:000667881500006</t>
  </si>
  <si>
    <t>Riesgo, A; Taboada, S; Kenny, NJ; Santodomingo, N; Moles, J; Leiva, C; Cox, E; Avila, C; Cardona, L; Maldonado, M</t>
  </si>
  <si>
    <t>Riesgo, Ana; Taboada, Sergi; Kenny, Nathan J.; Santodomingo, Nadia; Moles, Juan; Leiva, Carlos; Cox, Eileen; Avila, Conxita; Cardona, Luis; Maldonado, Manuel</t>
  </si>
  <si>
    <t>Recycling resources: silica of diatom frustules as a source for spicule building in Antarctic siliceous demosponges</t>
  </si>
  <si>
    <t>Antarctica; biogenic silica; biosilicification; Porifera; siliceous skeletons; Southern Ocean</t>
  </si>
  <si>
    <t>SPONGE HALICHONDRIA-PANICEA; RNA-SEQ DATA; MARINE SPONGES; ISOTOPE COMPOSITION; DECEPTION-ISLAND; WORLD OCEAN; PORIFERA; FRACTIONATION; CONSUMPTION; DIVERSITY</t>
  </si>
  <si>
    <t>Dissolved silicon (DSi) is biologically processed to produce siliceous skeletons by a variety of organisms including radiolarians, silicoflagellates, choanoflagellates, plants, diatoms and some animals. In the photic ocean, diatoms are dominant consumers over competing other silicifiers. In Antarctica, where DSi is not particularly limiting, diatoms and sponges coexist in high abundances. Interestingly, diatom ingestion by sponges is a regular feeding strategy there. Although it was known that the diatom organic nutrients are readily metabolized by the sponges, what happened to the inorganic diatom silica skeleton remained unexplored. Here, we have conducted a multi-analytical approach to investigate the processing of diatom silica and whether it is reconverted into sponge silica. We have documented widespread diatom consumption by several demosponges, identifying storage vesicles for the diatom-derived silica by electron microscopy and microanalysis. Diatom-consuming sponges showed upregulation of silicatein and silicase genes, which in addition to the delta Si-30 values of their silica, supports that the sponges are converting the ingested diatom silica into sponge silica without much further Si fractionation. Our multidisciplinary approach suggests that the reutilization of diatom silica by sponges is a common feature among Antarctic sponges, which should be further investigated in other latitudes and in other silicifiers.</t>
  </si>
  <si>
    <t>[Riesgo, Ana; Taboada, Sergi; Kenny, Nathan J.; Santodomingo, Nadia; Leiva, Carlos; Cox, Eileen] Nat Hist Museum London, Dept Life Sci, Cromwell Rd, London SW7 5BD, England; [Taboada, Sergi] Univ Autonoma Madrid, Fac Sci, Dept Biol, C Darwin St 2, Madrid 28049, Spain; [Taboada, Sergi] Univ Alcala, Dept Life Sci, Apdo 20, Alcala De Henares 28805, Spain; [Kenny, Nathan J.] Oxford Brookes Univ, Dept Biol &amp; Med Sci, Oxford OX3 0BP, England; [Moles, Juan] Harvard Univ, Dept Organism &amp; Evolutionary Biol, 26 Oxford St, Cambridge, MA 02138 USA; [Leiva, Carlos] Univ Barcelona, Fac Biol, Dept Genet Microbiol &amp; Stat, Avinguda Diagonal 643, Barcelona 08028, Spain; [Avila, Conxita; Cardona, Luis] Univ Barcelona, Fac Biol, Dept Evolutionary Biol Ecol &amp; Environm Sci, Avinguda Diagonal 643, Barcelona 08028, Spain; [Maldonado, Manuel] Ctr Adv Studies Blanes, Dept Marine Ecol, C Acess Cala St Francesc 14, Blanes 17300, Spain</t>
  </si>
  <si>
    <t>Natural History Museum London; Autonomous University of Madrid; Universidad de Alcala; Oxford Brookes University; Harvard University; University of Barcelona; University of Barcelona; Consejo Superior de Investigaciones Cientificas (CSIC); CSIC - Centre d'Estudis Avancats de Blanes (CEAB)</t>
  </si>
  <si>
    <t>Riesgo, A (corresponding author), Nat Hist Museum London, Dept Life Sci, Cromwell Rd, London SW7 5BD, England.</t>
  </si>
  <si>
    <t>A.Riesgo@nhna.ac.uk</t>
  </si>
  <si>
    <t>Leiva, Carlos/ACB-7534-2022; Moles, Juan/H-4786-2018; Kenny, Nathan/AAD-2391-2020; Riesgo, Ana/E-3341-2014; Maldonado, Manuel/J-9331-2012; Cardona, Luis/L-1680-2014</t>
  </si>
  <si>
    <t>Moles, Juan/0000-0003-4511-4055; Kenny, Nathan/0000-0003-4816-4103; Riesgo, Ana/0000-0002-7993-1523; Maldonado, Manuel/0000-0002-7447-4212; Santodomingo, Nadiezhda/0000-0003-1392-2672; Cardona, Luis/0000-0002-7892-1323</t>
  </si>
  <si>
    <t>European Union's Horizon 2020 research and innovation program under the Marie Sklodowska-Curie grant [750937]; DIF grant from the NHM [SDR17012]; Spanish Ministry of Science and Innovation [CTM2010-17415/ANT, CTM2013-42667/ANT, CTM2016-78901/ANT, CTM2015-67221-R]; Marie Curie Actions (MSCA) [750937] Funding Source: Marie Curie Actions (MSCA)</t>
  </si>
  <si>
    <t>European Union's Horizon 2020 research and innovation program under the Marie Sklodowska-Curie grant(Marie Curie ActionsHorizon 2020); DIF grant from the NHM; Spanish Ministry of Science and Innovation(Spanish Government); Marie Curie Actions (MSCA)(Marie Curie Actions)</t>
  </si>
  <si>
    <t>We thank Joan Mendoza and Maite Romero (CCiT-UB) for their help during microanalytical procedures. Melanie J. Leng and Vanessa Pashley (NIGL) are also acknowledged for their assistance with ICP-MS. This project has received funding from the European Union's Horizon 2020 research and innovation program under the Marie Sklodowska-Curie grant agreement No. 750937 to N.J.K. and A.R., and an internal DIF grant from the NHM (SDR17012) to A.R. Financial support was additionally provided by the Spanish Ministry of Science and Innovation through ACTIQUIM-II, DISTANTCOM and BLUEBIO grants to C.A. (CTM2010-17415/ANT, CTM2013-42667/ANT and CTM2016-78901/ANT) and CTM2015-67221-R to M. M. This contribution is part of The SCAR-Biology Programme -State of the Antarctic Ecosystem (AntEco: https://www.scar.org/science/anteco/home/).</t>
  </si>
  <si>
    <t>10.1093/zoolinnean/zlaa058</t>
  </si>
  <si>
    <t>SS1IL</t>
  </si>
  <si>
    <t>WOS:000661494900001</t>
  </si>
  <si>
    <t>DeMaster, DJ; Taylor, RS; Smith, CR; Isla, E; Thomas, CJ</t>
  </si>
  <si>
    <t>DeMaster, D. J.; Taylor, R. S.; Smith, C. R.; Isla, E.; Thomas, C. J.</t>
  </si>
  <si>
    <t>Using Radiocarbon to Assess the Abundance, Distribution, and Nature of Labile Organic Carbon in Marine Sediments</t>
  </si>
  <si>
    <t>sedimentary organic carbon degradation rates; labile organic carbon; seabed radiocarbon modeling; reactive organic matter; bioturbation</t>
  </si>
  <si>
    <t>CONTINENTAL-SHELF; SLOPE SEDIMENTS; BIOCHEMICAL-COMPOSITION; ANTARCTIC PENINSULA; MATTER COMPOSITION; COMPOUND CLASSES; NUTRITIVE-VALUE; SEA SEDIMENTS; PARTICLE-FLUX; AMINO-ACIDS</t>
  </si>
  <si>
    <t>Positive C-14 gradients have recently been observed within the surface mixed layer of several continental-margin sediments. The best explanation for these positive C-14 gradients is the occurrence and rapid degradation of labile organic carbon (LOC) in the upper 5-10 cm of the seabed. Based on a two-component model for sedimentary organic matter (i.e., a planktonic labile component and an older refractory component), bulk (14)Corg data were used to determine the abundances of LOC within the surface mixed layers of three cores from the West Antarctic Peninsula (WAP) shelf and one core from San Clemente Basin (California Borderland). LOC contents in surface samples from the four stations varied from 0.5 to 1.1 mg/cm(3), comprising 20% (San Clemente Basin) to 80% (WAP, Sta. G) of the total organic carbon. By incorporating a steady state diagenetic model and particle-mixing bioturbation coefficients, the LOC profiles were used to determine LOC turnover times (LOC tau) and LOC e-folding depths. The LOC tau values for the West Antarctic Peninsula sediments varied from 0.09 to 0.59 years, whereas the LOC tau value from the San Clemente Basin core was 63 years. The LOC e-folding depths for the WAP stations varied from 0.8 to 3.4 cm, in contrast to the LOC e-folding depth in San Clemente Basin, which was 4.0 cm. LOC characteristics from the four cores examined in this study were compared to LOC data in the literature as a means of substantiating the overall C-14(org)-based approach and justifying model assumptions.</t>
  </si>
  <si>
    <t>[DeMaster, D. J.; Taylor, R. S.; Thomas, C. J.] North Carolina State Univ, Dept Mart Earth &amp; Atmospher Sci, Raleigh, NC 27695 USA; [Smith, C. R.] Univ Hawaii Manoa, Dept Oceanog, Honolulu, HI 96822 USA; [Isla, E.] Inst Ciencies Mar CSIC, Passeig Maritim Barceloneta, Barcelona, Spain</t>
  </si>
  <si>
    <t>North Carolina State University; University of Hawaii System; University of Hawaii Manoa; Consejo Superior de Investigaciones Cientificas (CSIC); CSIC - Centro Mediterraneo de Investigaciones Marinas y Ambientales (CMIMA); CSIC - Instituto de Ciencias del Mar (ICM)</t>
  </si>
  <si>
    <t>DeMaster, DJ (corresponding author), North Carolina State Univ, Dept Mart Earth &amp; Atmospher Sci, Raleigh, NC 27695 USA.</t>
  </si>
  <si>
    <t>demaster@ncsu.edu</t>
  </si>
  <si>
    <t>Smith, Craig/0000-0002-3976-0889; Isla, Enrique/0000-0003-4959-6936; DeMaster, David/0000-0002-7874-0637</t>
  </si>
  <si>
    <t>National Science Foundation of the USA, Office of Polar Programs [ANT-0636773]; Spanish Ministry of Economy and Competitiveness through the project CLIMANT [POL2006-06399/CGL]</t>
  </si>
  <si>
    <t>National Science Foundation of the USA, Office of Polar Programs; Spanish Ministry of Economy and Competitiveness through the project CLIMANT</t>
  </si>
  <si>
    <t>We would like to thank the captains and crews of the RVIB Nathaniel B. Palmer and the ARSV Laurence M. Gould for all of their support and hard work during the eight FOODBANCS cruises to the West Antarctic Peninsula. We appreciate the expertize and tenacious work effort of the WHOI NOSAMS personnel, who were a delight to work with and often provided expert technical advice regarding our 14C data. Robin Pope made all of the 14C analyses on the San Clemente Basin sediments, whereas William Fornes conducted all of the 210Pb analyses on these California Borderland samples. The FOODBANCS-2 Project was funded by the National Science Foundation of the USA, Office of Polar Programs (ANT-0636773; C. R. Smith and D. J. DeMaster, PIs, C. J. Thomas, Co-PI). Support for E. Isla was from the Spanish Ministry of Economy and Competitiveness through the project CLIMANT (POL2006-06399/CGL). This paper significantly benefited from the extensive review of Thomas Blattmann and one unidentified reviewer.</t>
  </si>
  <si>
    <t>e2020GB006676</t>
  </si>
  <si>
    <t>10.1029/2020GB006676</t>
  </si>
  <si>
    <t>TA1RY</t>
  </si>
  <si>
    <t>WOS:000667032800009</t>
  </si>
  <si>
    <t>Roshan, S; DeVries, T</t>
  </si>
  <si>
    <t>Roshan, Saeed; DeVries, Tim</t>
  </si>
  <si>
    <t>Global Contrasts Between Oceanic Cycling of Cadmium and Phosphate</t>
  </si>
  <si>
    <t>climatology; dissolved cadmium; GEOTRACES; inverse modeling; paleoceanography; phosphate</t>
  </si>
  <si>
    <t>SOUTHERN-OCEAN; DISSOLVED CADMIUM; PHOSPHORUS RATIO; IRON LIMITATION; ATLANTIC; CD; PHYTOPLANKTON; ZINC; SEA; PACIFIC</t>
  </si>
  <si>
    <t>Cadmium (Cd) is a trace metal whose distribution in the ocean bears a remarkable resemblance to the nutrient phosphate (PO43-). This resemblance has led to the use of Cd as a proxy for ocean nutrient cycling in paleoceanographic applications, but the processes governing the cycling of Cd in the modern ocean remain unclear. In this study, we use previously published Cd observations and an Artificial Neural Network to produce a dissolved Cd climatology that reproduces the observed subtle deviations between the Cd and PO43- distributions. We use the Cd and PO43- climatologies, along with an ocean circulation inverse model, to diagnose the biogeochemical sources and sinks of dissolved Cd and PO43-. Our calculations reveal that dissolved Cd, like PO43-, is removed in the surface ocean and has a source in the subsurface, consistent with the simultaneous incorporation of Cd and PO43- into sinking organic particles. However, there are also contrasts between the cycling of dissolved Cd and PO43-. In particular, the Cd:PO43- surface export ratio varies 8-fold across latitudes, reaching highest values in the iron-limited sub-Antarctic Southern Ocean. This depletes Cd relative to PO43- in the low-latitude thermocline while adding excess Cd to deep waters by the regeneration of Cd-enriched particles. Also, Cd tends to regenerate slightly deeper than PO43- in the subsurface ocean, and the Cd:PO43- regeneration ratio reaches a maximum at 700-1,500 m. These contrasts are responsible for a slight concavity in the Cd-PO43- relationship and should be considered when interpreting paleoceanographic Cd records.</t>
  </si>
  <si>
    <t>[Roshan, Saeed; DeVries, Tim] Univ Calif Santa Barbara, Dept Geog, Santa Barbara, CA 93106 USA; [Roshan, Saeed; DeVries, Tim] Univ Calif Santa Barbara, Earth Res Inst, Santa Barbara, CA 93106 USA</t>
  </si>
  <si>
    <t>University of California System; University of California Santa Barbara; University of California System; University of California Santa Barbara</t>
  </si>
  <si>
    <t>Roshan, S (corresponding author), Univ Calif Santa Barbara, Dept Geog, Santa Barbara, CA 93106 USA.;Roshan, S (corresponding author), Univ Calif Santa Barbara, Earth Res Inst, Santa Barbara, CA 93106 USA.</t>
  </si>
  <si>
    <t>saeed.roshan@geog.ucsb.edu</t>
  </si>
  <si>
    <t>DeVries, Tim/0000-0002-7771-9430; Roshan, Saeed/0000-0001-9977-7474</t>
  </si>
  <si>
    <t>National Science Foundation [OCE-1658392]</t>
  </si>
  <si>
    <t>This work was supported by the National Science Foundation with grant OCE-1658392 to T. DeVries.</t>
  </si>
  <si>
    <t>e2021GB006952</t>
  </si>
  <si>
    <t>10.1029/2021GB006952</t>
  </si>
  <si>
    <t>WOS:000667032800014</t>
  </si>
  <si>
    <t>Zhang, MM; Marandino, CA; Yan, JP; Wu, YF; Park, K; Sun, H; Gao, ZY; Xu, SQ</t>
  </si>
  <si>
    <t>Zhang, Miming; Marandino, Christa A.; Yan, Jinpei; Wu, Yanfang; Park, Keyhong; Sun, Heng; Gao, Zhongyong; Xu, Suqing</t>
  </si>
  <si>
    <t>Unravelling Surface Seawater DMS Concentration and Sea-To-Air Flux Changes After Sea Ice Retreat in the Western Arctic Ocean</t>
  </si>
  <si>
    <t>dimethylsulfide; Arctic Ocean; sea ice retreat; changes; surface seawater</t>
  </si>
  <si>
    <t>DIMETHYL-SULFIDE; FRESH-WATER; ATMOSPHERIC SULFUR; BOUNDARY-LAYER; PACIFIC INFLOW; BEAUFORT GYRE; PHYTOPLANKTON; MARINE; CLIMATE; AEROSOL</t>
  </si>
  <si>
    <t>The receding of the seasonal ice cover in the Arctic due to climate change has been predicted by models to increase climate-active biogenic trace gas emissions, specifically those of dimethylsulfide (DMS). However, insufficient DMS measurements are currently available to either support or refute this hypothesis and to fully understand the various responses of oceanic DMS in a rapidly changing Arctic Ocean environment. Here, we present high-resolution surface water DMS data collected in the summer of 2014 in combination with a suite of ancillary variables including sea ice cover, salinity, and nutrients. We show that surface seawater DMS concentrations, generally below 0.5 nmol L-1, remained unchanged in the Canada Basin after sea ice retreat probably due to insufficient nutrients supply to the upper mixed layer and resulting low primary production. Moreover, in the Chukchi shelf region, DMS concentrations decreased following a phytoplankton bloom due to the rapid depletion and slow resupply of nutrients. Although the DMS sea-to-air fluxes were not high from a global perspective, they increased by a factor of 4-fold after sea ice retreat in the Arctic Ocean high latitudes. This increase in DMS flux was mainly driven by increased wind speed. This work provides unique observations and insights on how surface seawater DMS and flux to the atmosphere may change in the future Arctic Ocean.</t>
  </si>
  <si>
    <t>[Zhang, Miming; Yan, Jinpei; Sun, Heng; Gao, Zhongyong; Xu, Suqing] Minist Nat Resources MNR, Key Lab Global Change &amp; Marine Atmospher Chem, Inst Oceanog 3, Xiamen, Fujian, Peoples R China; [Marandino, Christa A.] GEOMAR Helmholtz Ctr Ocean Res Kiel, Forschungsbereich Marine Biogeochem, Kiel, Germany; [Wu, Yanfang] Univ New South Wales, Sch Chem, Australian Ctr NanoMed, Sydney, NSW, Australia; [Wu, Yanfang] Univ New South Wales, Australian Res Council ARC, Ctr Excellence Convergent Bionano Sci &amp; Technol, Sydney, NSW, Australia; [Park, Keyhong] Korea Polar Res Inst, Div Polar Ocean Sci, Incheon, South Korea</t>
  </si>
  <si>
    <t>Ministry of Natural Resources of the People's Republic of China; Third Institute of Oceanography, Ministry of Natural Resources; Helmholtz Association; GEOMAR Helmholtz Center for Ocean Research Kiel; University of New South Wales Sydney; University of New South Wales Sydney; Korea Polar Research Institute (KOPRI)</t>
  </si>
  <si>
    <t>Zhang, MM; Yan, JP (corresponding author), Minist Nat Resources MNR, Key Lab Global Change &amp; Marine Atmospher Chem, Inst Oceanog 3, Xiamen, Fujian, Peoples R China.</t>
  </si>
  <si>
    <t>zhangmiming@tio.org.cn; jpyan@tio.org.cn</t>
  </si>
  <si>
    <t>Wu, Yanfang/D-9918-2015; Marandino, Christa/HLX-5973-2023</t>
  </si>
  <si>
    <t>Xu, Suqing/0000-0002-8198-0631; Yan, Jin Pei/0000-0002-1273-9422; Zhang, Miming/0000-0001-5848-3672; Marandino, Christa/0000-0001-9947-4377</t>
  </si>
  <si>
    <t>Scientific Research Foundation of Third Institute of Oceanography, at the Ministry of Natural Resources [2019009, 2018005]; National Natural Science Foundation of China (NSFC) [41911540471, 41941014]; National key Research and Development program of China [2019YFA0607003]; Chinese Projects for Investigations and Assessments of the Arctic and Antarctic; China Scholarship Council; National Research Foundation of South Korea [NRF- 2019K2A9A2A06025329]; Korea-Arctic Ocean Warming and Response of Ecosystem project (K-AWARE, KOPRI) [1525011760]</t>
  </si>
  <si>
    <t>Scientific Research Foundation of Third Institute of Oceanography, at the Ministry of Natural Resources; National Natural Science Foundation of China (NSFC)(National Natural Science Foundation of China (NSFC)); National key Research and Development program of China; Chinese Projects for Investigations and Assessments of the Arctic and Antarctic; China Scholarship Council(China Scholarship Council); National Research Foundation of South Korea(National Research Foundation of Korea); Korea-Arctic Ocean Warming and Response of Ecosystem project (K-AWARE, KOPRI)</t>
  </si>
  <si>
    <t>The authors thank the Chinese Arctic and Antarctic Administration (CAA) of the Ministry of Natural Resources and the crew of R/V Xue Long for their support with field operations. The authors thank Prof. Jianfang Chen, Mr Yanpei Zhuang from the Second Institute of Oceanography, Ministry of Natural Resources, for providing the nutrient data. The authors also thank Prof. Maurice Levasseur from University Laval (Canada) for his valuable advice. Thanks to my wife, Mrs Jing Chen, for her kindly support. Our datasets are currently included in the Supporting Information as Data set S1-S2 and will be uploaded to the PMEL repository after this paper is published. This work was supported by the Scientific Research Foundation of Third Institute of Oceanography, at the Ministry of Natural Resources (under contract No. 2019009, 2018005), the National Natural Science Foundation of China (NSFC) (41911540471, 41941014), the National key Research and Development program of China (No. 2019YFA0607003), the Chinese Projects for Investigations and Assessments of the Arctic and Antarctic (CHINARE2017-2020), the China Scholarship Council, the National Research Foundation of South Korea (NRF- 2019K2A9A2A06025329 ) and Korea-Arctic Ocean Warming and Response of Ecosystem project (K-AWARE, KOPRI, 1525011760).</t>
  </si>
  <si>
    <t>e2020GB006796</t>
  </si>
  <si>
    <t>10.1029/2020GB006796</t>
  </si>
  <si>
    <t>WOS:000667032800003</t>
  </si>
  <si>
    <t>Calderan, SV; Leaper, RC; Miller, BS; Andriolo, A; Buss, DL; Carroll, EL; Kennedy, AS; Stepien, EN; Jackson, JA</t>
  </si>
  <si>
    <t>Calderan, Susannah V.; Leaper, Russell C.; Miller, Brian S.; Andriolo, Artur; Buss, Danielle L.; Carroll, Emma L.; Kennedy, Amy S.; Stepien, Emilie N.; Jackson, Jennifer A.</t>
  </si>
  <si>
    <t>Southern right whale vocalizations on foraging grounds in South Georgia</t>
  </si>
  <si>
    <t>JASA EXPRESS LETTERS</t>
  </si>
  <si>
    <t>ATLANTIC RIGHT WHALES; PACIFIC RIGHT WHALE; EUBALAENA-GLACIALIS; ACOUSTIC REPERTOIRE; SOUND PRODUCTION; BLUE; CALLS; LOCALIZATION; JAPONICA; BEHAVIOR</t>
  </si>
  <si>
    <t>Southern right whale vocalizations were recorded concurrently with visual observations off the sub-Antarctic Island of South Georgia, and the characteristics of these calls were described. Calls were also compared to those of humpback whales at South Georgia, to determine how the two species might reliably be distinguished acoustically. The southern right whale calls measured (which were all upcalls) had lower frequency with peak energy and were mostly shorter in duration than the calls measured from humpback whales. The frequency upsweep and the lack of harmonics of southern right whale calls were also diagnostic characteristics.</t>
  </si>
  <si>
    <t>[Calderan, Susannah V.] Scottish Assoc Marine Sci SAMS, Oban PA37 1QA, Argyll, Scotland; [Leaper, Russell C.] Int Fund Anim Welf, London SE1 8NL, England; [Miller, Brian S.] Australian Antarctic Div, Dept Agr Water &amp; Environm, Kingston, Tas 7050, Australia; [Andriolo, Artur] Univ Fed Juiz De Fora, Inst Ciencias Biol, Juiz De Fora, MG, Brazil; [Buss, Danielle L.; Jackson, Jennifer A.] NERC, British Antarctic Survey, Cambridge CB3 0ET, England; [Carroll, Emma L.] Univ Auckland, Sch Biol Sci, Auckland, New Zealand; [Kennedy, Amy S.] Univ Washington, Cooperat Inst Climate Ocean &amp; Ecosyst Studies CIC, Seattle, WA 98105 USA; [Stepien, Emilie N.] Aarhus Univ, Dept Biosci, Aarhus, Denmark</t>
  </si>
  <si>
    <t>Australian Antarctic Division; Universidade Federal de Juiz de Fora; UK Research &amp; Innovation (UKRI); Natural Environment Research Council (NERC); NERC British Antarctic Survey; University of Auckland; University of Washington; University of Washington Seattle; Aarhus University</t>
  </si>
  <si>
    <t>Calderan, SV (corresponding author), Scottish Assoc Marine Sci SAMS, Oban PA37 1QA, Argyll, Scotland.</t>
  </si>
  <si>
    <t>susannah.calderan@sams.ac.uk; russell@rcleaper.com; brian.miller@awe.gov.au; artur.andriolo@ufjf.edu.br; danss36@bas.ac.uk; e.carroll@auckland.ac.nz; amy.kennedy@noaa.gov; emilie.stepien@gmail.com; jeck@bas.ac.uk</t>
  </si>
  <si>
    <t>Kennedy, Amy S./O-9947-2017; Carroll, Emma/U-9133-2019; Jackson, Jennifer A/E-7997-2013; Buss, Danny/JDW-2244-2023</t>
  </si>
  <si>
    <t>Carroll, Emma/0000-0003-3193-7288; Stepien, Emilie Nicoline/0000-0002-5857-4301; Jackson, Jennifer/0000-0003-4158-1924; Miller, Brian/0000-0001-7615-3044</t>
  </si>
  <si>
    <t>DARWIN PLUS Award [DPLUS057]; EU BEST 2.0 Medium Grant [1594]; South Georgia Heritage Trust; Friends of South Georgia Island; WWF; Natural Environment Research Council</t>
  </si>
  <si>
    <t>DARWIN PLUS Award; EU BEST 2.0 Medium Grant; South Georgia Heritage Trust; Friends of South Georgia Island; WWF; Natural Environment Research Council(UK Research &amp; Innovation (UKRI)Natural Environment Research Council (NERC))</t>
  </si>
  <si>
    <t>It is a pleasure to acknowledge the dedication and enthusiasm of the crew and management of RV Song of the Whale and MV Braveheart, and of our fellow scientists on the two voyages. Denise Risch and two anonymous reviewers provided helpful input to improve this manuscript. This work was supported by funding from a DARWIN PLUS Award No. DPLUS057, an EU BEST 2.0 Medium Grant No. 1594, South Georgia Heritage Trust, Friends of South Georgia Island, and WWF. This study forms part of the Ecosystems component of the British Antarctic Survey Polar Science for Planet Earth Programme, funded by The Natural Environment Research Council. We thank the Government of South Georgia and the South Sandwich Islands for providing logistical support for these expeditions.</t>
  </si>
  <si>
    <t>AMER INST PHYSICS</t>
  </si>
  <si>
    <t>MELVILLE</t>
  </si>
  <si>
    <t>1305 WALT WHITMAN RD, STE 300, MELVILLE, NY 11747-4501 USA</t>
  </si>
  <si>
    <t>2691-1191</t>
  </si>
  <si>
    <t>JASA EXPRESS LETT</t>
  </si>
  <si>
    <t>JASA Express Lett.</t>
  </si>
  <si>
    <t>10.1121/10.0005433</t>
  </si>
  <si>
    <t>Acoustics; Audiology &amp; Speech-Language Pathology</t>
  </si>
  <si>
    <t>SX3KD</t>
  </si>
  <si>
    <t>WOS:000665106500001</t>
  </si>
  <si>
    <t>Bouffaut, L; Landro, M; Potter, JR</t>
  </si>
  <si>
    <t>Bouffaut, Lea; Landro, Martin; Potter, John R.</t>
  </si>
  <si>
    <t>Source level and vocalizing depth estimation of two blue whale subspecies in the western Indian Ocean from single sensor observations</t>
  </si>
  <si>
    <t>JOURNAL OF THE ACOUSTICAL SOCIETY OF AMERICA</t>
  </si>
  <si>
    <t>BALEEN WHALES; FIN WHALES; LONG-TERM; CALLS; BEHAVIOR; PACIFIC; FREQUENCY; SOUND; DISCOVERY</t>
  </si>
  <si>
    <t>The source level (SL) and vocalizing source depth (SD) of individuals from two blue whale (BW) subspecies, an Antarctic blue whale (Balaenoptera musculus intermedia; ABW) and a Madagascar pygmy blue whale (Balaenoptera musculus brevicauda; MPBW) are estimated from a single bottom-mounted hydrophone in the western Indian Ocean. Stereotyped units (male) are automatically detected and the range is estimated from the time delay between the direct and lowest-order multiply-reflected acoustic paths (multipath-ranging). Allowing for geometric spreading and the Lloyd's mirror effect (range-, depth-, and frequency-dependent) SL and SD are estimated by minimizing the SL variance over a series of units from the same individual over time (and hence also range). The average estimated SL of 188.5 +/- 2.1dB re 1 mu Pa measured between [25-30] Hz for the ABW and 176.8 +/- 1.8dB re. 1 mu Pa measured between [22-27] Hz for the MPBW agree with values published for other geographical areas. Units were vocalized at estimated depths of 25.0 +/- 3.7 and 32.7 +/- 5.7m for the ABW Unit A and C and, similar or equal to 20 m for the MPBW. The measurements show that these BW calls series are stereotyped in frequency, amplitude, and depth.</t>
  </si>
  <si>
    <t>[Bouffaut, Lea; Landro, Martin; Potter, John R.] Norwegian Univ Sci &amp; Technol NTNU, Dept Elect Syst, NO-7491 Trondheim, Norway</t>
  </si>
  <si>
    <t>Norwegian University of Science &amp; Technology (NTNU)</t>
  </si>
  <si>
    <t>Bouffaut, L (corresponding author), Norwegian Univ Sci &amp; Technol NTNU, Dept Elect Syst, NO-7491 Trondheim, Norway.</t>
  </si>
  <si>
    <t>lea.bouffaut@ntnu.no</t>
  </si>
  <si>
    <t>Landrø, Martin/I-7118-2013</t>
  </si>
  <si>
    <t>POTTER, John Robert/0000-0003-1430-7014</t>
  </si>
  <si>
    <t>Research Council of Norway [228107]; ARCEx</t>
  </si>
  <si>
    <t>Research Council of Norway(Research Council of Norway); ARCEx</t>
  </si>
  <si>
    <t>The RHUM-RUM open data set (http://dx.doi.org/10.15778/RESIF.YV2011) has been assigned the FDSN network code YV and is hosted and served by the French RESIF data centre (http://seismology.resif.fr).This research is funded by ARCEx partners and the Research Council of Norway (Grant No. 228107).</t>
  </si>
  <si>
    <t>ACOUSTICAL SOC AMER AMER INST PHYSICS</t>
  </si>
  <si>
    <t>STE 1 NO 1, 2 HUNTINGTON QUADRANGLE, MELVILLE, NY 11747-4502 USA</t>
  </si>
  <si>
    <t>0001-4966</t>
  </si>
  <si>
    <t>1520-8524</t>
  </si>
  <si>
    <t>J ACOUST SOC AM</t>
  </si>
  <si>
    <t>J. Acoust. Soc. Am.</t>
  </si>
  <si>
    <t>10.1121/10.0005281</t>
  </si>
  <si>
    <t>TA4KR</t>
  </si>
  <si>
    <t>WOS:000667218100001</t>
  </si>
  <si>
    <t>Alexander, SP; Klekociuk, AR</t>
  </si>
  <si>
    <t>Alexander, S. P.; Klekociuk, A. R.</t>
  </si>
  <si>
    <t>Constraining Ice Water Content of Thin Antarctic Cirrus Clouds Using Ground-Based Lidar and Satellite Data</t>
  </si>
  <si>
    <t>JOURNAL OF THE ATMOSPHERIC SCIENCES</t>
  </si>
  <si>
    <t>Cirrus clouds; Cloud microphysics; Radiative transfer; Lidars; lidar observations; Satellite observations</t>
  </si>
  <si>
    <t>RADIATIVE FORCING PROPERTIES; OPTICAL DEPTH; TROPICAL CIRRUS; TROPOPAUSE; CLIMATOLOGY; DAVIS; SCATTERING; RETRIEVAL; RADAR; PARAMETERIZATION</t>
  </si>
  <si>
    <t>We combine observations of optically thin cirrus clouds made by lidar at Davis, Antarctica (69 degrees S, 78 degrees E), during 14-15 June 2011 with a microphysical retrieval algorithm to constrain the ice water content (IWC) of these clouds. The cirrus clouds were embedded in a tropopause jet that flowed around a ridge of high pressure extending southward over Davis from the Southern Ocean. Cloud optical depths were 0.082 +/- 0.001, and subvisual cirrus were present during 11% of the observation period. The macrophysical cirrus cloud properties obtained during this case study are consistent with those previously reported at lower latitudes. MODIS satellite imagery and AIRS surface temperature data are used as inputs into a radiative transfer model in order to constrain the IWC and ice water path of the cirrus. The derived cloud IWC is consistent with in situ observations made at other locations but at similarly cold temperatures. The optical depths derived from the model agree with those calculated directly from the lidar data. This study demonstrates the value of a combination of ground-based lidar observations and a radiative transfer model in constraining microphysical cloud parameters that could be utilized at locations where other lidar measurements are made.</t>
  </si>
  <si>
    <t>[Alexander, S. P.; Klekociuk, A. R.] Australian Antarctic Div, Kingston, Tas, Australia; [Alexander, S. P.; Klekociuk, A. R.] Australian Antarctic Programme Partnership, Inst Marine &amp; Antarctic Sci, Hobart, Tas, Australia</t>
  </si>
  <si>
    <t>Australian Antarctic Division</t>
  </si>
  <si>
    <t>Alexander, SP (corresponding author), Australian Antarctic Div, Kingston, Tas, Australia.;Alexander, SP (corresponding author), Australian Antarctic Programme Partnership, Inst Marine &amp; Antarctic Sci, Hobart, Tas, Australia.</t>
  </si>
  <si>
    <t>simon.alexander@aad.gov.au</t>
  </si>
  <si>
    <t>; Klekociuk, Andrew/A-4498-2015</t>
  </si>
  <si>
    <t>Alexander, Simon/0000-0001-6823-8857; Klekociuk, Andrew/0000-0003-3335-0034</t>
  </si>
  <si>
    <t>Australian Antarctic Programme [3140, 4025, 4292]</t>
  </si>
  <si>
    <t>Australian Antarctic Programme</t>
  </si>
  <si>
    <t>We are deeply appreciative of the efforts of D. Hosken for operating and maintaining the lidar during 2011 at Davis. This research was conducted for Projects 737, 3140, 4025, and 4292 of the Australian Antarctic Programme. We thank the Australian Bureau of Meteorology for providing the radiosonde data. The comments and suggestions of three anonymous reviewers resulted in an improved paper and are gratefully acknowledged.</t>
  </si>
  <si>
    <t>0022-4928</t>
  </si>
  <si>
    <t>1520-0469</t>
  </si>
  <si>
    <t>J ATMOS SCI</t>
  </si>
  <si>
    <t>J. Atmos. Sci.</t>
  </si>
  <si>
    <t>10.1175/JAS-D-20-0251.1</t>
  </si>
  <si>
    <t>SV8XT</t>
  </si>
  <si>
    <t>WOS:000664102000003</t>
  </si>
  <si>
    <t>Nash, SMB; Wild, S; Broomhall, S; Bohlin-Nizzetto, P</t>
  </si>
  <si>
    <t>Bengtson Nash, Susan Maria; Wild, Seanan; Broomhall, Sara; Bohlin-Nizzetto, Pernilla</t>
  </si>
  <si>
    <t>Brominated Flame Retardants in Antarctic Air in the Vicinity of Two All-Year Research Stations</t>
  </si>
  <si>
    <t>Antarctica; persistent organic pollutants; brominated flame retardants; environmental transport; global chemical monitoring; chemical policy</t>
  </si>
  <si>
    <t>POLYBROMINATED DIPHENYL ETHERS; PERSISTENT ORGANIC POLLUTANTS; HALOGENATED NATURAL-PRODUCTS; KING GEORGE ISLAND; POLYCHLORINATED-BIPHENYLS; ATMOSPHERIC PCBS; PBDES; HEXACHLOROCYCLOHEXANES; PENGUIN; LEGACY</t>
  </si>
  <si>
    <t>Continuous atmospheric sampling was conducted between 2010-2015 at Casey station in Wilkes Land, Antarctica, and throughout 2013 at Troll Station in Dronning Maud Land, Antarctica. Sample extracts were analyzed for polybrominated diphenyl ethers (PBDEs), and the naturally converted brominated compound, 2,4,6-Tribromoanisole, to explore regional profiles. This represents the first report of seasonal resolution of PBDEs in the Antarctic atmosphere, and we describe conspicuous differences in the ambient atmospheric concentrations of brominated compounds observed between the two stations. Notably, levels of BDE-47 detected at Troll station were higher than those previously detected in the Antarctic or Southern Ocean region, with a maximum concentration of 7800 fg/m(3). Elevated levels of penta-formulation PBDE congeners at Troll coincided with local building activities and subsided in the months following completion of activities. The latter provides important information for managers of National Antarctic Programs for preventing the release of persistent, bioaccumulative, and toxic substances in Antarctica.</t>
  </si>
  <si>
    <t>[Bengtson Nash, Susan Maria; Wild, Seanan] Griffith Univ, Ctr Planetary Hlth &amp; Food Secur, Southern Ocean Persistent Organ Pollutants Progra, Nathan, Qld 4111, Australia; [Broomhall, Sara] Australian Govt Dept Agr Water &amp; Environm, Emerging Contaminants Sect, Canberra, ACT 2601, Australia; [Bohlin-Nizzetto, Pernilla] Norwegian Inst Air Res, NO-2027 Kjeller, Norway</t>
  </si>
  <si>
    <t>Griffith University; NILU</t>
  </si>
  <si>
    <t>Nash, SMB (corresponding author), Griffith Univ, Ctr Planetary Hlth &amp; Food Secur, Southern Ocean Persistent Organ Pollutants Progra, Nathan, Qld 4111, Australia.</t>
  </si>
  <si>
    <t>s.bengtsonnash@griffith.edu.au; seananw@gmail.com; Sara.Broomhall@awe.gov.au; pbn@nilu.no</t>
  </si>
  <si>
    <t>Australian Federal Government Department of the Environment; Australian Antarctic Science grant [3382]; Australian Antarctic Division non-science project [5012]</t>
  </si>
  <si>
    <t>Australian Federal Government Department of the Environment; Australian Antarctic Science grant; Australian Antarctic Division non-science project</t>
  </si>
  <si>
    <t>This work was funded by the Australian Federal Government Department of the Environment and was facilitated by Australian Antarctic Science grant 3382.and Australian Antarctic Division non-science project 5012.</t>
  </si>
  <si>
    <t>10.3390/atmos12060668</t>
  </si>
  <si>
    <t>SX6CZ</t>
  </si>
  <si>
    <t>WOS:000665291900001</t>
  </si>
  <si>
    <t>Nikolaeva, V; Gordeev, E; Sergienko, T; Makarova, L; Kotikov, A</t>
  </si>
  <si>
    <t>Nikolaeva, Vera; Gordeev, Evgeny; Sergienko, Tima; Makarova, Ludmila; Kotikov, Andrey</t>
  </si>
  <si>
    <t>AIM-E: E-Region Auroral Ionosphere Model</t>
  </si>
  <si>
    <t>auroral oval; E-region of ionosphere; numerical modeling; substorm; ion composition; electron concentration</t>
  </si>
  <si>
    <t>DISSOCIATIVE RECOMBINATION; TEMPERATURE-DEPENDENCE; ATOMIC NITROGEN; RATE CONSTANTS; CHEMISTRY; O2; THERMOSPHERE; COEFFICIENTS; ENERGY; O(1D)</t>
  </si>
  <si>
    <t>The auroral oval is the high-latitude region of the ionosphere characterized by strong variability of its chemical composition due to precipitation of energetic particles from the magnetosphere. The complex nature of magnetospheric processes cause a wide range of dynamic variations in the auroral zone, which are difficult to forecast. Knowledge of electron concentrations in this highly turbulent region is of particular importance because it determines the propagation conditions for the radio waves. In this work we introduce the numerical model of the auroral E-region, which evaluates density variations of the 10 ionospheric species and 39 reactions initiated by both the solar extreme UV radiation and the magnetospheric electron precipitation. The chemical reaction rates differ in more than ten orders of magnitude, resulting in the high stiffness of the ordinary differential equations system considered, which was solved using the high-performance Gear method. The AIM-E model allowed us to calculate the concentration of the neutrals NO, N(S-4), and N(D-2), ions N+, N-2(+), NO+, O-2(+), O+(S-4), O+(D-2), and O+(P-2), and electrons Ne, in the whole auroral zone in the 90-150 km altitude range in real time. The model results show good agreement with observational data during both the quiet and disturbed geomagnetic conditions.</t>
  </si>
  <si>
    <t>[Nikolaeva, Vera; Makarova, Ludmila] Arctic &amp; Antarctic Res Inst, St Petersburg 199397, Russia; [Gordeev, Evgeny] St Petersburg State Univ, Earths Phys Dept, St Petersburg 199034, Russia; [Sergienko, Tima] Swedish Inst Space Phys, S-98128 Kiruna, Sweden; [Kotikov, Andrey] Ionosphere &amp; Radio Wave Propagat Russian Acad Sci, Pushkov Inst Terr Magnetism, St Petersburg Branch, St Petersburg 199034, Russia</t>
  </si>
  <si>
    <t>Arctic &amp; Antarctic Research Institute; Saint Petersburg State University</t>
  </si>
  <si>
    <t>Nikolaeva, V (corresponding author), Arctic &amp; Antarctic Res Inst, St Petersburg 199397, Russia.</t>
  </si>
  <si>
    <t>nikolaeva.vera@gmail.com; evgeny.i.gordeev@spbu.ru; tima@irf.se; lumak@aari.nw.ru; andkot54@mail.ru</t>
  </si>
  <si>
    <t>Nikolaeva, Vera/AGK-6779-2022; Gordeev, Evgeny/H-8222-2013</t>
  </si>
  <si>
    <t>Nikolaeva, Vera/0000-0003-4987-6452; Gordeev, Evgeny/0000-0002-2687-7287</t>
  </si>
  <si>
    <t>Russian Foundation for Basic Research [N 18-05-80004]; Russian Science Foundation [19-77-10016]; Russian Science Foundation [19-77-10016] Funding Source: Russian Science Foundation</t>
  </si>
  <si>
    <t>Russian Foundation for Basic Research(Russian Foundation for Basic Research (RFBR)Spanish Government); Russian Science Foundation(Russian Science Foundation (RSF)); Russian Science Foundation(Russian Science Foundation (RSF))</t>
  </si>
  <si>
    <t>Model development, software development and results analysis was supported by grant N 18-05-80004 from the Russian Foundation for Basic Research. The implementation of the global distribution of ionospheric parameters was carried out within the framework of Russian Science Foundation grant 19-77-10016. The vertical sounding data analysis was performed within the framework of the RI Roshydromet research and technological working plan, p. 6.1. Development and modernization of technologies for the geophysical situation monitoring over the Russian Federation and the Arctic territory.</t>
  </si>
  <si>
    <t>10.3390/atmos12060748</t>
  </si>
  <si>
    <t>SX9KT</t>
  </si>
  <si>
    <t>WOS:000665516400001</t>
  </si>
  <si>
    <t>Roslee, AFA; Gomez-Fuentes, C; Zakaria, NN; Shaharuddin, NA; Zulkharnain, A; Khalil, KA; Convey, P; Ahmad, SA</t>
  </si>
  <si>
    <t>Roslee, Ahmad Fareez Ahmad; Gomez-Fuentes, Claudio; Zakaria, Nur Nadhirah; Shaharuddin, Nor Azmi; Zulkharnain, Azham; Khalil, Khalilah Abdul; Convey, Peter; Ahmad, Siti Aqlima</t>
  </si>
  <si>
    <t>Growth Optimisation and Kinetic Profiling of Diesel Biodegradation by a Cold-Adapted Microbial Consortium Isolated from Trinity Peninsula, Antarctica</t>
  </si>
  <si>
    <t>BIOLOGY-BASEL</t>
  </si>
  <si>
    <t>diesel; microbial consortium; biodegradation; response-surface methodology (RSM); kinetic model</t>
  </si>
  <si>
    <t>POLYCYCLIC AROMATIC-HYDROCARBONS; PETROLEUM-HYDROCARBONS; DEGRADATION; MODELS; PHENOL; STRAIN; SOIL; BIOREMEDIATION; ABSORBENCY; COUNT</t>
  </si>
  <si>
    <t>Simple Summary Diesel fuel is very crucial for anthropogenic activities in Antarctica and the surges in annual demand mean higher likelihood of spillages from improper handling during transportation, storage and disposal processes. The impacts can be very extensive or well-contained depending on the scale of the spills as well as the terrain involved. Nevertheless, the freezing temperature and prolonged solar irradiance in the south pole greatly hampered the natural attenuation and photovolatilisation of petrogenic hydrocarbons, contributing to their persistency. The most susceptible groups are the soil microorganisms, mosses, seabirds and pinnipeds as they are easily found near the shore where hydrocarbons spillage is very common. Microbial bioremediation is a well-established approach in restoring many hydrocarbons-polluted areas, thus the current study focused on the optimisation and application of locally isolated microbial consortium to simulate the in situ diesel clean-up process in aqueous medium. This study highlights the ability of the selected consortium to degrade diesel almost completely at moderately low temperature, suggesting its potential application in Antarctic settings. Pollution associated with petrogenic hydrocarbons is increasing in Antarctica due to a combination of increasing human activity and the continent's unforgiving environmental conditions. The current study focuses on the ability of a cold-adapted crude microbial consortium (BS24), isolated from soil on the north-west Antarctic Peninsula, to metabolise diesel fuel as the sole carbon source in a shake-flask setting. Factors expected to influence the efficiency of diesel biodegradation, namely temperature, initial diesel concentration, nitrogen source type and concentration, salinity and pH were studied. Consortium BS24 displayed optimal cell growth and diesel degradation activity at 1.0% NaCl, pH 7.5, 0.5 g/L NH4Cl and 2.0% v/v initial diesel concentration during one-factor-at-a-time (OFAT) analyses. The consortium was psychrotolerant based on the optimum growth temperature of 10-15 degrees C. In conventionally optimised media, the highest total petroleum hydrocarbons (TPH) mineralisation was 85% over a 7-day incubation. Further optimisation of conditions predicted through statistical response-surface methodology (RSM) (1.0% NaCl, pH 7.25, 0.75 g/L NH4Cl, 12.5 degrees C and 1.75% v/v initial diesel concentration) boosted mineralisation to 95% over a 7-day incubation. A Tessier secondary model best described the growth pattern of BS24 in diesel-enriched medium, with maximum specific growth rate, mu(max), substrate inhibition constant, K-i and half saturation constant, K-s, being 0.9996 h(-1), 1.356% v/v and 1.238% v/v, respectively. The data obtained suggest the potential of microbial consortia such as BS24 in bioremediation applications in low-temperature diesel-polluted soils.</t>
  </si>
  <si>
    <t>[Roslee, Ahmad Fareez Ahmad; Zakaria, Nur Nadhirah; Shaharuddin, Nor Azmi; Ahmad, Siti Aqlima] Univ Putra Malaysia, Fac Biotechnol &amp; Biomol Sci, Dept Biochem, Serdang 43400, Malaysia; [Gomez-Fuentes, Claudio] Univ Magallanes, Dept Chem Engn, Avda Bulnes, Punta Arenas 01855, Chile; [Gomez-Fuentes, Claudio; Ahmad, Siti Aqlima] Univ Magallanes, Ctr Res &amp; Antarctic Environm Monitoring CIMAA, Avda Bulnes, Punta Arenas 01855, Chile; [Zulkharnain, Azham] Shibaura Inst Technol, Coll Syst Engn &amp; Sci, Dept Biosci &amp; Engn, Minuma Ku, 307 Fukasaku, Saitama 3378570, Japan; [Khalil, Khalilah Abdul] Univ Teknol MARA, Fac Appl Sci, Sch Biol, Shah Alam 40450, Selangor, Malaysia; [Convey, Peter] British Antarctic Survey, NERC, Madingley Rd, Cambridge CB3 0ET, England; [Ahmad, Siti Aqlima] Univ Malaya, Natl Antarctic Res Ctr, B303 Level 3,Block B,IPS Bldg, Kuala Lumpur 50603, Malaysia</t>
  </si>
  <si>
    <t>Universiti Putra Malaysia; Universidad de Magallanes; Universidad de Magallanes; Shibaura Institute of Technology; Universiti Teknologi MARA; UK Research &amp; Innovation (UKRI); Natural Environment Research Council (NERC); NERC British Antarctic Survey; Universiti Malaya</t>
  </si>
  <si>
    <t>Ahmad, SA (corresponding author), Univ Putra Malaysia, Fac Biotechnol &amp; Biomol Sci, Dept Biochem, Serdang 43400, Malaysia.;Ahmad, SA (corresponding author), Univ Magallanes, Ctr Res &amp; Antarctic Environm Monitoring CIMAA, Avda Bulnes, Punta Arenas 01855, Chile.;Ahmad, SA (corresponding author), Univ Malaya, Natl Antarctic Res Ctr, B303 Level 3,Block B,IPS Bldg, Kuala Lumpur 50603, Malaysia.</t>
  </si>
  <si>
    <t>fareezlee@yahoo.com; daudio.gomez@umag.cl; nadhirahairakaz@gmail.com; noorazmi@upm.edu.my; azham@shibaura-it.ac.jp; khali552@uitm.edu.my; pcon@bas.ac.uk; aqlima@upm.edu.my</t>
  </si>
  <si>
    <t>Convey, Peter/AAV-5728-2020; Gomez-Fuentes, Claudio/ACN-8984-2022</t>
  </si>
  <si>
    <t>Convey, Peter/0000-0001-8497-9903; Gomez-Fuentes, Claudio/0000-0001-9060-7727; Ahmad, Siti Aqlima/0000-0002-7625-3704; Shaharuddin, Noor Azmi/0000-0003-0057-9932</t>
  </si>
  <si>
    <t>Putra-IPM fund by Universiti Putra Malaysia (UPM) [GPM-2018/9660000, GPM-2019/9678900, 2017/9300436]; YPASM Smart Partnership Initiative by Sultan Mizan Antarctic Research Foundation (YPASM) [6300247]; NERC; Centro de Investigacion y Monitoreo Ambiental Antarctico (CIMAA) Project; Public Service Department of Malaysia (JPA); NERC [bas0100036] Funding Source: UKRI</t>
  </si>
  <si>
    <t>Putra-IPM fund by Universiti Putra Malaysia (UPM); YPASM Smart Partnership Initiative by Sultan Mizan Antarctic Research Foundation (YPASM); NERC(UK Research &amp; Innovation (UKRI)Natural Environment Research Council (NERC)); Centro de Investigacion y Monitoreo Ambiental Antarctico (CIMAA) Project; Public Service Department of Malaysia (JPA); NERC(UK Research &amp; Innovation (UKRI)Natural Environment Research Council (NERC))</t>
  </si>
  <si>
    <t>This project was financially supported by Putra-IPM fund under the research grant attached to S.A. Ahmad (GPM-2018/9660000, GPM-2019/9678900, 2017/9300436) disbursed by Universiti Putra Malaysia (UPM) and YPASM Smart Partnership Initiative (6300247) by Sultan Mizan Antarctic Research Foundation (YPASM). P. Convey is supported by NERC core funding to the BAS `Biodiversity, Ecosystems and Adaptation' Team. C.G. Fuentes is supported by Centro de Investigacion y Monitoreo Ambiental Antarctico (CIMAA) Project. The authors also thank the Public Service Department of Malaysia (JPA) for granting a personal scholarship (PhD programme) to Ahmad Fareez Ahmad Roslee.</t>
  </si>
  <si>
    <t>2079-7737</t>
  </si>
  <si>
    <t>Biology-Basel</t>
  </si>
  <si>
    <t>10.3390/biology10060493</t>
  </si>
  <si>
    <t>SZ9YK</t>
  </si>
  <si>
    <t>WOS:000666912400001</t>
  </si>
  <si>
    <t>Marriott, BP; Turner, TH; Hibbeln, JR; Newman, JC; Pregulman, M; Malek, AM; Malcolm, RJ; Burbelo, GA; Wismann, JW</t>
  </si>
  <si>
    <t>Marriott, Bernadette P.; Turner, Travis H.; Hibbeln, Joseph R.; Newman, Jill C.; Pregulman, Marcie; Malek, Angela M.; Malcolm, Robert J.; Burbelo, Gregory A.; Wismann, Jeffrey W.</t>
  </si>
  <si>
    <t>Impact of Fatty Acid Supplementation on Cognitive Performance among United States (US) Military Officers: The Ranger Resilience and Improved Performance on Phospholipid-Bound Omega-3's (RRIPP-3) Study</t>
  </si>
  <si>
    <t>NUTRIENTS</t>
  </si>
  <si>
    <t>omega-3 fatty acids; cognitive performance; military officers; randomized controlled trial; United States; krill oil</t>
  </si>
  <si>
    <t>OMEGA-3-FATTY-ACID SUPPLEMENTATION; DOCOSAHEXAENOIC ACID; MOOD; PERSONALITY; INVENTORY; HEALTH; OIL; DHA; AGE</t>
  </si>
  <si>
    <t>Studies have assessed omega-3 fatty acids and cognitive decline among older adults and cognitive development among children, although less is known about cognitive or neurological effects among young adults. We examined whether omega-3 supplementation from krill oil could improve cognition and resilience among young military officers compared to a control. This double-blind, placebo-controlled trial enrolled 555 officers (mean age 23.4 +/- 2.8, 98.6% male) entering the United States (US) Army Infantry Basic Officer Leaders Course (IBOLC) with the intention to complete the US Ranger Course. Volunteer participants consumed eight dietary supplements daily of krill oil containing 2.3 g omega-3 or control (macadamia nut oil) over an approximate 20-week period. Cognitive functioning, resilience, and mood were assessed during a well-rested period at approximately 14 weeks and after a battlefield simulation at 16 weeks. Blood spot samples were collected to monitor compliance and dietary intake was assessed. All hypotheses were tested using both 'Intention to Treat' (ITT) and 'As Per Protocol' (APP) approaches. Of the 555 randomized individuals, 245 (44.1%) completed the study. No statistically significant group-by-time interactions indicating treatment effect were found on any outcomes. Poor compliance was indicated by lower than expected omega-3 elevations in the treatment group, and may have contributed to a failure to detect a response.</t>
  </si>
  <si>
    <t>[Marriott, Bernadette P.; Newman, Jill C.] Med Univ South Carolina, Div Gastroenterol &amp; Hepatol, Dept Med, Coll Med, 114 Doughty St, Charleston, SC 29425 USA; [Marriott, Bernadette P.; Malcolm, Robert J.] Med Univ South Carolina, Dept Psychiat &amp; Behav Sci, Coll Med, 67 President St, Charleston, SC 29425 USA; [Turner, Travis H.] Med Univ South Carolina, Dept Neurol, Coll Med, 96 Jonathan Lucas St,Suite 301 CSB, Charleston, SC 29425 USA; [Hibbeln, Joseph R.] Barton Hlth, Psychiat &amp; Behav Hlth, 2209 Second Ave, South Lake Tahoe, CA 96150 USA; [Pregulman, Marcie] Med Univ South Carolina, Div Nephrol, Dept Med, Coll Med,CSB, 96 Jonathan Lucas St,HE814,MSC629, Charleston, SC 29425 USA; [Malek, Angela M.] Med Univ South Carolina, Dept Publ Hlth Sci, Coll Med, 135 Cannon St,Suite 303C, Charleston, SC 29425 USA; [Burbelo, Gregory A.] US Army, LTC, Infantry, 432 Lee Rd 2069, Smiths Stn, AL 36877 USA; [Wismann, Jeffrey W.] US Army, 4-23 Infantry Regiment, Joint Base Lewis Mcchord, WA 98433 USA</t>
  </si>
  <si>
    <t>Medical University of South Carolina; Medical University of South Carolina; Medical University of South Carolina; Medical University of South Carolina; Medical University of South Carolina</t>
  </si>
  <si>
    <t>Marriott, BP (corresponding author), Med Univ South Carolina, Div Gastroenterol &amp; Hepatol, Dept Med, Coll Med, 114 Doughty St, Charleston, SC 29425 USA.;Marriott, BP (corresponding author), Med Univ South Carolina, Dept Psychiat &amp; Behav Sci, Coll Med, 67 President St, Charleston, SC 29425 USA.</t>
  </si>
  <si>
    <t>marriobp@musc.edu; turnertr@musc.edu; jhibbeln@bartonhealth.org; newmanji@musc.edu; pregulma@musc.edu; malek@musc.edu; malcolmr@musc.edu; gburbelo@gmail.com; Jeffrey.w.wismann.mil@mail.mil</t>
  </si>
  <si>
    <t>Turner, Travis/0000-0002-5729-4623; Malek, Angela/0000-0001-5691-5347</t>
  </si>
  <si>
    <t>Aker Biomarine Antarctic AS [8B422-01]; intramural program of the National Institute on Alcohol Abuse and Alcoholism, National Institutes of Health (NIH)</t>
  </si>
  <si>
    <t>Aker Biomarine Antarctic AS; intramural program of the National Institute on Alcohol Abuse and Alcoholism, National Institutes of Health (NIH)</t>
  </si>
  <si>
    <t>This research was funded by Aker Biomarine Antarctic AS, award #8B422-01 to the Medical University of South Carolina. The intramural program of the National Institute on Alcohol Abuse and Alcoholism, National Institutes of Health (NIH), also provided support for the study.</t>
  </si>
  <si>
    <t>2072-6643</t>
  </si>
  <si>
    <t>Nutrients</t>
  </si>
  <si>
    <t>10.3390/nu13061854</t>
  </si>
  <si>
    <t>SY5VP</t>
  </si>
  <si>
    <t>WOS:000665955600001</t>
  </si>
  <si>
    <t>Nyborg, C; Melsom, HS; Bonnevie-Svendsen, M; Melau, J; Seljeflot, I; Hisdal, J</t>
  </si>
  <si>
    <t>Nyborg, Christoffer; Melsom, Helene Stole; Bonnevie-Svendsen, Martin; Melau, Jorgen; Seljeflot, Ingebjorg; Hisdal, Jonny</t>
  </si>
  <si>
    <t>Transient Reduction of FMD-Response and L-Arginine Accompanied by Increased Levels of E-Selectin, VCAM, and ICAM after Prolonged Strenuous Exercise</t>
  </si>
  <si>
    <t>SPORTS</t>
  </si>
  <si>
    <t>FMD; endothelium; NO; inflammation; ironman; triathlon; E-selectin; VCAM-1; ICAM-1; L-arginine</t>
  </si>
  <si>
    <t>FLOW-MEDIATED DILATATION; ORAL L-ARGININE; ENDOTHELIUM-DEPENDENT DILATION; CORONARY-ARTERY-DISEASE; SHEAR-STRESS; NITRIC-OXIDE; VASCULAR FUNCTION; BRACHIAL-ARTERY; TIME-COURSE; RISK</t>
  </si>
  <si>
    <t>We assessed endothelial function by flow-mediated dilatation (FMD), levels of the NO-precursor L-arginine, and markers of endothelial inflammation before, at the finish line, and one week after the Norseman Xtreme triathlon. The race is an Ironman distance triathlon with a total elevation of 5200 m. Nine male participants were included. They completed the race in 14.5 (13.4-15.3) h. FMD was significantly reduced to 3.1 (2.1-5.0)% dilatation compared to 8.7 (8.2-9.3)% dilatation before the race (p &lt; 0.05) and was normalized one week after the race. L-arginine showed significantly reduced levels at the finish line (p &lt; 0.05) but was normalized one week after the race. Markers of endothelial inflammation E-Selectin, VCAM-1, and ICAM-1 all showed a pattern with increased values at the finish line compared to before the race (all p &lt; 0.05), with normalization one week after the race. In conclusion, we found acutely reduced FMD with reduced L-arginine levels and increased E-Selectin, VCAM-1, and ICAM-1 immediately after the Norseman Xtreme triathlon. Our findings indicate a transient reduced endothelial function, measured by the FMD-response, after prolonged strenuous exercise that could be explained by reduced NO-precursor L-arginine levels and increased endothelial inflammation.</t>
  </si>
  <si>
    <t>[Nyborg, Christoffer; Melsom, Helene Stole; Bonnevie-Svendsen, Martin; Melau, Jorgen; Seljeflot, Ingebjorg; Hisdal, Jonny] Univ Oslo, Inst Clin Med, Fac Med, N-0318 Oslo, Norway; [Nyborg, Christoffer; Melsom, Helene Stole; Bonnevie-Svendsen, Martin; Melau, Jorgen; Hisdal, Jonny] Oslo Univ Hosp, Dept Vasc Surg, N-0424 Oslo, Norway; [Melau, Jorgen] Vestfold Hosp Trust, Dept Prehosp Care, N-3103 Tonsberg, Norway; [Seljeflot, Ingebjorg] Oslo Univ Hosp, Dept Cardiol, Ctr Clin Heart Res, N-0424 Oslo, Norway</t>
  </si>
  <si>
    <t>University of Oslo; University of Oslo; University of Oslo</t>
  </si>
  <si>
    <t>Nyborg, C (corresponding author), Univ Oslo, Inst Clin Med, Fac Med, N-0318 Oslo, Norway.;Nyborg, C (corresponding author), Oslo Univ Hosp, Dept Vasc Surg, N-0424 Oslo, Norway.</t>
  </si>
  <si>
    <t>nyborgchristoffer@gmail.com; h.s.melsom@studmed.uio.no; martin.bonnevie@gmail.com; jorgen@melau.no; uxinlj@ous-hf.no; jonny.hisdal@medisin.uio.no</t>
  </si>
  <si>
    <t>Melau, Jørgen/G-9021-2016</t>
  </si>
  <si>
    <t>Melau, Jørgen/0000-0002-3860-3988; Seljeflot, Ingebjorg/0000-0003-4071-3358</t>
  </si>
  <si>
    <t>Aker BioMarine Antarctic AS</t>
  </si>
  <si>
    <t>This study was funded through a grant form Aker BioMarine Antarctic AS (http://www.akerbiomarine.com/, accessed on 21 May 2017).</t>
  </si>
  <si>
    <t>2075-4663</t>
  </si>
  <si>
    <t>Sports</t>
  </si>
  <si>
    <t>10.3390/sports9060086</t>
  </si>
  <si>
    <t>Sport Sciences</t>
  </si>
  <si>
    <t>SY4QZ</t>
  </si>
  <si>
    <t>WOS:000665876000001</t>
  </si>
  <si>
    <t>Wang, Q; Wang, YC; Jiang, XM; Ma, L; Li, ZJ; Chang, YG; Wang, YM; Xue, CH</t>
  </si>
  <si>
    <t>Wang, Qin; Wang, Yanchao; Jiang, Xiaoming; Ma, Lei; Li, Zhaojie; Chang, Yaoguang; Wang, Yuming; Xue, Changhu</t>
  </si>
  <si>
    <t>Amino Acid Profiling with Chemometric Analysis as a Feasible Tool for the Discrimination of Marine-Derived Peptide Powders</t>
  </si>
  <si>
    <t>FOODS</t>
  </si>
  <si>
    <t>marine-derived peptides; amino acid; chemometric analysis; classification; adulteration detection</t>
  </si>
  <si>
    <t>PERFORMANCE LIQUID-CHROMATOGRAPHY; BOTANICAL ORIGIN; MULTIVARIATE-ANALYSIS; CHEMICAL-COMPOSITION; NUTRITIONAL QUALITY; VEGETABLE-OILS; AUTHENTICITY; PROTEIN; FOOD; CLASSIFICATION</t>
  </si>
  <si>
    <t>Marine-derived peptide powders have suffered from adulteration via the substitution of lower-price peptides or the addition of adulterants in the market. This study aims to establish an effective approach for the discrimination and detection of adulterants for four representative categories of marine-derived peptide powders, namely, oyster peptides, sea cucumber peptides, Antarctic krill peptides, and fish skin peptides, based on amino acid profiling alongside chemometric analysis. The principal component analysis and orthogonal partial least squares discriminant analysis results indicate that four categories of marine-derived peptides could be distinctly classified into four clusters and aggregated with the respective raw materials. Taurine, glycine, lysine, and protein contents were the major discriminants. A reliable classification model was constructed and validated by the prediction dataset, mixture sample dataset, and unclassified sample dataset with accuracy values of 100%, 100%, and 100%, respectively.</t>
  </si>
  <si>
    <t>[Wang, Qin; Wang, Yanchao; Jiang, Xiaoming; Ma, Lei; Li, Zhaojie; Chang, Yaoguang; Wang, Yuming; Xue, Changhu] Ocean Univ China, Coll Food Sci &amp; Engn, Qingdao 266003, Peoples R China; [Chang, Yaoguang; Wang, Yuming; Xue, Changhu] Qingdao Natl Lab Marine Sci &amp; Technol, Lab Marine Drugs &amp; Bioprod, Qingdao 266237, Peoples R China; [Xue, Changhu] Qingdao Inst Marine Bioresources Nutr &amp; Hlth Inno, Qingdao 266109, Peoples R China</t>
  </si>
  <si>
    <t>Ocean University of China; Laoshan Laboratory</t>
  </si>
  <si>
    <t>Xue, CH (corresponding author), Ocean Univ China, Coll Food Sci &amp; Engn, Qingdao 266003, Peoples R China.;Xue, CH (corresponding author), Qingdao Natl Lab Marine Sci &amp; Technol, Lab Marine Drugs &amp; Bioprod, Qingdao 266237, Peoples R China.;Xue, CH (corresponding author), Qingdao Inst Marine Bioresources Nutr &amp; Hlth Inno, Qingdao 266109, Peoples R China.</t>
  </si>
  <si>
    <t>wangq218@126.com; wangyanchao@ouc.edu.cn; jxm@ouc.edu.cn; malei@ouc.edu.cn; lizhaojie@ouc.edu.cn; changyg@ouc.edu.cn; wangyuming@ouc.edu.cn; xuech@ouc.edu.cn</t>
  </si>
  <si>
    <t>yuming, wang/K-8179-2012; Jiang, Xiaoming/AES-5733-2022; Chang, Yaoguang/E-5875-2014</t>
  </si>
  <si>
    <t>Jiang, Xiaoming/0000-0002-1444-6121;</t>
  </si>
  <si>
    <t>National Natural Science Foundation of China [31801479]; Marine Science and Technology Fund of Shandong Province [2018SDKJ0304-2]; Fundamental Research Funds for the Central Universities of China [862001013136]</t>
  </si>
  <si>
    <t>National Natural Science Foundation of China(National Natural Science Foundation of China (NSFC)); Marine Science and Technology Fund of Shandong Province; Fundamental Research Funds for the Central Universities of China(Fundamental Research Funds for the Central Universities)</t>
  </si>
  <si>
    <t>This work was funded by the National Natural Science Foundation of China grant number 31801479, the Marine Science and Technology Fund of Shandong Province grant number 2018SDKJ0304-2, and the Fundamental Research Funds for the Central Universities of China grant number 862001013136.</t>
  </si>
  <si>
    <t>2304-8158</t>
  </si>
  <si>
    <t>Foods</t>
  </si>
  <si>
    <t>10.3390/foods10061294</t>
  </si>
  <si>
    <t>SZ2VF</t>
  </si>
  <si>
    <t>WOS:000666428700001</t>
  </si>
  <si>
    <t>Darham, S; Zahri, KNM; Zulkharnain, A; Sabri, S; Gomez-Fuentes, C; Convey, P; Khalil, KA; Ahmad, SA</t>
  </si>
  <si>
    <t>Darham, Syazani; Zahri, Khadijah Nabilah Mohd; Zulkharnain, Azham; Sabri, Suriana; Gomez-Fuentes, Claudio; Convey, Peter; Khalil, Khalilah Abdul; Ahmad, Siti Aqlima</t>
  </si>
  <si>
    <t>Statistical Optimisation and Kinetic Studies of Molybdenum Reduction Using a Psychrotolerant Marine Bacteria Isolated from Antarctica</t>
  </si>
  <si>
    <t>Antarctica; molybdenum; One-Factor-At-a-Time (OFAT); Response Surface Methodology (RSM); kinetic modelling</t>
  </si>
  <si>
    <t>HEAVY-METAL CONTAMINATION; SP-NOV.; GROWTH-KINETICS; SOILS; DEGRADATION; INHIBITION; WATER; BIODEGRADATION; BEHAVIOR; STATION</t>
  </si>
  <si>
    <t>The extensive industrial use of the heavy metal molybdenum (Mo) has led to an emerging global pollution with its traces that can even be found in Antarctica. In response, a reduction process that transforms hexamolybdate (Mo6+) to a less toxic compound, Mo-blue, using microorganisms provides a sustainable remediation approach. The aim of this study was to investigate the reduction of Mo by a psychrotolerant Antarctic marine bacterium, Marinomonas sp. strain AQ5-A9. Mo reduction was optimised using One-Factor-At-a-Time (OFAT) and Response Surface Methodology (RSM). Subsequently, Mo reduction kinetics were further studied. OFAT results showed that maximum Mo reduction occurred in culture media conditions of pH 6.0 and 50 ppt salinity at 15 degrees C, with initial sucrose, nitrogen and molybdate concentrations of 2.0%, 3.0 g/L and 10 mM, respectively. Further optimization using RSM identified improved optimum conditions of pH 6.0 and 47 ppt salinity at 16 degrees C, with initial sucrose, nitrogen and molybdate concentrations of 1.8%, 2.25 g/L and 16 mM, respectively. Investigation of the kinetics of Mo reduction revealed Aiba as the best-fitting model. The calculated Aiba coefficient of maximum Mo reduction rate (mu(max)) was 0.067 h(-1). The data obtained support the potential use of marine bacteria in the bioremediation of Mo.</t>
  </si>
  <si>
    <t>[Darham, Syazani; Zahri, Khadijah Nabilah Mohd; Ahmad, Siti Aqlima] Univ Putra Malaysia, Fac Biotechnol &amp; Biomol Sci, Dept Biochem, Serdang 43400, Selangor, Malaysia; [Zulkharnain, Azham] Shibaura Inst Technol, Coll Syst Engn &amp; Sci, Dept Biosci &amp; Engn, Minuma Ku, 307 Fukasaku, Saitama 3378570, Japan; [Sabri, Suriana] Univ Putra Malaysia, Fac Biotechnol &amp; Biomol Sci, Dept Microbiol, Serdang 43400, Selangor, Malaysia; [Gomez-Fuentes, Claudio] Univ Magallanes, Dept Chem Engn, Avda Bulnes, Punta Arenas 01855, Chile; [Gomez-Fuentes, Claudio; Ahmad, Siti Aqlima] Univ Magallanes, Ctr Res &amp; Antarctic Environm Monitoring CIMAA, Avda Bulnes, Punta Arenas 01855, Chile; [Convey, Peter] NERC, British Antarctic Survey, Madingley Rd, Cambridge CB3 0ET, England; [Khalil, Khalilah Abdul] Univ Teknol MARA, Fac Appl Sci, Sch Biol, Shah Alam 40450, Selangor, Malaysia; [Ahmad, Siti Aqlima] Univ Malaya, Natl Antarctic Res Ctr, B303 Level 3,Block B,IPS Bldg, Kuala Lumpur 50603, Malaysia</t>
  </si>
  <si>
    <t>Universiti Putra Malaysia; Shibaura Institute of Technology; Universiti Putra Malaysia; Universidad de Magallanes; Universidad de Magallanes; UK Research &amp; Innovation (UKRI); Natural Environment Research Council (NERC); NERC British Antarctic Survey; Universiti Teknologi MARA; Universiti Malaya</t>
  </si>
  <si>
    <t>Ahmad, SA (corresponding author), Univ Putra Malaysia, Fac Biotechnol &amp; Biomol Sci, Dept Biochem, Serdang 43400, Selangor, Malaysia.;Ahmad, SA (corresponding author), Univ Magallanes, Ctr Res &amp; Antarctic Environm Monitoring CIMAA, Avda Bulnes, Punta Arenas 01855, Chile.;Ahmad, SA (corresponding author), Univ Malaya, Natl Antarctic Res Ctr, B303 Level 3,Block B,IPS Bldg, Kuala Lumpur 50603, Malaysia.</t>
  </si>
  <si>
    <t>szani.d@gmail.com; khadijahnabilah95@gmail.com; azham@shibaura-it.ac.jp; suriana@upm.edu.my; claudio.gomez@umag.cl; pcon@bas.ac.uk; khali552@uitm.edu.my; aqlima@upm.edu.my</t>
  </si>
  <si>
    <t>Sabri, Suriana/AAT-5269-2021; Zahri, Khadijah Nabilah Mohd/AEQ-4594-2022; Convey, Peter/AAV-5728-2020; Gomez-Fuentes, Claudio/ACN-8984-2022; Darham, Syazani/ISU-3369-2023</t>
  </si>
  <si>
    <t>Sabri, Suriana/0000-0003-4027-5730; Convey, Peter/0000-0001-8497-9903; Gomez-Fuentes, Claudio/0000-0001-9060-7727; Zahri, Khadijah/0009-0000-2963-3109; Ahmad, Siti Aqlima/0000-0002-7625-3704; Zulkharnain, Azham/0000-0001-9173-8171</t>
  </si>
  <si>
    <t>Universiti Putra Malaysia [9660000]; Centro de Investigacion y Monitoreo Ambiental Antarctico (CIMAA); NERC; NERC [bas0100036] Funding Source: UKRI</t>
  </si>
  <si>
    <t>Universiti Putra Malaysia; Centro de Investigacion y Monitoreo Ambiental Antarctico (CIMAA); NERC(UK Research &amp; Innovation (UKRI)Natural Environment Research Council (NERC)); NERC(UK Research &amp; Innovation (UKRI)Natural Environment Research Council (NERC))</t>
  </si>
  <si>
    <t>This research was funded by Universiti Putra Malaysia, grant number PUTRA-Berimpak (9660000) and Centro de Investigacion y Monitoreo Ambiental Antarctico (CIMAA). P. Convey is supported by NERC core funding to the British Antarctic Survey's 'Biodiversity, Evolution and Adaptation' Team. The APC was funded by Universiti Putra Malaysia. We also thank Universiti Putra Malaysia for providing a GRF scholarship to S. Darham.</t>
  </si>
  <si>
    <t>10.3390/jmse9060648</t>
  </si>
  <si>
    <t>SY5YQ</t>
  </si>
  <si>
    <t>WOS:000665963600001</t>
  </si>
  <si>
    <t>Boles, BW; Murdoch, RW; Ohlsson, I; Mikucki, JA</t>
  </si>
  <si>
    <t>Boles, Bruce W.; Murdoch, Robert W.; Ohlsson, Ingemar; Mikucki, Jill A.</t>
  </si>
  <si>
    <t>Draft Genome Sequence of Shewanella sp. Strain BF02_Schw, Isolated from Blood Falls, a Feature Where Subglacial Brine Discharges to the Surface of Taylor Glacier, Antarctica</t>
  </si>
  <si>
    <t>We report the sequencing, assembly, and draft genome of Shewanella sp. strain BF02_Schw. The assembly contains 5,304,243 bp, with a GC content of 41.43%.</t>
  </si>
  <si>
    <t>[Boles, Bruce W.; Ohlsson, Ingemar; Mikucki, Jill A.] Univ Tennessee, Dept Microbiol, Knoxville, TN 37996 USA; [Murdoch, Robert W.] Univ Tennessee, Ctr Environm Biotechnol, Knoxville, TN 37932 USA</t>
  </si>
  <si>
    <t>University of Tennessee System; University of Tennessee Knoxville; University of Tennessee System; University of Tennessee Knoxville</t>
  </si>
  <si>
    <t>Mikucki, JA (corresponding author), Univ Tennessee, Dept Microbiol, Knoxville, TN 37996 USA.</t>
  </si>
  <si>
    <t>jmikucki@utk.edu</t>
  </si>
  <si>
    <t>Ohlsson, Jan Ingemar/0000-0003-1933-111X; Murdoch, Robert/0000-0002-6722-5605</t>
  </si>
  <si>
    <t>NASA Exobiology Program [80NSSC17K0243]; National Science Foundation (NSF) Office of Polar Programs [ANT 1643687]</t>
  </si>
  <si>
    <t>NASA Exobiology Program(National Aeronautics &amp; Space Administration (NASA)); National Science Foundation (NSF) Office of Polar Programs(National Science Foundation (NSF))</t>
  </si>
  <si>
    <t>Funding for this research was provided by the NASA Exobiology Program (grant 80NSSC17K0243 to J.A.M.) and the National Science Foundation (NSF) Office of Polar Programs (grant ANT 1643687 to J.A.M.). Logistical support for sample collection was provided by the U.S. Antarctic Program (USAP) Antarctic Support Contractor; E. Taylor assisted with CTAB nucleic acid extraction, J. Dunlap provided assistance with imaging of Shewanella sp. strain BF02_Schw, and A. Jarratt helped cultivate strain BF02_Schw. We declare that there are no potential conflicts of interest to disclose.</t>
  </si>
  <si>
    <t>e01141-20</t>
  </si>
  <si>
    <t>10.1128/MRA.01141-20</t>
  </si>
  <si>
    <t>SY3VT</t>
  </si>
  <si>
    <t>WOS:000665819700010</t>
  </si>
  <si>
    <t>Nahar, A; Baker, AL; Nichols, DS; Bowman, JP; Britz, ML</t>
  </si>
  <si>
    <t>Nahar, Akhikun; Baker, Anthony L.; Nichols, David S.; Bowman, John P.; Britz, Margaret L.</t>
  </si>
  <si>
    <t>Benchmarking DNA Extraction Methods for Phylogenomic Analysis of Sub-Antarctic Rhodococcus and Williamsia Species</t>
  </si>
  <si>
    <t>Actinobacteria; Rhodococcus erythropolis; Rhodococcus qingshengii; Williamsia; DNA extraction; next-generation sequencing; mycolic acids; ANI; psychrotrophic</t>
  </si>
  <si>
    <t>SP NOV.; GROWTH; GENE; STRAIN; CLASSIFICATION; DEGRADATION; BACTERIUM; QUALITY</t>
  </si>
  <si>
    <t>Bacteria containing mycolic acids in their cell envelope are often recalcitrant to cell lysis, so extracting DNA of sufficient quality for third-generation sequencing and high-fidelity genome assembly requires optimization, even when using commercial kits with protocols for hard-to-lyse bacteria. We benchmarked three spin-column-based kits against a classical DNA extraction method employing lysozyme, proteinase K and SDS for six lysozyme-resistant, sub-Antarctic strains of Corynebaceriales. Prior cultivation in broths containing glycine at highly growth-inhibitory concentrations (4.0-4.5%) improved cell lysis using both classical and kit methods. The classical method produced DNA with average fragment sizes of 27-59 Kbp and tight fragment size ranges, meeting quality standards for genome sequencing, assembly and phylogenomic analyses. By 16S rRNA gene sequencing, we classified two strains as Williamsia and four strains as Rhodococcus species. Pairwise comparison of average nucleotide identity (ANI) and alignment fraction (AF), plus genome clustering analysis, confirmed Rhodococcus sp. 1163 and 1168 and Williamsia sp. 1135 and 1138 as novel species. Phylogenetic, lipidomic and biochemical analyses classified psychrotrophic strains 1139 and 1159 as R. qingshengii and R. erythropolis, respectively, using ANI similarity of &gt;98% and AF &gt;60% for species delineation. On this basis, some members of the R. erythropolis genome cluster groups, including strains currently named as R. enclensis, R. baikonurensis, R. opacus and R. rhodochrous, would be reclassified either as R. erythropolis or R. qingshengii.</t>
  </si>
  <si>
    <t>[Nahar, Akhikun; Baker, Anthony L.; Bowman, John P.; Britz, Margaret L.] Univ Tasmania, Tasmanian Inst Agr, Hobart, Tas 7005, Australia; [Nichols, David S.] Univ Tasmania, Div Res, Cent Sci Lab, Hobart, Tas 7005, Australia</t>
  </si>
  <si>
    <t>Nahar, A; Britz, ML (corresponding author), Univ Tasmania, Tasmanian Inst Agr, Hobart, Tas 7005, Australia.</t>
  </si>
  <si>
    <t>Akhikun.nahar@utas.edu.au; Anthony.baker@outlook.com.au; d.nichols@utas.edu.au; john.bowman@utas.edu.au; Margaret.britz@utas.edu.au</t>
  </si>
  <si>
    <t>Bowman, John P/C-2414-2014</t>
  </si>
  <si>
    <t>Bowman, John P/0000-0002-4528-9333; Britz, Margaret/0000-0002-6413-3756; Nichols, David/0000-0002-8066-3132</t>
  </si>
  <si>
    <t>Endeavour Postgraduate Scholarship (Australian Government Colombo Plan); office of the Dean of Science, Engineering and Technology</t>
  </si>
  <si>
    <t>We would like to thank Michael Charleston from the School of Natural Sciences, University of Tasmania (Australia), for helping to assemble the bacterial genomes using ABySS software and Ross Corkrey from the Tasmanian Institute of Agriculture, University of Tasmania (Australia), for assisting to predict the bacterial growth temperature ranges using a nonlinear model. Akhikun Nahar's PhD project was funded by an Endeavour Postgraduate Scholarship (Australian Government Colombo Plan) and operating costs from the office of the Dean of Science, Engineering and Technology.</t>
  </si>
  <si>
    <t>10.3390/microorganisms9061253</t>
  </si>
  <si>
    <t>SY8BO</t>
  </si>
  <si>
    <t>WOS:000666106700001</t>
  </si>
  <si>
    <t>Zakaria, NN; Gomez-Fuentes, C; Khalil, KA; Convey, P; Roslee, AFA; Zulkharnain, A; Sabri, S; Shaharuddin, NA; Cárdenas, L; Ahmad, SA</t>
  </si>
  <si>
    <t>Zakaria, Nur Nadhirah; Gomez-Fuentes, Claudio; Khalil, Khalilah Abdul; Convey, Peter; Roslee, Ahmad Fareez Ahmad; Zulkharnain, Azham; Sabri, Suriana; Shaharuddin, Noor Azmi; Cardenas, Leyla; Ahmad, Siti Aqlima</t>
  </si>
  <si>
    <t>Statistical Optimisation of Diesel Biodegradation at Low Temperatures by an Antarctic Marine Bacterial Consortium Isolated from Non-Contaminated Seawater</t>
  </si>
  <si>
    <t>Antarctica; biodegradation; diesel; microbial consortium; seawater</t>
  </si>
  <si>
    <t>POLYCYCLIC AROMATIC-HYDROCARBONS; KING GEORGE ISLAND; CRUDE-OIL; DEGRADING BACTERIA; MICROBIAL-GROWTH; CLIMATE-CHANGE; N-ALKANES; BIOREMEDIATION; WATER; DEGRADATION</t>
  </si>
  <si>
    <t>Hydrocarbon pollution is widespread around the globe and, even in the remoteness of Antarctica, the impacts of hydrocarbons from anthropogenic sources are still apparent. Antarctica's chronically cold temperatures and other extreme environmental conditions reduce the rates of biological processes, including the biodegradation of pollutants. However, the native Antarctic microbial diversity provides a reservoir of cold-adapted microorganisms, some of which have the potential for biodegradation. This study evaluated the diesel hydrocarbon-degrading ability of a psychrotolerant marine bacterial consortium obtained from the coast of the north-west Antarctic Peninsula. The consortium's growth conditions were optimised using one-factor-at-a-time (OFAT) and statistical response surface methodology (RSM), which identified optimal growth conditions of pH 8.0, 10 degrees C, 25 ppt NaCl and 1.5 g/L NH4NO3. The predicted model was highly significant and confirmed that the parameters' salinity, temperature, nitrogen concentration and initial diesel concentration significantly influenced diesel biodegradation. Using the optimised values generated by RSM, a mass reduction of 12.23 mg/mL from the initial 30.518 mg/mL (4% (w/v)) concentration of diesel was achieved within a 6 d incubation period. This study provides further evidence for the presence of native hydrocarbon-degrading bacteria in non-contaminated Antarctic seawater.</t>
  </si>
  <si>
    <t>[Zakaria, Nur Nadhirah; Roslee, Ahmad Fareez Ahmad; Shaharuddin, Noor Azmi; Ahmad, Siti Aqlima] Univ Putra Malaysia, Fac Biotechnol &amp; Biomol Sci, Dept Biochem, Serdang 43400, Selangor, Malaysia; [Gomez-Fuentes, Claudio] Univ Magallanes, Dept Chem Engn, Avda Bulnes, Punta Arenas 01855, Region De Magal, Chile; [Gomez-Fuentes, Claudio; Ahmad, Siti Aqlima] Univ Magallanes, Ctr Res &amp; Antarctic Environm Monitoring CIMAA, Avda Bulnes, Punta Arenas 01855, Region De Magal, Chile; [Khalil, Khalilah Abdul] Univ Teknol MARA, Fac Appl Sci, Sch Biol, Shah Alam 40450, Selangor, Malaysia; [Convey, Peter] NERC, British Antarctic Survey, Madingley Rd, Cambridge CB3 0ET, England; [Convey, Peter] Univ Johannesburg, Dept Zool, POB 524, ZA-2006 Auckland Pk, South Africa; [Zulkharnain, Azham] Shibaura Inst Technol, Coll Syst Engn &amp; Sci, Dept Biosci &amp; Engn, Minuma Ku, 307 Fukasaku, Saitama 3378570, Japan; [Sabri, Suriana] Univ Putra Malaysia, Fac Biotechnol &amp; Biomol Sci, Dept Microbiol, Serdang 43400, Selangor, Malaysia; [Cardenas, Leyla] Univ Austral Chile, Fac Ciencias, Ctr Fondap Ideal, Inst Ciencias Ambientales &amp; Evolut, Casilla 567, Valdivia, Chile; [Ahmad, Siti Aqlima] Univ Malaya, Natl Antarctic Res Ctr, B303 Level 3,Block B,IPS Bldg, Kuala Lumpur 50603, Malaysia</t>
  </si>
  <si>
    <t>Universiti Putra Malaysia; Universidad de Magallanes; Universidad de Magallanes; Universiti Teknologi MARA; UK Research &amp; Innovation (UKRI); Natural Environment Research Council (NERC); NERC British Antarctic Survey; University of Johannesburg; Shibaura Institute of Technology; Universiti Putra Malaysia; Universidad Austral de Chile; Universiti Malaya</t>
  </si>
  <si>
    <t>Ahmad, SA (corresponding author), Univ Putra Malaysia, Fac Biotechnol &amp; Biomol Sci, Dept Biochem, Serdang 43400, Selangor, Malaysia.;Ahmad, SA (corresponding author), Univ Magallanes, Ctr Res &amp; Antarctic Environm Monitoring CIMAA, Avda Bulnes, Punta Arenas 01855, Region De Magal, Chile.;Ahmad, SA (corresponding author), Univ Malaya, Natl Antarctic Res Ctr, B303 Level 3,Block B,IPS Bldg, Kuala Lumpur 50603, Malaysia.</t>
  </si>
  <si>
    <t>nadhirahairakaz@gmail.com; claudio.gomez@umag.cl; khali552@uitm.edu.my; pcon@bas.ac.uk; fareezlee@yahoo.com; azham@shibaura-it.ac.jp; suriana@upm.edu.my; noorazmi@upm.edu.my; leylacardenas@uach.cl; aqlima@upm.edu.my</t>
  </si>
  <si>
    <t>Convey, Peter/AAV-5728-2020; Gomez-Fuentes, Claudio/ACN-8984-2022; Cardenas, Leyla/AAY-5671-2020; Sabri, Suriana/AAT-5269-2021</t>
  </si>
  <si>
    <t>Convey, Peter/0000-0001-8497-9903; Gomez-Fuentes, Claudio/0000-0001-9060-7727; Cardenas, Leyla/0000-0003-0676-6704; Sabri, Suriana/0000-0003-4027-5730; Ahmad, Siti Aqlima/0000-0002-7625-3704; Shaharuddin, Noor Azmi/0000-0003-0057-9932; Zulkharnain, Azham/0000-0001-9173-8171</t>
  </si>
  <si>
    <t>Putra-IPM fund [GPM-2018/9660000, GPM-2019/9678900, 2017/9300436]; YPASM Smart Partnership Initiative by Sultan Mizan Antarctic Research Foundation (YPASM) [6300247]; NERC; Centro de Investigacion y Monitoreo Ambiental Antarctico (CIMAA) Project; Public Service Department of Malaysia (JPA) scholarship; Fondap Center IDEAL [1500003]; NERC [bas0100036] Funding Source: UKRI</t>
  </si>
  <si>
    <t>Putra-IPM fund; YPASM Smart Partnership Initiative by Sultan Mizan Antarctic Research Foundation (YPASM); NERC(UK Research &amp; Innovation (UKRI)Natural Environment Research Council (NERC)); Centro de Investigacion y Monitoreo Ambiental Antarctico (CIMAA) Project; Public Service Department of Malaysia (JPA) scholarship; Fondap Center IDEAL; NERC(UK Research &amp; Innovation (UKRI)Natural Environment Research Council (NERC))</t>
  </si>
  <si>
    <t>This project was financially supported by Putra-IPM fund under the research grant attached to S.A. Ahmad (GPM-2018/9660000, GPM-2019/9678900, 2017/9300436) disbursed by Universiti Putra Malaysia (UPM) and YPASM Smart Partnership Initiative (6300247) by Sultan Mizan Antarctic Research Foundation (YPASM). P. Convey is supported by NERC core funding to the British Antarctic Survey's 'Biodiversity. Evolution and Adaptation' Team. C.G. Fuentes is supported by Centro de Investigacion y Monitoreo Ambiental Antarctico (CIMAA) Project. A. F. A. Roslee is funded by a Public Service Department of Malaysia (JPA) scholarship. L. Cardenas is funded by the Fondap Center IDEAL 1500003.</t>
  </si>
  <si>
    <t>10.3390/microorganisms9061213</t>
  </si>
  <si>
    <t>SZ7KH</t>
  </si>
  <si>
    <t>WOS:000666738800001</t>
  </si>
  <si>
    <t>González, C; Cartagena, C; Caballero, L; Melo, F; Areche, C; Cornejo, A</t>
  </si>
  <si>
    <t>Gonzalez, Camila; Cartagena, Constanza; Caballero, Leonardo; Melo, Francisco; Areche, Carlos; Cornejo, Alberto</t>
  </si>
  <si>
    <t>The Fumarprotocetraric Acid Inhibits Tau Covalently, Avoiding Cytotoxicity of Aggregates in Cells</t>
  </si>
  <si>
    <t>MOLECULES</t>
  </si>
  <si>
    <t>lichens; tauopathies; alpha,beta carbonyl group; inhibitors; aggregates; cytotoxicity</t>
  </si>
  <si>
    <t>ALZHEIMERS-DISEASE; FIBRILLIZATION; PATHOLOGY; THERAPY</t>
  </si>
  <si>
    <t>Neurodegenerative disorders, including Tauopathies that involve tau protein, base their pathological mechanism on forming proteinaceous aggregates, which has a deleterious effect on cells triggering an inflammatory response. Moreover, tau inhibitors can exert their mechanism of action through noncovalent and covalent interactions. Thus, Michael's addition appears as a feasible type of interaction involving an alpha, beta unsaturated carbonyl moiety to avoid pathological confirmation and further cytotoxicity. Moreover, we isolated three compounds from Antarctic lichens Cladonia cariosa and Himantormia lugubris: protolichesterinic acid (1), fumarprotocetraric acid (2), and lichesterinic acid (3). The maleimide cysteine labeling assay showed that compounds 1, 2, and 3 inhibit at 50 mu M, but compounds 2 and 3 are statistically significant. Based on its inhibition capacity, we decided to test compound 2 further. Thus, our results suggest that compound 2 remodel soluble oligomers and diminish beta sheet content, as demonstrated through ThT experiments. Hence, we added externally treated oligomers with compound 2 to demonstrate that they are harmless in cell culture. First, the morphology of cells in the presence of aggregates does not suffer evident changes compared to the control. Additionally, the externally added aggregates do not provoke a substantial LDH release compared to the control, indicating that treated oligomers do not provoke membrane damage in cell culture compared with aggregates alone. Thus, in the present work, we demonstrated that Michael's acceptors found in lichens could serve as a scaffold to explore different mechanisms of action to turn tau aggregates into harmless species.</t>
  </si>
  <si>
    <t>[Gonzalez, Camila; Cartagena, Constanza; Cornejo, Alberto] Univ Andres Bello, Escuela Tecnol Med, Fac Med, Santiago 8370071, Chile; [Caballero, Leonardo; Melo, Francisco] Usach, Dept Fis, Ctr Soft Matter Res, SMAT C, Ave Ecuador, Santiago 9170124, Chile; [Areche, Carlos] Univ Chile, Dept Quim, Fac Ciencias, Las Palmeras 3425, Santiago 7800003, Chile</t>
  </si>
  <si>
    <t>Universidad Andres Bello; Universidad de Santiago de Chile; Universidad de Chile</t>
  </si>
  <si>
    <t>Cornejo, A (corresponding author), Univ Andres Bello, Escuela Tecnol Med, Fac Med, Santiago 8370071, Chile.</t>
  </si>
  <si>
    <t>camilagonzalez92@hotmail.cl; coni.cartagenap@gmail.com; leonardo.caballero@usach.cl; francisco.melo@usach.cl; areche@uchile.cl; alberto.cornejo@unab.cl</t>
  </si>
  <si>
    <t>Melo, Francisco/M-3923-2014; Cornejo, Alberto/AAE-7978-2022; Areche, Carlos/I-2461-2013</t>
  </si>
  <si>
    <t>Areche, Carlos/0000-0001-5246-1368; Cornejo, Alberto/0000-0003-0837-4130; Melo, Francisco Esteban/0000-0001-6818-5476</t>
  </si>
  <si>
    <t>Instituto Antartico Chileno (INACH) [RT_18-19]; ANID-Chile; Fondecyt [1201013]; Fondequip [EQM 130149, EQM 170111]; Dicyt-Usach [041831MH]</t>
  </si>
  <si>
    <t>Instituto Antartico Chileno (INACH); ANID-Chile; Fondecyt(Comision Nacional de Investigacion Cientifica y Tecnologica (CONICYT)CONICYT FONDECYT); Fondequip; Dicyt-Usach</t>
  </si>
  <si>
    <t>AC and CA acknowledge the Instituto Antartico Chileno (INACH) RT_18-19. FM kindly acknowledges the ANID-Chile and its Fondecyt Program through the project No 1201013 for financial support. The Fondequip EQM 130149 and EQM 170111 and the Dicyt-Usach 041831MH-Postdoc projects contributed to this work with additional support.</t>
  </si>
  <si>
    <t>1420-3049</t>
  </si>
  <si>
    <t>Molecules</t>
  </si>
  <si>
    <t>10.3390/molecules26123760</t>
  </si>
  <si>
    <t>SZ3YG</t>
  </si>
  <si>
    <t>WOS:000666504200001</t>
  </si>
  <si>
    <t>Polyakov, V; Abakumov, E</t>
  </si>
  <si>
    <t>Polyakov, Vyacheslav; Abakumov, Evgeny</t>
  </si>
  <si>
    <t>Assessments of Organic Carbon Stabilization Using the Spectroscopic Characteristics of Humic Acids Separated from Soils of the Lena River Delta</t>
  </si>
  <si>
    <t>SEPARATIONS</t>
  </si>
  <si>
    <t>soil organic matter; C-13-NMR spectroscopy; carbon stabilization; Arctic; Cryosol</t>
  </si>
  <si>
    <t>MOLECULAR COMPOSITION; TUNDRA SOILS; C-13-NMR SPECTROSCOPY; ELEMENTAL COMPOSITION; ARCTIC SOILS; SUBSTANCES; MATTER; PERMAFROST; CRYOSOLS; PEAT</t>
  </si>
  <si>
    <t>In the Arctic zone, where up to 1024 x 1013 kg of organic matter is stored in permafrost-affected soils, soil organic matter consists of about 50% humic substances. Based on the analysis of the molecular composition of humic acids, we assessed the processes of accumulation of the key structural fragments, their transformations and the stabilization rates of carbon pools in soils in general. The landscape of the Lena River delta is the largest storage of stabilized organic matter in the Arctic. There is active accumulation and deposition of a significant amount of soil organic carbon from terrestrial ecosystems in a permafrost state. Under ongoing climate change, carbon emission fluxes into the atmosphere are estimated to be higher than the sequestration and storing of carbon compounds. Thus, investigation of soil organic matter stabilization mechanisms and rates is quite an urgent topic regarding polar soils. For study of molecular elemental composition, humic acids were separated from the soils of the Lena River delta. Key structural fragments of humic matter were identified and quantified by CP/MAS C-13 NMR spectroscopy: carboxyl (-COOR); carbonyl (-C=O); CH3-; CH2-; CH-aliphatic; -C-OR alcohols, esters and carbohydrates; and the phenolic (Ar-OH), quinone (Ar = O) and aromatic (Ar-) groups as benchmark Cryosols of the Lena delta river terrestrial ecosystem. Under the conditions of thermodynamic evolutionary selection, during the change between the dry and wet seasons, up to 41% of aromatic and carboxyl fragments accumulated in humic acids. Data obtained showed that three main groups of carbon played the most important role in soil organic matter stabilization, namely C, H-alkyls ((CH2)n/CH/C and CH3), aromatic compounds (C-C/C-H, C-O) and an OCH group (OCH/OCq). The variations of these carbon species' content in separated humics, with special reference to soil-permafrost organic profiles' recalcitrance in the current environment, is discussed.</t>
  </si>
  <si>
    <t>[Polyakov, Vyacheslav] St Petersburg State Univ, Fac Biol, Dept Appl Ecol, 16th Liniya VO 29, St Petersburg 199178, Russia; [Polyakov, Vyacheslav; Abakumov, Evgeny] Arctic &amp; Antarctic Res Inst, Beringa 38, St Petersburg 199397, Russia</t>
  </si>
  <si>
    <t>Polyakov, V (corresponding author), St Petersburg State Univ, Fac Biol, Dept Appl Ecol, 16th Liniya VO 29, St Petersburg 199178, Russia.;Polyakov, V (corresponding author), Arctic &amp; Antarctic Res Inst, Beringa 38, St Petersburg 199397, Russia.</t>
  </si>
  <si>
    <t>slavon6985@gmail.com; st049428@student.spbu.ru</t>
  </si>
  <si>
    <t>Abakumov, e_abakumov@mail.ru/ADJ-1297-2022; Abakumov, Evgeny/AAO-8580-2020; Polyakov, Vyacheslav/H-5483-2016</t>
  </si>
  <si>
    <t>Abakumov, e_abakumov@mail.ru/0000-0002-5248-9018; Abakumov, Evgeny/0000-0002-5248-9018; Abakumov, Evgeniy/0000-0003-3703-9147; Polyakov, Vyacheslav/0000-0001-6171-3221</t>
  </si>
  <si>
    <t>Russian Foundation for Basic Research [19-05-50107]</t>
  </si>
  <si>
    <t>Russian Foundation for Basic Research(Russian Foundation for Basic Research (RFBR)Spanish Government)</t>
  </si>
  <si>
    <t>This work was supported by a grant from the Russian Foundation for Basic Research, No. 19-05-50107.</t>
  </si>
  <si>
    <t>2297-8739</t>
  </si>
  <si>
    <t>Separations</t>
  </si>
  <si>
    <t>10.3390/separations8060087</t>
  </si>
  <si>
    <t>Chemistry, Analytical</t>
  </si>
  <si>
    <t>Chemistry</t>
  </si>
  <si>
    <t>SZ0GD</t>
  </si>
  <si>
    <t>WOS:000666254300001</t>
  </si>
  <si>
    <t>Zhang, SY; Zhao, GX; Suo, SK; Wang, YM; Chi, CF; Wang, B</t>
  </si>
  <si>
    <t>Zhang, Shuang-Yi; Zhao, Guo-Xu; Suo, Shi-Kun; Wang, Yu-Mei; Chi, Chang-Feng; Wang, Bin</t>
  </si>
  <si>
    <t>Purification, Identification, Activity Evaluation, and Stability of Antioxidant Peptides from Alcalase Hydrolysate of Antarctic Krill (Euphausia superba) Proteins</t>
  </si>
  <si>
    <t>Antarctic krill (Euphausia superba); peptide; antioxidant activity; stability</t>
  </si>
  <si>
    <t>RADICAL-SCAVENGING PEPTIDE; FUNCTIONAL-PROPERTIES; SPHYRNA-LEWINI; GASTROINTESTINAL DIGESTION; ANTIHYPERTENSIVE PEPTIDES; PHOSPHORYLATED PEPTIDES; DASYATIS-AKJEI; HEPG2 CELLS; MUSCLE; ENZYME</t>
  </si>
  <si>
    <t>For utilizing the largest source of marine proteins, Antarctic krill (Euphausia superba) proteins were defatted and hydrolyzed separately using pepsin, alcalase, papain, trypsin, and netrase, and alcalase hydrolysate (EPAH) showed the highest DPPH radical (DPPH center dot) and hydroxyl radical (HO center dot) scavenging activity among five hydrolysates. Using ultrafiltration and chromatography methods, fifteen antioxidant peptides were purified from EPAH and identified as Asn-Gln-Met (NQM), Trp-Phe-Pro-Met (WFPM), Gln-Asn-Pro-Thr (QNPT), Tyr-Met-Asn-Phe (YMNF), Ser-Gly-Pro-Ala (SGPA), Ser-Leu-Pro-Tyr (SLPY), Gln-Tyr-Pro-Pro-Met-Gln-Tyr (QYPPMQY), Glu-Tyr-Glu-Ala (EYEA), Asn-Trp-Asp-Asp-Met-Arg-Ile-Val-Ala-Val (NWDDMRIVAV), Trp-Asp-Asp-Met-Glu-Arg-Leu-Val-Met-Ile (WDDMERLVMI), Asn-Trp-Asp-Asp-Met-Glu-Pro-Ser-Phe (NWD-DMEPSF), Asn-Gly-Pro-Asp-Pro-Arg-Pro-Ser-Gln-Gln (NGPDPRPSQQ), Ala-Phe-Leu-Trp-Asn (AFLWA), Asn-Val-Pro-Asp-Met (NVPDM), and Thr-Phe-Pro-Ile-Tyr-Asp-Tyr-Pro-Gln (TFPIYDPQ), respectively, using a protein sequencer and ESI/MS. Among fifteen antioxidant peptides, SLPY, QYPPMQY and EYEA showed the highest scavenging activities on DPPH center dot (EC50 values of 1.18 +/- 0.036, 1.547 +/- 0.150, and 1.372 +/- 0.274 mg/mL, respectively), HO center dot (EC50 values of 0.826 +/- 0.027, 1.022 +/- 0.058, and 0.946 +/- 0.011 mg/mL, respectively), and superoxide anion radical (EC50 values of 0.789 +/- 0.079, 0.913 +/- 0.007, and 0.793 +/- 0.056 mg/mL, respectively). Moreover, SLPY, QYPPMQY and EYEA showed strong reducing power, protective capability against H2O2-damaged plasmid DNA, and lipid peroxidation inhibition ability. Furthermore, SLPY, QYPPMQY, and EYEA had high stability under temperatures lower than 80 degrees C, pH values ranged from 6-8, and simulated GI digestion for 180 min. The results showed that fifteen antioxidant peptides from alcalase hydrolysate of Antarctic krill proteins, especially SLPY, QYPPMQY and EYEA, might serve as effective antioxidant agents applied in food and health products.</t>
  </si>
  <si>
    <t>[Zhang, Shuang-Yi; Zhao, Guo-Xu; Suo, Shi-Kun; Wang, Yu-Mei] Zhejiang Ocean Univ, Zhejiang Prov Engn Technol Res Ctr Marine Biomed, Sch Food &amp; Pharm, Zhoushan 316022, Peoples R China; [Chi, Chang-Feng; Wang, Bin] Zhejiang Ocean Univ, Natl Engn Res Ctr Marine Facil Aquaculture, Sch Marine Sci &amp; Technol, Natl &amp; Prov Joint Lab Explorat &amp; Utilizat Marine, Zhoushan 316022, Peoples R China</t>
  </si>
  <si>
    <t>Zhejiang Ocean University; Zhejiang Ocean University; Chinese Academy of Sciences</t>
  </si>
  <si>
    <t>Chi, CF; Wang, B (corresponding author), Zhejiang Ocean Univ, Natl Engn Res Ctr Marine Facil Aquaculture, Sch Marine Sci &amp; Technol, Natl &amp; Prov Joint Lab Explorat &amp; Utilizat Marine, Zhoushan 316022, Peoples R China.</t>
  </si>
  <si>
    <t>zsydoubleone@outlook.com; xuzhao1109@sina.com; 13275896859@163.com; Wangyumei731@163.com; chichangfeng@hotmail.com; wangbin4159@hotmail.com</t>
  </si>
  <si>
    <t>zhang, jingxing/KCY-4726-2024; Wang, Bin/ADF-0628-2022</t>
  </si>
  <si>
    <t>Wang, Bin/0000-0002-2712-9045; chi, changfeng/0000-0003-0922-8602</t>
  </si>
  <si>
    <t>National Natural Science Foundation of China [82073764]; Ten-thousand Talents Plan of Zhejiang Province [2019R52026]</t>
  </si>
  <si>
    <t>National Natural Science Foundation of China(National Natural Science Foundation of China (NSFC)); Ten-thousand Talents Plan of Zhejiang Province</t>
  </si>
  <si>
    <t>This work was funded by the National Natural Science Foundation of China (No. 82073764) and Ten-thousand Talents Plan of Zhejiang Province (No. 2019R52026).</t>
  </si>
  <si>
    <t>10.3390/md19060347</t>
  </si>
  <si>
    <t>SZ7PR</t>
  </si>
  <si>
    <t>WOS:000666752800001</t>
  </si>
  <si>
    <t>Zhang, SK; Gong, L; Zeng, Q; Li, WH; Xiao, F; Lei, JT</t>
  </si>
  <si>
    <t>Zhang, Shengkai; Gong, Li; Zeng, Qi; Li, Wenhao; Xiao, Feng; Lei, Jintao</t>
  </si>
  <si>
    <t>Imputation of GPS Coordinate Time Series Using missForest</t>
  </si>
  <si>
    <t>missForest; imputation; GPS time series; RegEM</t>
  </si>
  <si>
    <t>INTERPOLATION</t>
  </si>
  <si>
    <t>The global positioning system (GPS) can provide the daily coordinate time series to help geodesy and geophysical studies. However, due to logistics and malfunctioning, missing values are often seen in GPS time series, especially in polar regions. Acquiring a consistent and complete time series is the prerequisite for accurate and reliable statical analysis. Previous imputation studies focused on the temporal relationship of time series, and only a few studies used spatial relationships and/or were based on machine learning methods. In this study, we impute 20 Greenland GPS time series using missForest, which is a new machine learning method for data imputation. The imputation performance of missForest and that of four traditional methods are assessed, and the methods' impacts on principal component analysis (PCA) are investigated. Results show that missForest can impute more than a 30-day gap, and its imputed time series has the least influence on PCA. When the gap size is 30 days, the mean absolute value of the imputed and true values for missForest is 2.71 mm. The normalized root mean squared error is 0.065, and the distance of the first principal component is 0.013. missForest outperforms the other compared methods. missForest can effectively restore the information of GPS time series and improve the results of related statistical processes, such as PCA analysis.</t>
  </si>
  <si>
    <t>[Zhang, Shengkai; Gong, Li; Zeng, Qi; Xiao, Feng] Wuhan Univ, Chinese Antarctic Ctr Surveying &amp; Mapping, Wuhan 430079, Peoples R China; [Li, Wenhao] Nanjing Tech Univ, Sch Geomat Sci &amp; Technol, Nanjing 211800, Peoples R China; [Lei, Jintao] Hong Kong Polytech Univ, Dept Land Surveying &amp; Geoinformat, Kowloon, Hong Kong, Peoples R China</t>
  </si>
  <si>
    <t>Wuhan University; Nanjing Tech University; Hong Kong Polytechnic University</t>
  </si>
  <si>
    <t>Lei, JT (corresponding author), Hong Kong Polytech Univ, Dept Land Surveying &amp; Geoinformat, Kowloon, Hong Kong, Peoples R China.</t>
  </si>
  <si>
    <t>zskai@whu.edu.cn; scallions@whu.edu.cn; jxlnz@whu.edu.cn; wh_li@njtech.edu.cn; shaw89@whu.edu.cn; jintao.lei@polyu.edu.hk</t>
  </si>
  <si>
    <t>LEI, Jintao/HHZ-6471-2022</t>
  </si>
  <si>
    <t>Feng, Xiao/0000-0003-3742-9380; Zhang, Shengkai/0000-0001-7436-2504; Lei, Jintao/0000-0002-4497-5868; gong, li/0000-0003-2105-0528</t>
  </si>
  <si>
    <t>National Key Research and Development Program of China [2017YFA0603104]; State Key Program of National Natural Science Foundation of China [42074006]</t>
  </si>
  <si>
    <t>National Key Research and Development Program of China; State Key Program of National Natural Science Foundation of China(National Natural Science Foundation of China (NSFC))</t>
  </si>
  <si>
    <t>This research was funded by the National Key Research and Development Program of China, grant number 2017YFA0603104 and the State Key Program of National Natural Science Foundation of China, grant number 42074006.</t>
  </si>
  <si>
    <t>10.3390/rs13122312</t>
  </si>
  <si>
    <t>SZ2HT</t>
  </si>
  <si>
    <t>WOS:000666393700001</t>
  </si>
  <si>
    <t>Pinkerton, MH; Hayward, A</t>
  </si>
  <si>
    <t>Pinkerton, Matthew H.; Hayward, Alexander</t>
  </si>
  <si>
    <t>Estimating variability and long-term change in sea ice primary productivity using a satellite-based light penetration index</t>
  </si>
  <si>
    <t>JOURNAL OF MARINE SYSTEMS</t>
  </si>
  <si>
    <t>Epontic algae; Climate change; Antarctic krill; Surface albedo; Climate cycles; Biogeochemistry</t>
  </si>
  <si>
    <t>ANTARCTIC CIRCUMPOLAR WAVE; SOUTHERN-OCEAN; ROSS SEA; PLEURAGRAMMA-ANTARCTICUM; MICROBIAL COMMUNITIES; NOVA BAY; KRILL; SURFACE; MODEL; SNOW</t>
  </si>
  <si>
    <t>Sea ice algae in the Southern Ocean have strong ecological and biogeochemical significance, providing a lipidrich food-resource to keystone species such as Antarctic krill. Despite their ecological importance, estimating seasonal or interannual changes in ice algal production at the Antarctic circumpolar scale is not presently possible. We show that the product of ice concentration and irradiance penetrating into sea ice (Eice) explains 69% of the variability in ice algal production at the sector and seasonal scale estimated from two respected sea ice algae models. After allowing for a greater quantum yield of sea ice algae in summer than in other seasons we estimated a simple light-based index of potential ice algal production (Pice) and this explained 91% of the variability in modelled ice algal production. Our results suggest that between 1987 and 2017, ice algal production has generally increased with the largest increases seen off East Antarctica, the Weddell Sea, and the western Ross Sea.</t>
  </si>
  <si>
    <t>[Pinkerton, Matthew H.; Hayward, Alexander] Natl Inst Water &amp; Atmospher Res NIWA Ltd, Private Bag 14901, Wellington, New Zealand</t>
  </si>
  <si>
    <t>National Institute of Water &amp; Atmospheric Research (NIWA) - New Zealand</t>
  </si>
  <si>
    <t>Pinkerton, MH (corresponding author), Natl Inst Water &amp; Atmospher Res NIWA Ltd, Private Bag 14901, Wellington, New Zealand.</t>
  </si>
  <si>
    <t>m.pinkerton@niwa.co.nz</t>
  </si>
  <si>
    <t>MBIE Endeavour Fund programme Ross-RAMP [C01X1710]; New Zealand NIWA (SSIF) Coasts &amp; Oceans, Programme 4; New Zealand Ministry of Business, Innovation &amp; Employment (MBIE) [C01X1710] Funding Source: New Zealand Ministry of Business, Innovation &amp; Employment (MBIE)</t>
  </si>
  <si>
    <t>MBIE Endeavour Fund programme Ross-RAMP; New Zealand NIWA (SSIF) Coasts &amp; Oceans, Programme 4; New Zealand Ministry of Business, Innovation &amp; Employment (MBIE)(New Zealand Ministry of Business, Innovation and Employment (MBIE))</t>
  </si>
  <si>
    <t>This work was completed under MBIE Endeavour Fund programme Ross-RAMP (C01X1710) with cofunding from New Zealand NIWA (SSIF) Coasts &amp; Oceans, Programme 4. We acknowledge the crucial service provided by the Earth observation community, especially; (1) SeaWiFS and MODIS data are used courtesy of NASA; (2) AVHRR data are used courtesy of NOAA; (3) Incident irradiance and surface albedo data used courtesy of the International Satellite Cloud Climatology Project; (4) Seaice data was accessed courtesy of the US National Snow and Ice Data Center.</t>
  </si>
  <si>
    <t>0924-7963</t>
  </si>
  <si>
    <t>1879-1573</t>
  </si>
  <si>
    <t>J MARINE SYST</t>
  </si>
  <si>
    <t>J. Mar. Syst.</t>
  </si>
  <si>
    <t>10.1016/j.jmarsys.2021.103576</t>
  </si>
  <si>
    <t>Geosciences, Multidisciplinary; Marine &amp; Freshwater Biology; Oceanography</t>
  </si>
  <si>
    <t>Geology; Marine &amp; Freshwater Biology; Oceanography</t>
  </si>
  <si>
    <t>SN8CE</t>
  </si>
  <si>
    <t>WOS:000658513500001</t>
  </si>
  <si>
    <t>Williams, TJ; Allen, MA; Ivanova, N; Huntemann, M; Haque, S; Hancock, AM; Brazendale, S; Cavicchioli, R</t>
  </si>
  <si>
    <t>Williams, Timothy J.; Allen, Michelle A.; Ivanova, Natalia; Huntemann, Marcel; Haque, Sabrina; Hancock, Alyce M.; Brazendale, Sarah; Cavicchioli, Ricardo</t>
  </si>
  <si>
    <t>Genome Analysis of a Verrucomicrobial Endosymbiont With a Tiny Genome Discovered in an Antarctic Lake</t>
  </si>
  <si>
    <t>Antarctic microbiology; Bacterial endosymbionts; metagenome; extreme genome reduction; genetic code 4</t>
  </si>
  <si>
    <t>MULTIPLE SEQUENCE ALIGNMENT; DEEP-BRANCHING CLADE; FATTY-ACID SYNTHESIS; GEN. NOV.; PHYLUM VERRUCOMICROBIA; MITOCHONDRIAL GENOME; DESULFOVIBRIO TRICHONYMPHAE; TETRAHYMENA-THERMOPHILA; BACTERIAL ENDOSYMBIONTS; CLUSTER BIOGENESIS</t>
  </si>
  <si>
    <t>Organic Lake in Antarctica is a marine-derived, cold (-13 degrees C), stratified (oxic-anoxic), hypersaline (&gt;200 gl(-1)) system with unusual chemistry (very high levels of dimethylsulfide) that supports the growth of phylogenetically and metabolically diverse microorganisms. Symbionts are not well characterized in Antarctica. However, unicellular eukaryotes are often present in Antarctic lakes and theoretically could harbor endosymbionts. Here, we describe Candidatus Organicella extenuata, a member of the Verrucomicrobia with a highly reduced genome, recovered as a metagenome-assembled genome with genetic code 4 (UGA-to-Trp recoding) from Organic Lake. It is closely related to Candidatus Pinguicocccus supinus (163,218 bp, 205 genes), a newly described cytoplasmic endosymbiont of the freshwater ciliate Euplotes vanleeuwenhoeki (Serra et al., 2020). At 158,228 bp (encoding 194 genes), the genome of Ca. Organicella extenuata is among the smallest known bacterial genomes and similar to the genome of Ca. Pinguicoccus supinus (163,218 bp, 205 genes). Ca. Organicella extenuata retains a capacity for replication, transcription, translation, and protein-folding while lacking any capacity for the biosynthesis of amino acids or vitamins. Notably, the endosymbiont retains a capacity for fatty acid synthesis (type II) and iron-sulfur (Fe-S) cluster assembly. Metagenomic analysis of 150 new metagenomes from Organic Lake and more than 70 other Antarctic aquatic locations revealed a strong correlation in abundance between Ca. Organicella extenuata and a novel ciliate of the genus Euplotes. Like Ca. Pinguicoccus supinus, we infer that Ca. Organicella extenuata is an endosymbiont of Euplotes and hypothesize that both Ca. Organicella extenuata and Ca. Pinguicocccus supinus provide fatty acids and Fe-S clusters to their Euplotes host as the foundation of a mutualistic symbiosis. The discovery of Ca. Organicella extenuata as possessing genetic code 4 illustrates that in addition to identifying endosymbionts by sequencing known symbiotic communities and searching metagenome data using reference endosymbiont genomes, the potential exists to identify novel endosymbionts by searching for unusual coding parameters.</t>
  </si>
  <si>
    <t>[Williams, Timothy J.; Allen, Michelle A.; Haque, Sabrina; Hancock, Alyce M.; Brazendale, Sarah; Cavicchioli, Ricardo] UNSW Sydney, Sch Biotechnol &amp; Biomol Sci, Sydney, NSW, Australia; [Ivanova, Natalia; Huntemann, Marcel] US DOE, Joint Genome Inst, Berkeley, CA USA</t>
  </si>
  <si>
    <t>University of New South Wales Sydney; United States Department of Energy (DOE); Joint Genome Institute - JGI</t>
  </si>
  <si>
    <t>Cavicchioli, R (corresponding author), UNSW Sydney, Sch Biotechnol &amp; Biomol Sci, Sydney, NSW, Australia.</t>
  </si>
  <si>
    <t>r.cavicchioli@unsw.edu.au</t>
  </si>
  <si>
    <t>Huntemann, Marcel/HCH-8928-2022; Haque, Sabrina/GRX-3009-2022; Cavicchioli, Ricardo/D-4341-2013</t>
  </si>
  <si>
    <t>Huntemann, Marcel/0000-0002-1284-3748; Ivanova, Natalia/0000-0002-5802-9485; Allen, Michelle/0000-0002-8852-1454; Williams, Timothy/0000-0002-2738-3019; Cavicchioli, Ricardo/0000-0001-8989-6402</t>
  </si>
  <si>
    <t>Australian Research Council [DP150100244]; Australian Antarctic Science Program [4031]; Office of Science of the U.S. Department of Energy [DE-AC02-05CH11231]</t>
  </si>
  <si>
    <t>Australian Research Council(Australian Research Council); Australian Antarctic Science Program; Office of Science of the U.S. Department of Energy(United States Department of Energy (DOE))</t>
  </si>
  <si>
    <t>This work was supported by the Australian Research Council (DP150100244) and the Australian Antarctic Science Program (project 4031). The work conducted by the U.S. Department of Energy Joint Genome Institute, a DOE Office of Science User Facility, was supported by the Office of Science of the U.S. Department of Energy under contract no. DE-AC02-05CH11231.</t>
  </si>
  <si>
    <t>JUN 1</t>
  </si>
  <si>
    <t>10.3389/fmicb.2021.674758</t>
  </si>
  <si>
    <t>SS2BC</t>
  </si>
  <si>
    <t>WOS:000661545700001</t>
  </si>
  <si>
    <t>Dyson, T; Chiang, HC; Egan, E; Ghazi, N; Ménard, T; Monsalve, RA; Moso, T; Peterson, J; Sievers, JL; Tartakovsky, S</t>
  </si>
  <si>
    <t>Dyson, T.; Chiang, H. C.; Egan, E.; Ghazi, N.; Menard, T.; Monsalve, R. A.; Moso, T.; Peterson, J.; Sievers, J. L.; Tartakovsky, S.</t>
  </si>
  <si>
    <t>Radio-Frequency Interference at the McGill Arctic Research Station</t>
  </si>
  <si>
    <t>JOURNAL OF ASTRONOMICAL INSTRUMENTATION</t>
  </si>
  <si>
    <t>Radio astronomy; site testing</t>
  </si>
  <si>
    <t>The frequencies of interest for redshifted 21 cm observations are heavily affected by terrestrial radio-frequency interference (RFI). We identify the McGill Arctic Research Station (MARS) as a new RFI-quiet site and report its RFI occupancy using 122 h of data taken with a prototype antenna station developed for the Array of Long-Baseline Antennas for Taking Radio Observations from the Sub-Antarctic. Using an RFI flagging process tailored to the MARS data, we find an overall RFI occupancy of 1.8% averaged over 20-125 MHz. In particular, the FM broadcast band (88-108 MHz) is found to have an RFI occupancy of at most 1.6%. The data were taken during the Arctic summer, when degraded ionospheric conditions and an active research base contributed to increased RFI. The results quoted here therefore represent the maximum-level RFI environment at MARS.</t>
  </si>
  <si>
    <t>[Dyson, T.; Chiang, H. C.; Egan, E.; Menard, T.; Monsalve, R. A.; Sievers, J. L.; Tartakovsky, S.] McGill Univ, Dept Phys, Montreal, PQ H3A 2T8, Canada; [Dyson, T.; Chiang, H. C.; Ghazi, N.; Moso, T.] Univ KwaZulu Natal, Sch Math Stat &amp; Comp Sci, ZA-4000 Durban, South Africa; [Monsalve, R. A.] Arizona State Univ, Sch Earth &amp; Space Explorat, Tempe, AZ 85287 USA; [Monsalve, R. A.] Univ Catolica Santisima Concepcion, Fac Ingn, Alonso Ribera 2850, Concepcion, Chile; [Peterson, J.] Carnegie Mellon Univ, Dept Phys, Pittsburgh, PA 15213 USA; [Sievers, J. L.] Univ KwaZulu Natal, Sch Chem &amp; Phys, ZA-4000 Durban, South Africa</t>
  </si>
  <si>
    <t>McGill University; University of Kwazulu Natal; Arizona State University; Arizona State University-Tempe; Universidad Catolica de la Santisima Concepcion; Carnegie Mellon University; University of Kwazulu Natal</t>
  </si>
  <si>
    <t>Dyson, T (corresponding author), McGill Univ, Dept Phys, Montreal, PQ H3A 2T8, Canada.;Dyson, T (corresponding author), Univ KwaZulu Natal, Sch Math Stat &amp; Comp Sci, ZA-4000 Durban, South Africa.</t>
  </si>
  <si>
    <t>taj.dyson@mail.mcgill.ca</t>
  </si>
  <si>
    <t>Dyson, Taj/0000-0002-4816-4480; Moso, Tankiso/0000-0002-0933-4678; Monsalve, Raul/0000-0002-3287-2327</t>
  </si>
  <si>
    <t>Natural Sciences and Engineering Research Council of Canada [RGPIN-2019-04506, RGPNS-2019-534549, 508480]; Fonds de recherche du Quebec Nature et technologies; Polar Continental Shelf Program; SciNet; Compute Canada; Hippo cluster at the University of KwaZuluNatal</t>
  </si>
  <si>
    <t>Natural Sciences and Engineering Research Council of Canada(Natural Sciences and Engineering Research Council of Canada (NSERC)CGIAR); Fonds de recherche du Quebec Nature et technologies(Fonds de recherche du Quebec (FRQ)Fonds de recherche du Quebec - Nature et technologies (FRQNT)); Polar Continental Shelf Program; SciNet; Compute Canada; Hippo cluster at the University of KwaZuluNatal</t>
  </si>
  <si>
    <t>We gratefully acknowledge the support of the Natural Sciences and Engineering Research Council of Canada (Grant Numbers RGPIN-2019-04506, RGPNS-2019-534549, funding reference number 508480) and the Fonds de recherche du Quebec Nature et technologies. We also acknowledge the Polar Continental Shelf Program for providing funding and logistical support for our research program, and we extend our sincere gratitude to the Resolute staff for their generous assistance and bottomless cookie jars. This research was undertaken, in part, thanks to funding from the Canada 150 Program. This research was enabled in part by support provided by SciNet (www.scinethpc.ca), Compute Canada (www.computecanada.ca), and the Hippo cluster at the University of KwaZuluNatal. The authors would like to thank Chris Omelon, Wayne Pollard, and all of the MARS researchers for their invaluable advice and field help.</t>
  </si>
  <si>
    <t>WORLD SCIENTIFIC PUBL CO PTE LTD</t>
  </si>
  <si>
    <t>SINGAPORE</t>
  </si>
  <si>
    <t>5 TOH TUCK LINK, SINGAPORE 596224, SINGAPORE</t>
  </si>
  <si>
    <t>2251-1717</t>
  </si>
  <si>
    <t>2251-1725</t>
  </si>
  <si>
    <t>J ASTRON INSTRUM</t>
  </si>
  <si>
    <t>J. Astron. Instrum.</t>
  </si>
  <si>
    <t>10.1142/S2251171721500070</t>
  </si>
  <si>
    <t>SR5ZN</t>
  </si>
  <si>
    <t>hybrid, Green Submitted</t>
  </si>
  <si>
    <t>WOS:000661122100003</t>
  </si>
  <si>
    <t>Reisinger, RR; Friedlaender, AS; Zerbini, AN; Palacios, DM; Andrews-Goff, V; Dalla Rosa, L; Double, M; Findlay, K; Garrigue, C; How, J; Jenner, C; Jenner, MN; Mate, B; Rosenbaum, HC; Seakamela, SM; Constantine, R</t>
  </si>
  <si>
    <t>Reisinger, Ryan R.; Friedlaender, Ari S.; Zerbini, Alexandre N.; Palacios, Daniel M.; Andrews-Goff, Virginia; Dalla Rosa, Luciano; Double, Mike; Findlay, Ken; Garrigue, Claire; How, Jason; Jenner, Curt; Jenner, Micheline-Nicole; Mate, Bruce; Rosenbaum, Howard C.; Seakamela, S. Mduduzi; Constantine, Rochelle</t>
  </si>
  <si>
    <t>Combining Regional Habitat Selection Models for Large-Scale Prediction: Circumpolar Habitat Selection of Southern Ocean Humpback Whales</t>
  </si>
  <si>
    <t>ensembles; habitat selection; machine learning; prediction; resource selection functions; telemetry; humpback whale; Megaptera novaeangliae</t>
  </si>
  <si>
    <t>SPECIES DISTRIBUTION MODELS; MEGAPTERA-NOVAEANGLIAE; SPACE; MOVEMENT; PERFORMANCE; ABUNDANCE; ACCURACY; SEABIRDS; PACKAGE; RANGE</t>
  </si>
  <si>
    <t>Machine learning algorithms are often used to model and predict animal habitat selection-the relationships between animal occurrences and habitat characteristics. For broadly distributed species, habitat selection often varies among populations and regions; thus, it would seem preferable to fit region- or population-specific models of habitat selection for more accurate inference and prediction, rather than fitting large-scale models using pooled data. However, where the aim is to make range-wide predictions, including areas for which there are no existing data or models of habitat selection, how can regional models best be combined? We propose that ensemble approaches commonly used to combine different algorithms for a single region can be reframed, treating regional habitat selection models as the candidate models. By doing so, we can incorporate regional variation when fitting predictive models of animal habitat selection across large ranges. We test this approach using satellite telemetry data from 168 humpback whales across five geographic regions in the Southern Ocean. Using random forests, we fitted a large-scale model relating humpback whale locations, versus background locations, to 10 environmental covariates, and made a circumpolar prediction of humpback whale habitat selection. We also fitted five regional models, the predictions of which we used as input features for four ensemble approaches: an unweighted ensemble, an ensemble weighted by environmental similarity in each cell, stacked generalization, and a hybrid approach wherein the environmental covariates and regional predictions were used as input features in a new model. We tested the predictive performance of these approaches on an independent validation dataset of humpback whale sightings and whaling catches. These multiregional ensemble approaches resulted in models with higher predictive performance than the circumpolar naive model. These approaches can be used to incorporate regional variation in animal habitat selection when fitting range-wide predictive models using machine learning algorithms. This can yield more accurate predictions across regions or populations of animals that may show variation in habitat selection.</t>
  </si>
  <si>
    <t>[Reisinger, Ryan R.] Univ Calif Santa Cruz, Inst Marine Sci, 115 McAllister Way, Santa Cruz, CA 95060 USA; [Friedlaender, Ari S.] Univ Calif Santa Cruz, Ecol &amp; Evolutionary Biol, 115 McAllister Way, Santa Cruz, CA 95060 USA; [Zerbini, Alexandre N.] NOAA Fisheries, Marine Mammal Lab, Alaska Fisheries Sci Ctr, 7600 Sand Point Way NE, Seattle, WA 98115 USA; [Zerbini, Alexandre N.] Marine Ecol &amp; Telemetry Res, 2468 Camp McKenzie Trail NW, Seabeck, WA 98380 USA; [Palacios, Daniel M.; Mate, Bruce] Oregon State Univ, Marine Mammal Inst, 2030 SE Marine Sci Dr, Newport, OR 97365 USA; [Andrews-Goff, Virginia; Double, Mike] Australian Marine Mammal Ctr, Australian Antarctic Div, 203 Channel Highway, Kingston, Tas 7050, Australia; [Dalla Rosa, Luciano] Univ Fed Rio Grande FURG, Inst Oceanog, Ave Italia Km 8 S-N, BR-96203900 Rio Grande, RS, Brazil; [Findlay, Ken] Cape Peninsula Univ Technol, ZA-8000 Cape Town, South Africa; [Findlay, Ken] Univ Pretoria, Dept Zool &amp; Entomol, Mammal Res Inst, Private Bag X20, ZA-0028 Hatfield, South Africa; [Garrigue, Claire] Univ Nouvelle Caledonie, UMR ENTROPIE, IRD, Univ La Reunion,CNRS,IFREMER,Lab Excellence CORAI, BP A5, Noumea 98848, New Caledonia; [How, Jason] Dept Primary Ind &amp; Reg Dev, Perth, WA 6000, Australia; [Jenner, Curt; Jenner, Micheline-Nicole] Ctr Whale Res, POB 1622, Fremantle, WA 6959, Australia; [Rosenbaum, Howard C.] Wildlife Conservat Soc, Ocean Giants Program, 2300 Southern Blvd, Bronx, NY 10460 USA; [Seakamela, S. Mduduzi] V&amp;A Waterfront, Dept Forestry Fisheries &amp; Environm, Branch Oceans &amp; Coasts, POB 52126, ZA-8000 Cape Town, South Africa; [Constantine, Rochelle] Univ Auckland, Sch Biol Sci, Private Bag 92019, Auckland 1142, New Zealand; [Constantine, Rochelle] Univ Auckland, Inst Marine Sci, Private Bag 92019, Auckland 1142, New Zealand</t>
  </si>
  <si>
    <t>University of California System; University of California Santa Cruz; University of California System; University of California Santa Cruz; National Oceanic Atmospheric Admin (NOAA) - USA; Oregon State University; Australian Antarctic Division; Universidade Federal do Rio Grande; Cape Peninsula University of Technology; University of Pretoria; Ifremer; Universite Nouvelle Caledonie; Institut de Recherche pour le Developpement (IRD); Wildlife Conservation Society; University of Auckland; University of Auckland</t>
  </si>
  <si>
    <t>Reisinger, RR (corresponding author), Univ Calif Santa Cruz, Inst Marine Sci, 115 McAllister Way, Santa Cruz, CA 95060 USA.</t>
  </si>
  <si>
    <t>ryan.reisinger@ucsc.edu; ari.friedlaender@ucsc.edu; alex.zerbini@noaa.gov; daniel.palacios@oregonstate.edu; virginia.andrews-goff@aad.gov.au; l.dalla@furg.br; mike.double@aad.gov.au; findlayk@cput.ac.za; claire.garrigue@ird.fr; jason.how@dpird.wa.gov.au; curt@cwr.org.au; micheline@cwr.org.au; bruce.mate@oregonstate.edu; hrosenbaum@wcs.org; smseakamela@environment.gov.za; r.constantine@auckland.ac.nz</t>
  </si>
  <si>
    <t>Palacios, Daniel M./B-9180-2008; Rosa, Luciano Dalla/D-5660-2012; Findlay, Ken/A-5766-2019; garrigue, claire/I-4704-2016; Reisinger, Ryan/D-6151-2014</t>
  </si>
  <si>
    <t>Palacios, Daniel M./0000-0001-7069-7913; Rosa, Luciano Dalla/0000-0002-1583-6471; Andrews-Goff, Virginia/0000-0002-4609-7317; Findlay, Ken/0000-0001-7154-8805; garrigue, claire/0000-0002-8117-3370; Reisinger, Ryan/0000-0002-8933-6875; Seakamela, Simon Mduduzi/0000-0002-7873-208X</t>
  </si>
  <si>
    <t>International Whaling Commission Southern Ocean Research Partnership</t>
  </si>
  <si>
    <t>Funding for data collation, analysis, and write-up was provided by the International Whaling Commission Southern Ocean Research Partnership.</t>
  </si>
  <si>
    <t>10.3390/rs13112074</t>
  </si>
  <si>
    <t>SQ8KN</t>
  </si>
  <si>
    <t>WOS:000660599100001</t>
  </si>
  <si>
    <t>Choe, BH; Samsonov, S; Jung, J</t>
  </si>
  <si>
    <t>Choe, Byung-Hun; Samsonov, Sergey; Jung, Jungkyo</t>
  </si>
  <si>
    <t>3D SAR Speckle Offset Tracking Potential for Monitoring Landfast Ice Growth and Displacement</t>
  </si>
  <si>
    <t>SAR speckle offset tracking; 3D time-series analysis; landfast ice growth; Mackenzie Delta; Sentinel-1</t>
  </si>
  <si>
    <t>ANTARCTIC SEA-ICE; BEAUFORT SEA; D-INSAR; RADAR; THICKNESS; MOTION; SHEET; LAKES; INTERFEROMETRY; ALASKA</t>
  </si>
  <si>
    <t>This study investigates the growth and displacement of landfast ice along the shoreline of the Mackenzie Delta in Northwest Territories, Canada, by synthetic aperture radar (SAR) speckle offset tracking (SPO). Three-dimensional (3D) offsets were reconstructed from Sentinel-1 ascending and descending SAR images acquired on the same dates during the November 2017-April 2018 and October 2018-May 2019 annual cycles. The analysis revealed both horizontal and vertical offsets. The annual horizontal offsets of up to similar to 8 m are interpreted as landfast ice displacements caused by wind and ocean currents. The annual vertical offsets of approximately -1 to -2 m were observed from landfast ice, which are likely due to longer radar penetration up to the ice-water interface with increasing landfast ice thickness. Numerical ice thickness model estimates supported the conclusion that the cumulative vertical negative offsets correspond to the growth of freshwater ice. Time-series analysis showed that the significant growth and displacement of landfast ice in the Mackenzie Delta occurred between November and January during the 2017-2018 and 2018-2019 cycles.</t>
  </si>
  <si>
    <t>[Choe, Byung-Hun; Samsonov, Sergey] Nat Resources Canada, Canada Ctr Mapping &amp; Earth Observat CCMEO, Ottawa, ON K1S 5K2, Canada; [Jung, Jungkyo] CALTECH, Jet Prop Lab, 4800 Oak Grove Dr, Pasadena, CA 91109 USA</t>
  </si>
  <si>
    <t>Natural Resources Canada; Strategic Policy &amp; Results Sector - Natural Resources Canada; Canada Centre for Mapping &amp; Earth Observation (CCMEO); California Institute of Technology; National Aeronautics &amp; Space Administration (NASA); NASA Jet Propulsion Laboratory (JPL)</t>
  </si>
  <si>
    <t>Choe, BH (corresponding author), Nat Resources Canada, Canada Ctr Mapping &amp; Earth Observat CCMEO, Ottawa, ON K1S 5K2, Canada.</t>
  </si>
  <si>
    <t>byung-hun.choe@canada.ca; sergey.samsonov@canada.ca; jungkyo.jung@jpl.nasa.gov</t>
  </si>
  <si>
    <t>Samsonov, Sergey V/F-7417-2013</t>
  </si>
  <si>
    <t>Jung, Jungkyo/0000-0001-6037-8839; Choe, Byung-Hun/0000-0002-3285-7151; Samsonov, Sergey/0000-0002-6798-4847</t>
  </si>
  <si>
    <t>Canadian Space Agency (CSA) through the Data Utilization and Application Plan (DUAP) program</t>
  </si>
  <si>
    <t>This work was funded by the Canadian Space Agency (CSA) through the Data Utilization and Application Plan (DUAP) program.</t>
  </si>
  <si>
    <t>10.3390/rs13112168</t>
  </si>
  <si>
    <t>SQ8LZ</t>
  </si>
  <si>
    <t>WOS:000660602900001</t>
  </si>
  <si>
    <t>Kwon, YJ; Hong, S; Park, JW; Kim, SH; Kim, JM; Kim, HC</t>
  </si>
  <si>
    <t>Kwon, Young-Joo; Hong, Sungwook; Park, Jeong-Won; Kim, Seung Hee; Kim, Jong-Min; Kim, Hyun-Cheol</t>
  </si>
  <si>
    <t>Spatial and Temporal Variability of Minimum Brightness Temperature at the 6.925 GHz Band of AMSR2 for the Arctic and Antarctic Oceans</t>
  </si>
  <si>
    <t>passive microwave; ocean; AMSR2; tie point; Arctic amplification</t>
  </si>
  <si>
    <t>SEA-ICE COVER; DIELECTRIC-CONSTANT; SOUTHERN-OCEAN; SURFACE; RETRIEVAL; MODEL; WIND; INTERCALIBRATION; CLIMATOLOGY; EMISSIVITY</t>
  </si>
  <si>
    <t>The minimum brightness temperature (mBT) of seawater in the polar region is an important parameter in algorithms for determining sea ice concentration or snow depth. To estimate the mBT of seawater at 6.925 GHz for the Arctic and Antarctic Oceans and to find their physical characteristics, we collected brightness temperature and sea ice concentration data from the Advanced Microwave Scanning Radiometer 2 (AMSR2) for eight years from 2012 to 2020. The estimated mBT shows constant annual values, but we found a significant difference in the seasonal variability between the Arctic and Antarctic Oceans. We calculated the mBT with the radiative transfer model parameterized by sea surface temperature (SST), sea surface wind speed (SSW), and integrated water vapor (IWV) and compared them with our observations. The estimated mBT represents the modeled mBT emitted from seawater under conditions of 2-5 m/s SSW and SST below 0 degrees C, except in the Arctic summer. The exceptional summer mBT in the Arctic Ocean was related to unusually high SST. We found evidence of Arctic amplification in the seasonal variability of Arctic mBT.</t>
  </si>
  <si>
    <t>[Kwon, Young-Joo; Park, Jeong-Won; Kim, Seung Hee; Kim, Jong-Min; Kim, Hyun-Cheol] Korea Polar Res Inst, Ctr Remote Sensing, Incheon 21990, South Korea; [Kwon, Young-Joo; Park, Jeong-Won; Kim, Seung Hee; Kim, Jong-Min; Kim, Hyun-Cheol] Korea Polar Res Inst, GIS, Incheon 21990, South Korea; [Hong, Sungwook] Sejong Univ, Dept Environm Energy &amp; Geoinfomat, 209 Neungdongro, Seoul 05006, South Korea</t>
  </si>
  <si>
    <t>Korea Polar Research Institute (KOPRI); Korea Polar Research Institute (KOPRI); Sejong University</t>
  </si>
  <si>
    <t>Kim, HC (corresponding author), Korea Polar Res Inst, Ctr Remote Sensing, Incheon 21990, South Korea.;Kim, HC (corresponding author), Korea Polar Res Inst, GIS, Incheon 21990, South Korea.</t>
  </si>
  <si>
    <t>kwonyj@kopri.re.kr; sesttiya@sejong.ac.kr; jeong-won.park@kopri.re.kr; seunghee@kopri.re.kr; poko519@kopri.re.kr; kimhc@kopri.re.kr</t>
  </si>
  <si>
    <t>Kim, Seung Hee/0000-0002-6434-5388; Kwon, Young-Joo/0000-0003-1293-9405; Kim, Hyun-Cheol/0000-0002-6831-9291; hong, sungwook/0000-0001-5518-9478; Park, Jeong-Won/0000-0001-6122-0910; Kim, Jong-min/0000-0002-7852-4758</t>
  </si>
  <si>
    <t>Korea Polar Research Institute (KOPRI) [PE21040]; Ministry of Trade, Industry and Energy (MOTIE, Korea) [PN21030]</t>
  </si>
  <si>
    <t>Korea Polar Research Institute (KOPRI)(Korea Polar Research Institute of Marine Research Placement (KOPRI)); Ministry of Trade, Industry and Energy (MOTIE, Korea)(Ministry of Trade, Industry &amp; Energy (MOTIE), Republic of Korea)</t>
  </si>
  <si>
    <t>This research was supported by the Korea Polar Research Institute (KOPRI) through grant PE21040 and the Ministry of Trade, Industry and Energy (MOTIE, Korea) (Project Number: PN21030).</t>
  </si>
  <si>
    <t>10.3390/rs13112122</t>
  </si>
  <si>
    <t>SQ8OW</t>
  </si>
  <si>
    <t>WOS:000660610400001</t>
  </si>
  <si>
    <t>Shi, LJ; Liu, S; Shi, YN; Ao, X; Zou, B; Wang, QM</t>
  </si>
  <si>
    <t>Shi, Lijian; Liu, Sen; Shi, Yingni; Ao, Xue; Zou, Bin; Wang, Qimao</t>
  </si>
  <si>
    <t>Sea Ice Concentration Products over Polar Regions with Chinese FY3C/MWRI Data</t>
  </si>
  <si>
    <t>sea ice concentration; FY3C; intersensor calibration; Arctic; Antarctic</t>
  </si>
  <si>
    <t>VERSION 2; ALGORITHMS</t>
  </si>
  <si>
    <t>Polar sea ice affects atmospheric and ocean circulation and plays an important role in global climate change. Long time series sea ice concentrations (SIC) are an important parameter for climate research. This study presents an SIC retrieval algorithm based on brightness temperature (Tb) data from the FY3C Microwave Radiation Imager (MWRI) over the polar region. With the Tb data of Special Sensor Microwave Imager/Sounder (SSMIS) as a reference, monthly calibration models were established based on time-space matching and linear regression. After calibration, the correlation between the Tb of F17/SSMIS and FY3C/MWRI at different channels was improved. Then, SIC products over the Arctic and Antarctic in 2016-2019 were retrieved with the NASA team (NT) method. Atmospheric effects were reduced using two weather filters and a sea ice mask. A minimum ice concentration array used in the procedure reduced the land-to-ocean spillover effect. Compared with the SIC product of National Snow and Ice Data Center (NSIDC), the average relative difference of sea ice extent of the Arctic and Antarctic was found to be acceptable, with values of -0.27 +/- 1.85 and 0.53 +/- 1.50, respectively. To decrease the SIC error with fixed tie points (FTPs), the SIC was retrieved by the NT method with dynamic tie points (DTPs) based on the original Tb of FY3C/MWRI. The different SIC products were evaluated with ship observation data, synthetic aperture radar (SAR) sea ice cover products, and the Round Robin Data Package (RRDP). In comparison with the ship observation data, the SIC bias of FY3C with DTP is 4% and is much better than that of FY3C with FTP (9%). Evaluation results with SAR SIC data and closed ice data from RRDP show a similar trend between FY3C SIC with FTPs and FY3C SIC with DTPs. Using DTPs to present the Tb seasonal change of different types of sea ice improved the SIC accuracy, especially for the sea ice melting season. This study lays a foundation for the release of long time series operational SIC products with Chinese FY3 series satellites.</t>
  </si>
  <si>
    <t>[Shi, Lijian; Liu, Sen; Ao, Xue; Zou, Bin; Wang, Qimao] Natl Satellite Ocean Applicat Serv, Beijing 100081, Peoples R China; [Shi, Lijian; Liu, Sen; Ao, Xue; Zou, Bin; Wang, Qimao] MNR, Key Lab Space Ocean Remote Sensing &amp; Applicat, Beijing 100081, Peoples R China; [Liu, Sen] Zhuhai Orbita Aerosp Sci &amp; Technol Co Ltd, Zhuhai 519080, Peoples R China; [Shi, Yingni] Mailbox 5111, Beijing 100094, Peoples R China</t>
  </si>
  <si>
    <t>National Satellite Ocean Application Service</t>
  </si>
  <si>
    <t>Shi, LJ (corresponding author), Natl Satellite Ocean Applicat Serv, Beijing 100081, Peoples R China.;Shi, LJ (corresponding author), MNR, Key Lab Space Ocean Remote Sensing &amp; Applicat, Beijing 100081, Peoples R China.</t>
  </si>
  <si>
    <t>shilj@mail.nsoas.org.cn; liusen16@mails.ucas.edu.cn; 20162004@bistu.edu.cn; aoxue@mail.nsoas.org.cn; zoubin@mail.nsoas.org.cn; qmwang@mail.nsoas.org.cn</t>
  </si>
  <si>
    <t>National Key Research and Development Program of China [2018YFC1407200, IRASCC2020-2022-No.01-01-03]</t>
  </si>
  <si>
    <t>YThis work was partly supported by the National Key Research and Development Program of China (2018YFC1407200) and IRASCC2020-2022-No.01-01-03. The FY3C/MWRI Tb data were downloaded from the FENGYUN Satellite Data Center (http://satellite.nsmc.org.cn/, accessed on 28 April 2021). The authors would like to thank the National Satellite Meteorological Center (NSMC) for providing the FY3C data to users worldwide. The ancillary data, including SIC data of NSIDC (https://nsidc.org/, accessed on 28 April 2021), OBS data (https://www.pangaea.de/); accessed on 18 November 2020, and sea ice cover data of S1 SAR (http://www.dx.doi.org/10.11922/sciencedb.00273); accessed on 5 November 2020, are also acknowledged.</t>
  </si>
  <si>
    <t>10.3390/rs13112174</t>
  </si>
  <si>
    <t>SQ8JS</t>
  </si>
  <si>
    <t>WOS:000660597000001</t>
  </si>
  <si>
    <t>Dickens, J; Hollyman, PR; Hart, T; Clucas, GV; Murphy, EJ; Poncet, S; Trathan, PN; Collins, MA</t>
  </si>
  <si>
    <t>Dickens, John; Hollyman, Philip R.; Hart, Tom; Clucas, Gemma V.; Murphy, Eugene J.; Poncet, Sally; Trathan, Philip N.; Collins, Martin A.</t>
  </si>
  <si>
    <t>Developing UAV Monitoring of South Georgia and the South Sandwich Islands' Iconic Land-Based Marine Predators</t>
  </si>
  <si>
    <t>southern elephant seal; wandering albatross; penguin; remote sensing; unoccupied aerial vehicle; drone</t>
  </si>
  <si>
    <t>ANTARCTIC SEABIRDS; HUMAN DISTURBANCE; POPULATIONS; ABUNDANCE; AIRCRAFT; SPREAD; DRONES; SEALS</t>
  </si>
  <si>
    <t>Many remote islands present barriers to effective wildlife monitoring in terms of challenging terrain and frequency of visits. The sub-Antarctic islands of South Georgia and the South Sandwich Islands are home to globally significant populations of seabirds and marine mammals. South Georgia hosts the largest breeding populations of Antarctic fur seals, southern elephant seals and king penguins as well as significant populations of wandering, black-browed and grey-headed albatross. The island also holds important populations of macaroni and gentoo penguins. The South Sandwich Islands host the world's largest colony of chinstrap penguins in addition to major populations of Adelie and macaroni penguins. A marine protected area was created around these islands in 2012 but monitoring populations of marine predators remains a challenge, particularly as these species breed over large areas in remote and often inaccessible locations. During the 2019/20 austral summer, we trialled the use of an unoccupied aerial vehicle (UAV; drone) to monitor populations of seals, penguins and albatross and here we report our initial findings, including considerations about the advantages and limitations of the methodology. Three extensive southern elephant seal breeding sites were surveyed with complete counts made around the peak pupping date, two of these sites were last surveyed 24 years ago. A total of nine islands, historically recorded as breeding sites for wandering albatross, were surveyed with 144 fledglings and 48 adults identified from the aerial imagery. The UAV was effective at surveying populations of penguins that nest on flat, open terrain, such as Adelie and chinstrap penguin colonies at the South Sandwich Islands, and an extensive king penguin colony on South Georgia, but proved ineffective for monitoring macaroni penguins nesting in tussock habitat on South Georgia as individuals were obscured or hidden by vegetation. Overall, we show that UAV surveys can allow regular and accurate monitoring of these important wildlife populations.</t>
  </si>
  <si>
    <t>[Dickens, John; Hollyman, Philip R.; Murphy, Eugene J.; Trathan, Philip N.; Collins, Martin A.] British Antarctic Survey, Nat Environm Res Council, Cambridge, England; [Hart, Tom] Univ Oxford, Dept Zool, Oxford, England; [Clucas, Gemma V.] Cornell Univ, Cornell Lab Ornithol, Ithaca, NY USA; [Poncet, Sally] South Georgia Survey, Stanley, Falkland Island</t>
  </si>
  <si>
    <t>UK Research &amp; Innovation (UKRI); Natural Environment Research Council (NERC); NERC British Antarctic Survey; University of Oxford; Cornell University</t>
  </si>
  <si>
    <t>Dickens, J (corresponding author), British Antarctic Survey, Nat Environm Res Council, Cambridge, England.</t>
  </si>
  <si>
    <t>jocken@bas.ac.uk</t>
  </si>
  <si>
    <t>Clucas, Gemma/ABF-9073-2021; murphy, eugene/GZL-1620-2022; , Martin/ABE-6728-2020</t>
  </si>
  <si>
    <t>, Martin/0000-0001-7132-8650; Hollyman, Philip/0000-0003-2665-5075; Clucas, Gemma/0000-0002-4305-1719</t>
  </si>
  <si>
    <t>Government of South Georgia; South Sandwich Islands; United Kingdom Foreign, Commonwealth and Development Office; John Ellerman Foundation; Darwin Plus [DPLUS109]; NERC [NE/T012439/1, bas0100035] Funding Source: UKRI</t>
  </si>
  <si>
    <t>Government of South Georgia; South Sandwich Islands; United Kingdom Foreign, Commonwealth and Development Office; John Ellerman Foundation; Darwin Plus; NERC(UK Research &amp; Innovation (UKRI)Natural Environment Research Council (NERC))</t>
  </si>
  <si>
    <t>The South Georgia aspects of this work were funded by grants to the British Antarctic Survey (BAS) from the Government of South Georgia and the South Sandwich Islands, and United Kingdom Foreign, Commonwealth and Development Office. The South Sandwich Islands expedition was supported by the Government of South Georgia and the South Sandwich Islands, and funded by the John Ellerman Foundation and donations from passengers on Quark Expeditions' ships. PT was supported by Darwin Plus grant DPLUS109.</t>
  </si>
  <si>
    <t>10.3389/fmars.2021.654215</t>
  </si>
  <si>
    <t>SP1RC</t>
  </si>
  <si>
    <t>WOS:000659448500001</t>
  </si>
  <si>
    <t>Venkatakrishnan, S; Ziabari, A; Hinkle, J; Needham, AW; Warren, JM; Bilheux, HZ</t>
  </si>
  <si>
    <t>Venkatakrishnan, Singanallur; Ziabari, Amirkoushyar; Hinkle, Jacob; Needham, Andrew W.; Warren, Jeffrey M.; Bilheux, Hassina Z.</t>
  </si>
  <si>
    <t>Convolutional neural network based non-iterative reconstruction for accelerating neutron tomography *</t>
  </si>
  <si>
    <t>MACHINE LEARNING-SCIENCE AND TECHNOLOGY</t>
  </si>
  <si>
    <t>deep-learning; neutron tomography; sparse view reconstruction</t>
  </si>
  <si>
    <t>X-RAY TOMOGRAPHY; INVERSE PROBLEMS; ALGORITHM</t>
  </si>
  <si>
    <t>Neutron computed tomography (NCT), a 3D non-destructive characterization technique, is carried out at nuclear reactor or spallation neutron source-based user facilities. Because neutrons are not severely attenuated by heavy elements and are sensitive to light elements like hydrogen, neutron radiography and computed tomography offer a complementary contrast to x-ray CT conducted at a synchrotron user facility. However, compared to synchrotron x-ray CT, the acquisition time for an NCT scan can be orders of magnitude higher due to lower source flux, low detector efficiency and the need to collect a large number of projection images for a high-quality reconstruction when using conventional algorithms. As a result of the long scan times for NCT, the number and type of experiments that can be conducted at a user facility is severely restricted. Recently, several deep convolutional neural network (DCNN) based algorithms have been introduced in the context of accelerating CT scans that can enable high quality reconstructions from sparse-view data. In this paper, we introduce DCNN algorithms to obtain high-quality reconstructions from sparse-view and low signal-to-noise ratio NCT data-sets thereby enabling accelerated scans. Our method is based on the supervised learning strategy of training a DCNN to map a low-quality reconstruction from sparse-view data to a higher quality reconstruction. Specifically, we evaluate the performance of two popular DCNN architectures-one based on using patches for training and the other on using the full images for training. We observe that both the DCNN architectures offer improvements in performance over classical multi-layer perceptron as well as conventional CT reconstruction algorithms. Our results illustrate that the DCNN can be a powerful tool to obtain high-quality NCT reconstructions from sparse-view data thereby enabling accelerated NCT scans for increasing user-facility throughput or enabling high-resolution time-resolved NCT scans.</t>
  </si>
  <si>
    <t>[Venkatakrishnan, Singanallur; Ziabari, Amirkoushyar] Oak Ridge Natl Lab, Multimodal Sensor Analyt Grp, Oak Ridge, TN 37831 USA; [Hinkle, Jacob] Oak Ridge Natl Lab, Computat Sci &amp; Engn Div, Oak Ridge, TN 37831 USA; [Needham, Andrew W.] Jacobs NASA Johnson Space Ctr, Houston, TX 77058 USA; [Warren, Jeffrey M.] Oak Ridge Natl Lab, Div Environm Sci, POB 2008, Oak Ridge, TN 37831 USA; [Bilheux, Hassina Z.] Oak Ridge Natl Lab, Neutron Scattering Div, Neutron Sci Directorate, Oak Ridge, TN 37831 USA</t>
  </si>
  <si>
    <t>United States Department of Energy (DOE); Oak Ridge National Laboratory; United States Department of Energy (DOE); Oak Ridge National Laboratory; National Aeronautics &amp; Space Administration (NASA); NASA Johnson Space Center; United States Department of Energy (DOE); Oak Ridge National Laboratory; United States Department of Energy (DOE); Oak Ridge National Laboratory</t>
  </si>
  <si>
    <t>Venkatakrishnan, S (corresponding author), Oak Ridge Natl Lab, Multimodal Sensor Analyt Grp, Oak Ridge, TN 37831 USA.</t>
  </si>
  <si>
    <t>venkatakrisv@ornl.gov</t>
  </si>
  <si>
    <t>Warren, Jeffrey/B-9375-2012; Hinkle, Jacob/AAM-6795-2021; Bilheux, Hassina/H-4289-2012</t>
  </si>
  <si>
    <t>Warren, Jeffrey/0000-0002-0680-4697; Hinkle, Jacob/0000-0002-7751-1760; Ziabari, Amir Koushyar/0000-0003-4776-457X; Bilheux, Hassina/0000-0001-8574-2449; Needham, Andrew/0009-0002-3819-9855</t>
  </si>
  <si>
    <t>NSF; NASA; U.S. Department of Energy, Office of Science, Office of Biological and Environmental Research; Office of Science of the US Department of Energy [DE-AC05-00OR22725]; Artificial Intelligence Initiative at Oak Ridge National Laboratory</t>
  </si>
  <si>
    <t>NSF(National Science Foundation (NSF)); NASA(National Aeronautics &amp; Space Administration (NASA)); U.S. Department of Energy, Office of Science, Office of Biological and Environmental Research(United States Department of Energy (DOE)); Office of Science of the US Department of Energy(United States Department of Energy (DOE)); Artificial Intelligence Initiative at Oak Ridge National Laboratory</t>
  </si>
  <si>
    <t>A portion of this research used resources at the High Flux Isotope Reactor, a DOE Office of Science User Facility operated by the Oak Ridge National Laboratory.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This research was also supported by the U.S. Department of Energy, Office of Science, Office of Biological and Environmental Research. Amir Ziabari acknowledges that this research used resources of the Compute and Data Environment for Science (CADES) at Oak Ridge National Laboratory, which is supported by the Office of Science of the US Department of Energy under Contract No. DE-AC05-00OR22725. This work has been supported in part by the Artificial Intelligence Initiative at Oak Ridge National Laboratory.</t>
  </si>
  <si>
    <t>2632-2153</t>
  </si>
  <si>
    <t>MACH LEARN-SCI TECHN</t>
  </si>
  <si>
    <t>Mach. Learn.-Sci. Technol.</t>
  </si>
  <si>
    <t>10.1088/2632-2153/abde8e</t>
  </si>
  <si>
    <t>Computer Science, Artificial Intelligence; Computer Science, Interdisciplinary Applications; Multidisciplinary Sciences</t>
  </si>
  <si>
    <t>Computer Science; Science &amp; Technology - Other Topics</t>
  </si>
  <si>
    <t>SR2IH</t>
  </si>
  <si>
    <t>WOS:000660866600001</t>
  </si>
  <si>
    <t>Abe, H</t>
  </si>
  <si>
    <t>Abe, Hiroshi</t>
  </si>
  <si>
    <t>Taxonomic review of the subfamily Lohmannellinae (Acari: Trombidiformes: Halacaridae) with morphological comparisons among genera</t>
  </si>
  <si>
    <t>ZOOTAXA</t>
  </si>
  <si>
    <t>Aquatic mites; taxonomy; morphology; distribution; habitat; bibliography; checklist</t>
  </si>
  <si>
    <t>GENUS SCAPTOGNATHUS ACARI; MITES ACARI; WATER-MITES; VERTICAL-DISTRIBUTION; RECORD; HALACAROIDEA; MARINE; PROSTIGMATA; CHECKLIST; SEA</t>
  </si>
  <si>
    <t>Taxonomic review of the halacarid subfamily Lohmannellinae is carried out with regard to morphology, biology, habitat, geographical distribution, and bibliography. The subfamily is one of 16 subfamilies in the family Halacaridae and consists of five genera, Lohmannella, Porolohmannella, Scaptognathides, Scaptognathus, and Xenohalacarus, which include 38, 1, 11, 31, and 1 known species, respectively. The genera Scaptognathides, Scaptognathus, and Xenohalacarus are marine, Porolohmannella is a freshwater inhabitant, and Lohmannella lives in marine and freshwater. The species in this subfamily are mostly arenicolous and probably carnivorous or omnivorous in feeding habits. As for the geographic distribution, Lohmannella shows almost cosmopolitan distribution; Scaptognathus is also widely distributed except for polar regions. The genus Scaptognathides is distributed more in southern oceans than in the northern circle, and Xenohalacarus is restricted to the Coral Sea. The freshwater genus Porolohmannella has wide inland distribution except for the African, South American, Australian, and Antarctic continents. Based on morphological comparisons among five genera, Scaptognathus is regarded as the most unique taxon and Lohmannella and Porolohmannella as rather conservative taxa in the subfamily. The classification of halacarids within the subfamily Lohmannellinae has been revised by several researchers. At present, the subfamily Lohmannellinae consists of five genera: Lohmannella, Porolohmannella, Scaptognathides, Scaptognathus, and Xenohalacarus. Porolohmannella has only freshwater species, and the other genera had so far included marine species only. However, Bartsch (1996a, 2007b) tentatively moved three Porolohmannella species (P. andrei (Angelier, 1951), P. curvimandibulata (Petrova, 1969), and P. cvetkovi (Petrova, 1965)) into the marine genus Lohmannella, emphasizing their morphological similarities with Lohmannella species. In consequence,</t>
  </si>
  <si>
    <t>[Abe, Hiroshi] Nihon Univ, Coll Bioresource Sci, Biol Lab, Fujisawa, Kanagawa 2520880, Japan</t>
  </si>
  <si>
    <t>Nihon University</t>
  </si>
  <si>
    <t>Abe, H (corresponding author), Nihon Univ, Coll Bioresource Sci, Biol Lab, Fujisawa, Kanagawa 2520880, Japan.</t>
  </si>
  <si>
    <t>abe.hiroshi@nihon-u.ac.jp</t>
  </si>
  <si>
    <t>Abe, Hiroshi/0000-0002-8193-0968</t>
  </si>
  <si>
    <t>MAGNOLIA PRESS</t>
  </si>
  <si>
    <t>AUCKLAND</t>
  </si>
  <si>
    <t>PO BOX 41383, AUCKLAND, ST LUKES 1030, NEW ZEALAND</t>
  </si>
  <si>
    <t>1175-5326</t>
  </si>
  <si>
    <t>1175-5334</t>
  </si>
  <si>
    <t>Zootaxa</t>
  </si>
  <si>
    <t>10.11646/zootaxa.4980.2.1</t>
  </si>
  <si>
    <t>SP1YL</t>
  </si>
  <si>
    <t>WOS:000659469200001</t>
  </si>
  <si>
    <t>Kaitheri, A; Mémin, A; Rémy, F</t>
  </si>
  <si>
    <t>Kaitheri, Athul; Memin, Anthony; Remy, Frederique</t>
  </si>
  <si>
    <t>Inter-Annual Variability in the Antarctic Ice Sheets Using Geodetic Observations and a Climate Model</t>
  </si>
  <si>
    <t>Antarctic Ice Sheet; GRACE; Envisat; RACMO2; 3p2; firn densification model; ENSO; ACW</t>
  </si>
  <si>
    <t>CIRCUMPOLAR WAVE; MASS-BALANCE; SATELLITE GRAVIMETRY; FIRN DENSIFICATION; SURFACE-TEMPERATURE; RADAR ALTIMETRY; ACCUMULATION; SNOW; TELECONNECTIONS; PRECIPITATION</t>
  </si>
  <si>
    <t>Quantifying the mass balance of the Antarctic Ice Sheet (AIS), and the resulting sea level rise, requires an understanding of inter-annual variability and associated causal mechanisms. Very few studies have been exploring the influence of climate anomalies on the AIS and only a vague estimate of its impact is available. Changes to the ice sheet are quantified using observations from space-borne altimetry and gravimetry missions. We use data from Envisat (2002 to 2010) and Gravity Recovery And Climate Experiment (GRACE) (2002 to 2016) missions to estimate monthly elevation changes and mass changes, respectively. Similar estimates of the changes are made using weather variables (surface mass balance (SMB) and temperature) from a regional climate model (RACMO2.3p2) as inputs to a firn compaction (FC) model. Elevation changes estimated from different techniques are in good agreement with each other across the AIS especially in West Antarctica, Antarctic Peninsula, and along the coasts of East Antarctica. Inter-annual height change patterns are then extracted using for the first time an empirical mode decomposition followed by a principal component analysis to investigate for influences of climate anomalies on the AIS. Investigating the inter-annual signals in these regions revealed a sub-4-year periodic signal in the height change patterns. El Nino Southern Oscillation (ENSO) is a climate anomaly that alters, among other parameters, moisture transport, sea surface temperature, precipitation, in and around the AIS at similar frequency by alternating between warm and cold conditions. This periodic behavior in the height change patterns is altered in the Antarctic Pacific (AP) sector, possibly by the influence of multiple climate drivers, like the Amundsen Sea Low (ASL) and the Southern Annular Mode (SAM). Height change anomaly also appears to traverse eastwards from Coats Land to Pine Island Glacier (PIG) regions passing through Dronning Maud Land (DML) and Wilkes Land (WL) in 6 to 8 years. This is indicative of climate anomaly traversal due to the Antarctic Circumpolar Wave (ACW). Altogether, inter-annual variability in the SMB of the AIS is found to be modulated by multiple competing climate anomalies.</t>
  </si>
  <si>
    <t>[Kaitheri, Athul; Memin, Anthony] Univ Cote Dazur, CNRS, Observ Cote DAzur, Inst Rech Dev, 250 Rue Albert Einstein, F-06560 Valbonne, France; [Remy, Frederique] Observ Midi Pyrenees, Lab Etude Geophys &amp; Oceanog Spatiales, 14 Ave Edouard Belin, F-31400 Toulouse, France</t>
  </si>
  <si>
    <t>Centre National de la Recherche Scientifique (CNRS); Universite Cote d'Azur; Observatoire de la Cote d'Azur; Institut de Recherche pour le Developpement (IRD); Universite de Toulouse; Universite Toulouse III - Paul Sabatier; Centre National de la Recherche Scientifique (CNRS); Institut de Recherche pour le Developpement (IRD); Laboratoire d'Etudes en Geophysique et oceanographie spatiales</t>
  </si>
  <si>
    <t>Mémin, A (corresponding author), Univ Cote Dazur, CNRS, Observ Cote DAzur, Inst Rech Dev, 250 Rue Albert Einstein, F-06560 Valbonne, France.</t>
  </si>
  <si>
    <t>athul.kaitheri@geoazur.unice.fr; anthony.memin@univ-cotedazur.fr; remy.omp@free.fr</t>
  </si>
  <si>
    <t>Mémin, Anthony/AAX-3919-2020</t>
  </si>
  <si>
    <t>Mémin, Anthony/0000-0003-2931-9034; Kaitheri, Athul/0000-0002-5948-4412</t>
  </si>
  <si>
    <t>Center National d'Etudes Spatiales (CNES) through the TOSCA program</t>
  </si>
  <si>
    <t>This work has been partly funded by the Center National d'Etudes Spatiales (CNES) through the TOSCA program.</t>
  </si>
  <si>
    <t>10.3390/rs13112199</t>
  </si>
  <si>
    <t>SQ8KE</t>
  </si>
  <si>
    <t>WOS:000660598200001</t>
  </si>
  <si>
    <t>Lu, E; Hao, JW; Yang, KX</t>
  </si>
  <si>
    <t>Lu, Er; Hao, Jiawei; Yang, Kexin</t>
  </si>
  <si>
    <t>Temporal-Spatial Variations of Atmospheric Static Stability: A Comparison of the Influences from Temperature and Its Vertical Difference</t>
  </si>
  <si>
    <t>Buoyancy; Climate variability; Stability; Temperature; Thermodynamics</t>
  </si>
  <si>
    <t>DYNAMIC INSTABILITIES; TROPOPAUSE; BUOYANCY; OSCILLATIONS; FREQUENCY</t>
  </si>
  <si>
    <t>The temporal-spatial variations of the static stability of dry air and the relative importance of their influencing quantities are explored. Derivation shows that while it links to the vertical difference of temperature, static stability also relates to the temperature itself. The static stability is expressed as a nonlinear function of temperature and the vertical difference of temperature. The relative importance of the two influencing quantities is assessed with linear regression. Tests show that the linear fitting method is robust. The results of the dominance rely on the data examined, which include an interannual variation, a seasonal variation, and a spatial variation that consists of the grid points over the globe. It is revealed that in the lower troposphere, while the temporal variations of static stability are dominated by the vertical difference of temperature, the temperature itself may also have considerable influence, especially over the high latitudes of the two hemispheres. In the stratosphere, temperature tends to have more contributions. Over the Antarctic, temperature dominates the seasonal and interannual variations of the static stability. The spatial variation of the static stability of July is influenced by both temperature and its vertical difference before 1980, but after that it is dominated by temperature.</t>
  </si>
  <si>
    <t>[Lu, Er; Hao, Jiawei; Yang, Kexin] Nanjing Univ Informat Sci &amp; Technol, Minist Educ, Key Lab Meteorol Disaster, Joint Int Res Lab Climate &amp; Environm Change,Colla, Nanjing, Peoples R China</t>
  </si>
  <si>
    <t>Nanjing University of Information Science &amp; Technology</t>
  </si>
  <si>
    <t>Lu, E (corresponding author), Nanjing Univ Informat Sci &amp; Technol, Minist Educ, Key Lab Meteorol Disaster, Joint Int Res Lab Climate &amp; Environm Change,Colla, Nanjing, Peoples R China.</t>
  </si>
  <si>
    <t>elu@nuist.edu.cn</t>
  </si>
  <si>
    <t>Hao, Jiawei/GQA-7009-2022</t>
  </si>
  <si>
    <t>Hao, Jiawei/0000-0002-9567-3800</t>
  </si>
  <si>
    <t>National Natural Science Foundation of China [41991281]; National Key Research and Development Program of China [2018YFC1507704]; Priority Academic Program Development of Jiangsu Higher Education Institutions (PAPD)</t>
  </si>
  <si>
    <t>National Natural Science Foundation of China(National Natural Science Foundation of China (NSFC)); National Key Research and Development Program of China; Priority Academic Program Development of Jiangsu Higher Education Institutions (PAPD)</t>
  </si>
  <si>
    <t>This study was supported by the National Natural Science Foundation of China (Grant 41991281), the National Key Research and Development Program of China (Grant 2018YFC1507704), and the Priority Academic Program Development of Jiangsu Higher Education Institutions (PAPD). The reviewers and the editor are thanked for their helpful comments and suggestions. The NCEP/NCAR reanalysis data were provided by the NOAA/OAR/ESRL PSL, Boulder, Colorado, USA, from their website at https://psl.noaa.gov/.</t>
  </si>
  <si>
    <t>10.1175/JCLI-D-20-0615.1</t>
  </si>
  <si>
    <t>SI9BI</t>
  </si>
  <si>
    <t>WOS:000655123900001</t>
  </si>
  <si>
    <t>King, JC; Turner, J; Colwell, S; Lu, H; Orr, A; Phillips, T; Hosking, JS; Marshall, GJ</t>
  </si>
  <si>
    <t>King, John C.; Turner, John; Colwell, Steve; Lu, Hua; Orr, Andrew; Phillips, Tony; Hosking, J. Scott; Marshall, Gareth J.</t>
  </si>
  <si>
    <t>Inhomogeneity of the Surface Air Temperature Record from Halley, Antarctica</t>
  </si>
  <si>
    <t>Atmosphere; Antarctica; Ice shelves; Temperature; Climate records; Changepoint analysis</t>
  </si>
  <si>
    <t>BOUNDARY-LAYER; LAND; CONFIGURATION; ATMOSPHERE</t>
  </si>
  <si>
    <t>Commencing in 1956, observations made at Halley Research Station in Antarctica provide one of the longest continuous series of near-surface temperature observations from the Antarctic continent. Since few other records of comparable length are available, the Halley record has been used extensively in studies of long-term Antarctic climate variability and change. The record does not, however, come from a single location but is a composite of observations from a sequence of seven stations, all situated on the Brunt Ice Shelf, that range from around 10 to 50 km in distance from the coast. Until now, it has generally been assumed that temperature data from all of these stations could be combined into a single composite record with no adjustment. Here, we examine this assumption of homogeneity. Application of a statistical changepoint algorithm to the composite record detects a sudden cooling associated with the move from Halley IV to Halley V station in 1992. We show that this temperature step is consistent with local temperature gradients measured by a network of automatic weather stations and with those simulated by a high-resolution atmospheric model. These temperature gradients are strongest in the coastal region and result from the onshore advection of maritime air. The detected inhomogeneity could account for the weak cooling trend seen in the uncorrected composite record. In future, studies that make use of the Halley record will need to account for its inhomogeneity.</t>
  </si>
  <si>
    <t>[King, John C.; Turner, John; Colwell, Steve; Lu, Hua; Orr, Andrew; Phillips, Tony; Hosking, J. Scott; Marshall, Gareth J.] British Antarctic Survey, Cambridge, England</t>
  </si>
  <si>
    <t>King, JC (corresponding author), British Antarctic Survey, Cambridge, England.</t>
  </si>
  <si>
    <t>jcki@bas.ac.uk</t>
  </si>
  <si>
    <t>Lu, Hua/GXA-0276-2022</t>
  </si>
  <si>
    <t>Lu, Hua/0000-0001-9485-5082</t>
  </si>
  <si>
    <t>Natural Environment Research Council as part of the British Antarctic Survey's Polar Science for Planet Earth program; NERC [bas0100032] Funding Source: UKRI</t>
  </si>
  <si>
    <t>Natural Environment Research Council as part of the British Antarctic Survey's Polar Science for Planet Earth program; NERC(UK Research &amp; Innovation (UKRI)Natural Environment Research Council (NERC))</t>
  </si>
  <si>
    <t>This study was funded by the Natural Environment Research Council as part of the British Antarctic Survey's Polar Science for Planet Earth program.</t>
  </si>
  <si>
    <t>10.1175/JCLI-D-20-0748.1</t>
  </si>
  <si>
    <t>WOS:000655123900007</t>
  </si>
  <si>
    <t>Levicoy, D; Rosenfeld, S; Cárdenas, L</t>
  </si>
  <si>
    <t>Levicoy, Daniela; Rosenfeld, Sebastian; Cardenas, Leyla</t>
  </si>
  <si>
    <t>Divergence time and species delimitation of microbivalves in the Southern Ocean: the case of Kidderia species</t>
  </si>
  <si>
    <t>Cyamiidae; Microbivalves; Phylogeny; Antarctic; Subantarctic islands</t>
  </si>
  <si>
    <t>ANTARCTIC POLAR FRONT; CLIMATE-CHANGE; DRAKE PASSAGE; MOLECULAR SYSTEMATICS; MARINE-INVERTEBRATES; CRYPTIC SPECIATION; CONTINENTAL-SHELF; GENETIC-STRUCTURE; BENTHIC FAUNA; SCOTIA SEA</t>
  </si>
  <si>
    <t>The systematics of Subantarctic and Antarctic near-shore marine benthic invertebrates requires major revision and highlights the necessity to incorporate additional sources of information in the specimen identification chart in the Southern Ocean (SO). In this study, we aim to improve our understanding of the biodiversity of Kidderia (Dall 1876) through molecular and morphological comparisons of Antarctic and Subantarctic taxa. The microbivalves of the genus Kidderia are small brooding organisms that inhabit intertidal and shallow subtidal rocky ecosystems. This genus represents an interesting model to test the vicariance and dispersal hypothesis in the biogeography of the SO. However, the description of Kidderia species relies on a few morphological characters and biogeographic records that raise questions about the true diversity in the group. Here we will define the specimens collected with genetic tools, delimiting their respective boundaries across provinces of the SO, validating the presence of two species of Kidderia. Through the revision of taxonomic issues and species delimitation, it was possible to report that the Antarctic species is Kidderia subquadrata and the species recorded in the Subantarctic islands Diego Ramirez, South Georgia and the Kerguelen Archipelago is Kidderia minuta. The divergence time estimation suggests the origin and diversification of Kidderia lineages are related to historical vicariant processes probably associated with the separation of the continental landmasses close to the late Eocene.</t>
  </si>
  <si>
    <t>[Levicoy, Daniela; Cardenas, Leyla] Univ Austral Chile, Fac Ciencias, Ctr FONDAP IDEAL, Valdivia, Chile; [Levicoy, Daniela; Cardenas, Leyla] Univ Austral Chile, Fac Ciencias, Inst Ciencias Ambientales &amp; Evolut, Independencia 641,POB 567, Valdivia, Chile; [Rosenfeld, Sebastian] Univ Chile, Fac Ciencias, Dept Ciencias Biol, Lab Ecol Mol, Las Palmeras 3425, Santiago, Chile; [Rosenfeld, Sebastian] Univ Magallanes, Lab Ecosistemas Marinos Antarticos &amp; Subantartico, Ave Bulnes 01890, Punta Arenas, Chile; [Rosenfeld, Sebastian] Inst Ecol &amp; Biodivers, Las Palmeras 3425, Santiago, Chile; [Rosenfeld, Sebastian] Univ Magallanes, Ctr Invest Gaia Antartica, Ave Bulnes 01855, Punta Arenas, Chile</t>
  </si>
  <si>
    <t>Universidad Austral de Chile; Universidad Austral de Chile; Universidad de Chile; Universidad de Magallanes; Universidad de Magallanes</t>
  </si>
  <si>
    <t>Levicoy, D (corresponding author), Univ Austral Chile, Fac Ciencias, Ctr FONDAP IDEAL, Valdivia, Chile.;Levicoy, D (corresponding author), Univ Austral Chile, Fac Ciencias, Inst Ciencias Ambientales &amp; Evolut, Independencia 641,POB 567, Valdivia, Chile.</t>
  </si>
  <si>
    <t>danielaplevicoym@gmail.com</t>
  </si>
  <si>
    <t>Cardenas, Leyla/AAY-5671-2020</t>
  </si>
  <si>
    <t>Cardenas, Leyla/0000-0003-0676-6704; Levicoy, Daniela/0000-0002-0039-3487; Rosenfeld, Sebastian/0000-0002-4363-8018</t>
  </si>
  <si>
    <t>Instituto Antartico Chileno [INACh RT 02-15, INACh MG 06-17]; Fondecyt [1170591]; Institute of Ecology and Biodiversity (IEB) [ACT172065, AFB170008]; project IPEV program PROTEKER [1044]; National Commission of Scientific and Technological Investigation of Chile through the Fondo de Financiamiento de Centros de Investigacion en Areas Prioritarias (FONDAP) program Research Center: Dynamics of High Latitude Marine Ecosystems [15150003]</t>
  </si>
  <si>
    <t>Instituto Antartico Chileno; Fondecyt(Comision Nacional de Investigacion Cientifica y Tecnologica (CONICYT)CONICYT FONDECYT); Institute of Ecology and Biodiversity (IEB); project IPEV program PROTEKER; National Commission of Scientific and Technological Investigation of Chile through the Fondo de Financiamiento de Centros de Investigacion en Areas Prioritarias (FONDAP) program Research Center: Dynamics of High Latitude Marine Ecosystems</t>
  </si>
  <si>
    <t>This work was supported and funded by the National Commission of Scientific and Technological Investigation of Chile through the Fondo de Financiamiento de Centros de Investigacion en Areas Prioritarias (FONDAP) program Research Center: Dynamics of High Latitude Marine Ecosystems (Grant No. 15150003) and by the Instituto Antartico Chileno through the INACh RT 02-15 and INACh MG 06-17 grants. LC acknowledge to Fondecyt 1170591. SR acknowledge to PIA CONICYT ACT172065 and PIA CONICYT APOYO CCTE AFB170008 from the Institute of Ecology and Biodiversity (IEB). We also acknowledge the support of Dr. Elie Poulin and his group in sampling and the project IPEV program PROTEKER (No. 1044) of which they are a part and we would like to thank the Subantarctic Conservation Program of the Universidad de Magallanes for all their logistical support in the expedition to Diego Ramirez. Finally, we would like to thank Dr. Claudio Gonzalez-Wevar for his first review and comments on the manuscript. We are thankful to Tomas Saucede and two anonymous reviewers for their meticulous revision that helped to improve this manuscript. We thank the Editor in Chief, Dieter Piepenburg for their work searching reviewers during these COVID-19 times, as well as their final comments to complete the editorial process. Finally, we thank the English language revision service offered by https://traduccionescientificas.cl/.</t>
  </si>
  <si>
    <t>10.1007/s00300-021-02885-6</t>
  </si>
  <si>
    <t>WOS:000656770300001</t>
  </si>
  <si>
    <t>Peng, H; Yao, YB; Kong, J; Zhou, C; Kuo, CY</t>
  </si>
  <si>
    <t>Peng, Hai; Yao, Yibin; Kong, Jian; Zhou, Chen; Kuo, Chungyen</t>
  </si>
  <si>
    <t>GNSS-Based Statistical Analysis of Ionospheric Anomalies During Typhoon Landings in Taiwan/Japan</t>
  </si>
  <si>
    <t>Tropical cyclones; Ionosphere; Global navigation satellite system; Indexes; Satellites; Storms; Gravity; Global Navigation Satellite System (GNSS); total electron content (TEC); traveling ionosphere disturbance (TID); typhoon</t>
  </si>
  <si>
    <t>GRAVITY-WAVES; DISTURBANCES; THUNDERSTORM; ATMOSPHERE; MECHANISM; IMPACTS; TIME</t>
  </si>
  <si>
    <t>Using the Global Navigation Satellite System (GNSS) differenced total electron content (dTEC) series, the traveling ionosphere disturbances (TIDs) of 22 typhoons registered in Taiwan/Japan between 2013 and 2016 were studied. The horizontal speed of the first TID during a typhoon landing can be estimated by a two-station method with the ionosphere anomaly indicator in total electron count units (TECUs) (|dTEC|&gt;= 0.15 TECU). The horizontal speed of the TIDs was from 155 to 210 m/s and with an average speed of 168.70 m/s. The estimated TID speeds of Typhoons Soudelor (205.93 m/s) and Megi (158.47 m/s) are not consis(t)ent with each other, even though they had very similar trajectories when cross through Taiwan Island. Moreover, the propagation velocity of the typhoon ionospheric anomaly showed a significant positive correlation (r = 0.78, alpha = 0.05) with the change rate of the typhoon central air pressure and a negative correlation ( r = -0.52,alpha = 0.05) with the central pressure before landing. Gravity waves were generated by land friction, terrain blocking, and strong wind shear transport energy into the atmosphere from the near surface to the mesosphere and thermosphere, which is the main cause of ionosphere disturbances during typhoon landing.</t>
  </si>
  <si>
    <t>[Peng, Hai] Wuhan Univ, Sch Geodesy &amp; Geomat, Wuhan 430079, Peoples R China; [Yao, Yibin] Wuhan Univ, Key Lab Geospace Environm &amp; Geodesy, Minist Educ, Sch Geodesy &amp; Geomat, Wuhan 430079, Peoples R China; [Yao, Yibin] Collaborat Innovat Ctr Geospatial Technol, Wuhan 430079, Peoples R China; [Kong, Jian] Wuhan Univ, Chinese Antarctic Ctr Surveying &amp; Mapping, Wuhan 430079, Peoples R China; [Zhou, Chen] Wuhan Univ, Sch Elect Informat, Dept Space Phys, Wuhan 430072, Peoples R China; [Kuo, Chungyen] Natl Cheng Kung Univ, Dept Geomat, Tainan 701301, Taiwan</t>
  </si>
  <si>
    <t>Wuhan University; Wuhan University; Wuhan University; Wuhan University; National Cheng Kung University</t>
  </si>
  <si>
    <t>Yao, YB (corresponding author), Wuhan Univ, Key Lab Geospace Environm &amp; Geodesy, Minist Educ, Sch Geodesy &amp; Geomat, Wuhan 430079, Peoples R China.;Yao, YB (corresponding author), Collaborat Innovat Ctr Geospatial Technol, Wuhan 430079, Peoples R China.</t>
  </si>
  <si>
    <t>haipeng@whu.edu.cn; ybyao@whu.edu.cn; jkong@whu.edu.cn; chenzhou@whu.edu.cn; kuo70@mail.ncku.edu.tw</t>
  </si>
  <si>
    <t>Yao, Yibin/B-1395-2013</t>
  </si>
  <si>
    <t>Yao, Yibin/0000-0002-7723-4601; Peng, Hai/0000-0002-6790-8879</t>
  </si>
  <si>
    <t>National Natural Fund of China [41604002, 41874033]; Fundamental Research Funds for the Central Universities [2042019kf0212]; State Key Laboratory of Information Engineering in Surveying, Mapping and Remote Sensing, Wuhan University; State Key Laboratory of Geo-Information Engineering [SKLGIE2018-M-1-2]</t>
  </si>
  <si>
    <t>National Natural Fund of China; Fundamental Research Funds for the Central Universities(Fundamental Research Funds for the Central Universities); State Key Laboratory of Information Engineering in Surveying, Mapping and Remote Sensing, Wuhan University; State Key Laboratory of Geo-Information Engineering</t>
  </si>
  <si>
    <t>This work was supported in part by the National Natural Fund of China under Grant 41604002 and Grant 41874033, in part by the Fundamental Research Funds for the Central Universities under Grant 2042019kf0212, and in part by the open research fund of the State Key Laboratory of Information Engineering in Surveying, Mapping and Remote Sensing, Wuhan University, and State Key Laboratory of Geo-Information Engineering under Grant SKLGIE2018-M-1-2.</t>
  </si>
  <si>
    <t>10.1109/TGRS.2020.3004829</t>
  </si>
  <si>
    <t>SF5ZU</t>
  </si>
  <si>
    <t>WOS:000652834200057</t>
  </si>
  <si>
    <t>Gallagher, JB; Prahalad, V; Aalders, J</t>
  </si>
  <si>
    <t>Gallagher, John Barry; Prahalad, Vishnu; Aalders, John</t>
  </si>
  <si>
    <t>Inorganic and Black Carbon Hotspots Constrain Blue Carbon Mitigation Services Across Tropical Seagrass and Temperate Tidal Marshes</t>
  </si>
  <si>
    <t>WETLANDS</t>
  </si>
  <si>
    <t>Salt marsh; Pyrogenic carbon; Particulate inorganic carbon; Carbon sequestration; Tasmania; Southeast Asia</t>
  </si>
  <si>
    <t>ORGANIC-MATTER; MARINE-SEDIMENTS; SOUTHEAST-ASIA; SEQUESTRATION; ACCUMULATION; MECHANISMS; VEGETATION; DYNAMICS; FIRES</t>
  </si>
  <si>
    <t>Total organic carbon (TOC) sediment stocks as a CO2 mitigation service require exclusion of allochthonous black (BC) and particulate inorganic carbon corrected for water-atmospheric equilibrium (PICeq). For the first time, we address this bias for a temperate salt marsh and a coastal tropical seagrass in BC hotspots that represent two different blue carbon ecosystems of Malaysia and Australia. Seagrass TOC stocks were similar to the salt marshes with soil depths &lt; 1 m (59.3 +/- 11.3 and 74.9 +/- 18.9 MgC ha(- 1), CI 95 % respectively). Both ecosystems showed larger BC constraints than did their pristine counterparts. However, the seagrass meadows' mitigation services were largely constrained by both higher BC/TOC and PICeq/TOC fractions (38.0 % +/- 6.6 and 43.4 % +/- 5.9 %, CI 95 %) and salt marshes around a third (22 % +/- 10.2 and 6.0 % +/- 3.1 % CI 95 %). The results provide useful data from underrepresented regions, and, reiterates the need to consider both BC and PIC for more reliable blue carbon mitigation assessments to ensure that greenhouse gas emitters do not exceed the ecosystems' capacity.</t>
  </si>
  <si>
    <t>[Gallagher, John Barry] Univ Tasmania, Inst Marine &amp; Antarctic Studies, Hobart, Tas, Australia; [Gallagher, John Barry] Univ Sains Malaysia, Ctr Marine &amp; Coastal Studies, Gelugor 11800, Penang, Malaysia; [Prahalad, Vishnu; Aalders, John] Univ Tasmania, Sch Geog Planning &amp; Spatial Sci, Hobart, Tas, Australia</t>
  </si>
  <si>
    <t>University of Tasmania; Universiti Sains Malaysia; University of Tasmania</t>
  </si>
  <si>
    <t>Gallagher, JB (corresponding author), Univ Tasmania, Inst Marine &amp; Antarctic Studies, Hobart, Tas, Australia.;Gallagher, JB (corresponding author), Univ Sains Malaysia, Ctr Marine &amp; Coastal Studies, Gelugor 11800, Penang, Malaysia.</t>
  </si>
  <si>
    <t>johnbarry.gallagher@utas.edu.au</t>
  </si>
  <si>
    <t>Prahalad, Vishnu/P-2098-2015; Gallagher, John/JVP-1711-2024</t>
  </si>
  <si>
    <t>Prahalad, Vishnu/0000-0002-3547-616X;</t>
  </si>
  <si>
    <t>Living Wetlands (Tasmania, Australia)</t>
  </si>
  <si>
    <t>This study was partly funded by Living Wetlands (Tasmania, Australia)</t>
  </si>
  <si>
    <t>0277-5212</t>
  </si>
  <si>
    <t>1943-6246</t>
  </si>
  <si>
    <t>Wetlands</t>
  </si>
  <si>
    <t>10.1007/s13157-021-01460-3</t>
  </si>
  <si>
    <t>SN3AA</t>
  </si>
  <si>
    <t>WOS:000658164700001</t>
  </si>
  <si>
    <t>Crona, B; Wassénius, E; Lillepold, K; Watson, RA; Selig, ER; Hicks, C; Österblom, H; Folke, C; Jouffray, JB; Blasiak, R</t>
  </si>
  <si>
    <t>Crona, Beatrice; Wassenius, Emmy; Lillepold, Kate; Watson, Reg A.; Selig, Elizabeth R.; Hicks, Christina; Osterblom, Henrik; Folke, Carl; Jouffray, Jean-Baptiste; Blasiak, Robert</t>
  </si>
  <si>
    <t>Sharing the seas: a review and analysis of ocean sector interactions</t>
  </si>
  <si>
    <t>ocean; interactions; economic sector; trade-offs; synergies; Blue Economy</t>
  </si>
  <si>
    <t>MARINE PROTECTED AREAS; CALAMIANES ISLANDS; BIODIVERSITY LOSS; BLUE ECONOMY; MANAGEMENT; FISHERIES; AQUACULTURE; CHALLENGES; MULTIUSE; TOURISM</t>
  </si>
  <si>
    <t>Ocean activities are rapidly expanding as Blue Economy discussions gain traction, creating new potential synergies and conflicts between sectors. To better manage ocean sectors and their development, we need to understand how they interact and the respective outcomes of these interactions. To provide a first comprehensive picture of the situation, we review 3187 articles to map and analyze interactions between economically important ocean sectors and find 93 unique direct and 61 indirect interactions, often mediated via the ocean ecosystem. Analysis of interaction outcomes reveals that some sectors coexist synergistically (e.g. renewable energy, tourism), but many interactions are antagonistic, and negative effects on other sectors are often incurred via degradation of marine ecosystems. The analysis also shows that ocean ecosystems are fundamental for supporting many ocean sectors, yet 13 out of 14 ocean sectors have interactions resulting in unidirectional negative ecosystem impact. Fishing, drilling, and shipping are hubs in the network of ocean sector interactions, and are involved in many of the antagonistic interactions. Antagonistic interactions signal trade-offs between sectors. Qualitative analysis of the literature shows that these tradeoffs relate to the cumulative nature of many ecosystem impacts incurred by some sectors, and the differential power of ocean sectors to exert their rights or demands in the development of the ocean domain. There are also often time lags in how impacts manifest. The ocean governance landscape is not currently well-equipped to deal with the full range of trade-offs, and opportunities, likely to arise in the pursuit of a Blue Economy in a rapidly changing ocean context. Based on our analysis, we therefore propose a set principles that can begin to guide strategic decision-making, by identifying both tradeoffs and opportunities for sustainable and equitable development of ocean sectors.</t>
  </si>
  <si>
    <t>[Crona, Beatrice; Wassenius, Emmy; Lillepold, Kate; Folke, Carl] Royal Swedish Acad Sci, Global Econ Dynam &amp; Biosphere, Lilla Frescativagen 4A, S-11418 Stockholm, Sweden; [Crona, Beatrice; Wassenius, Emmy; Osterblom, Henrik; Folke, Carl; Jouffray, Jean-Baptiste; Blasiak, Robert] Stockholm Univ, Stockholm Resilience Ctr, S-10691 Stockholm, Sweden; [Watson, Reg A.] Univ Tasmania, Inst Marine &amp; Antarctic Studies IMAS, Hobart Abn 30764374782, Australia; [Selig, Elizabeth R.] Stanford Univ Off, Stanford Ctr Ocean Solut, 473 Via Ortega,Room 193, Stanford, CA 94305 USA; [Hicks, Christina] Univ Lancaster, Lancaster Environm Ctr, Lancaster LA1 4YQ, England; [Folke, Carl] Beijer Inst Ecol Econ, Lilla Frescativagen 4A, S-11418 Stockholm, Sweden</t>
  </si>
  <si>
    <t>Royal Swedish Academy of Sciences; Global Economic Dynamics &amp; Biosphere - The Erling-Persson Family Academy Program; Stockholm University; University of Tasmania; Lancaster University; Royal Swedish Academy of Sciences; Beijer Institute of Ecological Economics</t>
  </si>
  <si>
    <t>Crona, B (corresponding author), Royal Swedish Acad Sci, Global Econ Dynam &amp; Biosphere, Lilla Frescativagen 4A, S-11418 Stockholm, Sweden.;Crona, B (corresponding author), Stockholm Univ, Stockholm Resilience Ctr, S-10691 Stockholm, Sweden.</t>
  </si>
  <si>
    <t>beatrice.crona@su.se</t>
  </si>
  <si>
    <t>Jouffray, Jean-Baptiste/AAN-1329-2020; Wassénius, Emmy/AAK-3042-2021; Hicks, Christina/M-6182-2015; Crona, Beatrice/HHZ-3183-2022; Osterblom, Henrik G/D-4249-2012; Watson, Reg/F-4850-2012</t>
  </si>
  <si>
    <t>Jouffray, Jean-Baptiste/0000-0002-4105-6372; Wassénius, Emmy/0000-0002-8756-1649; Hicks, Christina/0000-0002-7399-4603; Crona, Beatrice/0000-0003-1617-4067; Blasiak, Robert/0000-0002-0888-0159; Osterblom, Henrik/0000-0002-1913-5197; Watson, Reg/0000-0001-7201-8865; Folke, Carl/0000-0002-4050-3281</t>
  </si>
  <si>
    <t>Erling Person Family Foundation; Biosphere Program, at the Royal Swedish Academy of Science; Walton Family Foundation; David and Lucile Packard Foundation; Gordon and Betty Moore Foundation; Swedish Foundation for Strategic Environmental Research; Mistra</t>
  </si>
  <si>
    <t>Erling Person Family Foundation; Biosphere Program, at the Royal Swedish Academy of Science; Walton Family Foundation; David and Lucile Packard Foundation(The David &amp; Lucile Packard Foundation); Gordon and Betty Moore Foundation(Gordon and Betty Moore Foundation); Swedish Foundation for Strategic Environmental Research(Swedish Foundation for Strategic Research); Mistra</t>
  </si>
  <si>
    <t>This work was supported with funds from the Erling Person Family Foundation, through its support to the Global Economic Dynamics and the Biosphere Program, at the Royal Swedish Academy of Science. Support is also gratefully acknowledged from The Walton Family Foundation, The David and Lucile Packard Foundation, The Gordon and Betty Moore Foundation, and Mistra, The Swedish Foundation for Strategic Environmental Research.</t>
  </si>
  <si>
    <t>10.1088/1748-9326/ac02ed</t>
  </si>
  <si>
    <t>SM9MI</t>
  </si>
  <si>
    <t>WOS:000657920700001</t>
  </si>
  <si>
    <t>Sato, K; Simmonds, I</t>
  </si>
  <si>
    <t>Sato, Kazutoshi; Simmonds, Ian</t>
  </si>
  <si>
    <t>Antarctic skin temperature warming related to enhanced downward longwave radiation associated with increased atmospheric advection of moisture and temperature</t>
  </si>
  <si>
    <t>Antarctica; skin temperature; long-term temperature trend; longwave radiation; ERA5</t>
  </si>
  <si>
    <t>EXTRATROPICAL CYCLONE BEHAVIOR; SEA-ICE; WEST ANTARCTICA; OZONE HOLE; CLIMATE; SURFACE; PENINSULA; VARIABILITY; REANALYSES; ANOMALIES</t>
  </si>
  <si>
    <t>We investigate linear trends in Antarctic skin temperatures (temperatures from about the top millimeter of the surface) over the four seasons using ERA5 ensemble mean reanalysis data. During 1950-2020, statistically significant warming occurred over East and West Antarctica in spring, autumn and winter, and over the Antarctic Peninsula in autumn and winter. A surface energy budget analysis revealed that increases in downward longwave radiation related to increases in air temperature and total column integrated cloud had a key role in Antarctic surface warming. There were negative sea level pressure trends around the periphery of Antarctica throughout the year, and the associated circulation contributed to warm advection from the middle latitudes to West Antarctica and the Antarctic Peninsula. Over the interior of East Antarctica, increase in moisture advection from lower latitudes enhanced the low-level cloud cover. A two-dimensional parameter diagram showed that skin temperature trends for time segments longer than 30 years starting before 1960 exhibited statistically significant warming in autumn and winter in East and West Antarctica and the Antarctic Peninsula. In spring, West Antarctica also showed statistically significant warming for long segments. In summer, the Antarctic Peninsula had statistically significant warming trends for long segments and cooling trends for segments less than 30 years. For all the studied time intervals, when skin temperatures had statistically significant positive trends, increases in downward longwave radiation contributed more than 70% of the warming and vice versa. This result demonstrates that on all time and space scales, changes in downward longwave radiation associated with variations in air temperature and atmospheric moisture loading play a dominant role controlling skin temperatures.</t>
  </si>
  <si>
    <t>[Sato, Kazutoshi] Kitami Inst Technol, Kitami, Hokkaido, Japan; [Simmonds, Ian] Univ Melbourne, Sch Earth Sci, Melbourne, Vic, Australia</t>
  </si>
  <si>
    <t>Kitami Institute of Technology; University of Melbourne; Melbourne Bioinformatics</t>
  </si>
  <si>
    <t>Sato, K (corresponding author), Kitami Inst Technol, Kitami, Hokkaido, Japan.</t>
  </si>
  <si>
    <t>satokazu@mail.kitami-it.ac.jp</t>
  </si>
  <si>
    <t>Sato, Kazutoshi/0000-0003-0216-8942; Simmonds, Ian/0000-0002-4479-3255</t>
  </si>
  <si>
    <t>JSPS Overseas Research Fellowship (JSPS KAKENHI) [20H04963, 19K14802]; Australian Research Council [DP160101997]</t>
  </si>
  <si>
    <t>JSPS Overseas Research Fellowship (JSPS KAKENHI); Australian Research Council(Australian Research Council)</t>
  </si>
  <si>
    <t>This work was supported by a JSPS Overseas Research Fellowship (JSPS KAKENHI 20H04963, 19K14802) awarded to K.S. I.S. was supported by the Australian Research Council (Grant No. DP160101997). We would like to thank two anonymous reviewers for very helpful comments. We thank Sev Kender, PhD, from Edanz Group (https://en-author-services.edanz.com/ac) for correcting a draft of this manuscript.</t>
  </si>
  <si>
    <t>10.1088/1748-9326/ac0211</t>
  </si>
  <si>
    <t>SN0UJ</t>
  </si>
  <si>
    <t>WOS:000658013200001</t>
  </si>
  <si>
    <t>Zhao, QY; Sun, LM; Shen, L; Liu, GL; Zhou, HY; Ji, T</t>
  </si>
  <si>
    <t>Zhao, Qinyuan; Sun, Luming; Shen, Lu; Liu, Guilin; Zhou, Hongyan; Ji, Tuo</t>
  </si>
  <si>
    <t>B2 0003+38A: A Classical Flat-spectrum Radio Quasar Hosted by a Rotation-dominated Galaxy with a Peculiar Massive Outflow</t>
  </si>
  <si>
    <t>ASTROPHYSICAL JOURNAL</t>
  </si>
  <si>
    <t>BL LACERTAE OBJECTS; SPACE-TELESCOPE SURVEY; EMISSION-LINE REGIONS; FEEDBACK; KINEMATICS; NUCLEI; DUST</t>
  </si>
  <si>
    <t>We present a detailed analysis of the single-slit optical spectrum of the flat-spectrum radio quasar (FSRQ) B2 0003+38A, taken by the Echellette Spectrograph and Imager (ESI) on the Keck II telescope. This classical low-redshift FSRQ (z = 0.22911, as measured from the stellar absorption lines) remains underexplored in its emission lines, though its broadband continuum properties from radio to X-ray are well studied. After removing the unresolved quasar nucleus and the starlight from the host galaxy, we obtain a spatially resolved 2D spectrum, which clearly shows three components, indicating a rotating disk, an extended emission-line region (EELR), and an outflow. The bulk of the EELR, with a characteristic mass M (EELR) similar to 10(7) M (circle dot), and redshifted by v (EELR) approximate to 120 km s(-1) with respect to the quasar systemic velocity, shows a one-sided structure stretching to a projected distance of r (EELR) similar to 20 kpc from the nucleus. The rotation curve of the rotating disk is consistent with that of a typical galactic disk, suggesting that the FSRQ is hosted by a disk galaxy. This conclusion is in accordance with the facts that strong absorption in the H i 21 cm line was previously observed, and that Na i lambda lambda 5891, 5897 and Ca ii lambda lambda 3934, 3969 doublets are detected in the optical ESI spectrum. B2 0003+38A will become the first FSRQ discovered to be hosted by a gas-rich disk galaxy, if this is confirmed by follow-up deep imaging and/or integral field unit mapping with a high spatial resolution. These observations will also help unravel the origin of the EELR.</t>
  </si>
  <si>
    <t>[Zhao, Qinyuan; Shen, Lu; Liu, Guilin; Zhou, Hongyan] Univ Sci &amp; Technol China, Chinese Acad Sci, Dept Astron, Key Lab Res Galaxies &amp; Cosmol, Hefei 230026, Anhui, Peoples R China; [Zhao, Qinyuan; Shen, Lu; Liu, Guilin; Zhou, Hongyan; Ji, Tuo] Univ Sci &amp; Technol China, Sch Astron &amp; Space Sci, Hefei 230026, Peoples R China; [Sun, Luming] Anhui Normal Univ, Dept Phys, Wuhu 241002, Anhui, Peoples R China; [Zhou, Hongyan; Ji, Tuo] Polar Res Inst China, State Ocean Adm, Key Lab Polar Sci, Antarctic Astron Res Div, Shanghai, Peoples R China</t>
  </si>
  <si>
    <t>Chinese Academy of Sciences; University of Science &amp; Technology of China, CAS; Chinese Academy of Sciences; University of Science &amp; Technology of China, CAS; Anhui Normal University; Polar Research Institute of China</t>
  </si>
  <si>
    <t>Zhao, QY (corresponding author), Univ Sci &amp; Technol China, Chinese Acad Sci, Dept Astron, Key Lab Res Galaxies &amp; Cosmol, Hefei 230026, Anhui, Peoples R China.;Zhao, QY (corresponding author), Univ Sci &amp; Technol China, Sch Astron &amp; Space Sci, Hefei 230026, Peoples R China.</t>
  </si>
  <si>
    <t>zqy94070@mail.ustc.edu.cn; glliu@ustc.edu.cn; zhouhongyan@pric.org.cn; lmsun@ustc.edu.cn</t>
  </si>
  <si>
    <t>Ji, Tuo/O-2611-2017; Liu, Guilin/AAO-6632-2020</t>
  </si>
  <si>
    <t>Sun, Luming/0000-0002-7223-5840; Liu, Guilin/0000-0003-4286-5187</t>
  </si>
  <si>
    <t>National Key R&amp;D Program of China [2016YFA0400702]; National Natural Science Foundation of China [11673020, 11421303]; Fundamental Research Funds for the Central Universities; Chinese Space Station Telescope (CSST) Project</t>
  </si>
  <si>
    <t>National Key R&amp;D Program of China; National Natural Science Foundation of China(National Natural Science Foundation of China (NSFC)); Fundamental Research Funds for the Central Universities(Fundamental Research Funds for the Central Universities); Chinese Space Station Telescope (CSST) Project</t>
  </si>
  <si>
    <t>Q.Z., L.S., and G.L. acknowledge the grant from the National Key R&amp;D Program of China (2016YFA0400702), the National Natural Science Foundation of China (Nos. 11673020 and 11421303), and the Fundamental Research Funds for the Central Universities. We acknowledge the support from the Chinese Space Station Telescope (CSST) Project. We acknowledge support by the Fundamental Research Funds for the Central Universities.</t>
  </si>
  <si>
    <t>0004-637X</t>
  </si>
  <si>
    <t>1538-4357</t>
  </si>
  <si>
    <t>ASTROPHYS J</t>
  </si>
  <si>
    <t>Astrophys. J.</t>
  </si>
  <si>
    <t>10.3847/1538-4357/abf4de</t>
  </si>
  <si>
    <t>SL1IW</t>
  </si>
  <si>
    <t>WOS:000656672600001</t>
  </si>
  <si>
    <t>Dilley, B; Swain, G; Repetto, J; Ryan, PG</t>
  </si>
  <si>
    <t>Dilley, Ben J.; Swain, George; Repetto, Julian; Ryan, Peter G.</t>
  </si>
  <si>
    <t>Using playback to estimate the distribution and density of the world's smallest flightless bird, the Inaccessible Island Rail Atlantisia rogersi</t>
  </si>
  <si>
    <t>BIRD CONSERVATION INTERNATIONAL</t>
  </si>
  <si>
    <t>Atlantisia rogersi; Tristan da Cunha archipelago; flightless bird; point count; playback survey</t>
  </si>
  <si>
    <t>The Inaccessible Island Rail Atlantisia rogersi, the world's smallest extant flightless bird, is endemic to Inaccessible Island, a 14-km(2) uninhabited island in the Tristan da Cunha archipelago, central South Atlantic Ocean. Rail populations are notoriously hard to survey and the rugged topography of Inaccessible Island makes a survey particularly challenging. Fortunately, Inaccessible Island Rails are very vocal, because their secretive behaviour means birds are hard to observe in the dense vegetation. We assessed the distribution of rails across Inaccessible Island using playbacks at 350 point-count sites in October-November 2018. Rail calls were heard at 98% of sites and we estimate the rail population to be in the order of 10,300 birds (95% CI 9,100-12,200), based on estimated rail densities in the six main habitats. Historic population estimates were reasonably crude and thus not suitable for inferring population trends, but the population appears to be stable and we recommend the species' status remains as 'Vulnerable'. The accidental introduction of alien mammals poses the greatest threat to the survival of the Inaccessible Island Rail and the removal of house mouse Mus musculus and ship rat Rattus rattus from neighbouring Tristan da Cunha Island would greatly reduce the risk of such a catastrophe.</t>
  </si>
  <si>
    <t>[Dilley, Ben J.; Ryan, Peter G.] Univ Cape Town, DST NRF Ctr Excellence, FitzPatrick Inst African Ornithol, ZA-7701 Rondebosch, South Africa; [Swain, George; Repetto, Julian] Tristan Conservat Dept, Edinburgh Of The Seven S, Tristan Da Cunh, St Helena</t>
  </si>
  <si>
    <t>University of Cape Town; National Research Foundation - South Africa</t>
  </si>
  <si>
    <t>Dilley, B (corresponding author), Univ Cape Town, DST NRF Ctr Excellence, FitzPatrick Inst African Ornithol, ZA-7701 Rondebosch, South Africa.</t>
  </si>
  <si>
    <t>dilleyben@gmail.com</t>
  </si>
  <si>
    <t>Ryan, Peter/0000-0002-3356-2056</t>
  </si>
  <si>
    <t>Darwin Plus</t>
  </si>
  <si>
    <t>We thank Trevor Glass, Tristan Conservation, the Island Council, and Administrator for approving our visit to Inaccessible Island. Leo Glass provided assistance in the field. Funding for land bird surveys at Tristan was received from Darwin Plus. The South African National Antarctic Programme provided transport to the island, including invaluable helicopter support. We are especially grateful to the captain and crew of the Geo Searcher for getting us safely off the island.</t>
  </si>
  <si>
    <t>0959-2709</t>
  </si>
  <si>
    <t>1474-0001</t>
  </si>
  <si>
    <t>BIRD CONSERV INT</t>
  </si>
  <si>
    <t>Bird Conserv. Int.</t>
  </si>
  <si>
    <t>PII S0959270920000453</t>
  </si>
  <si>
    <t>10.1017/S0959270920000453</t>
  </si>
  <si>
    <t>Biodiversity Conservation; Ornithology</t>
  </si>
  <si>
    <t>Biodiversity &amp; Conservation; Zoology</t>
  </si>
  <si>
    <t>RY3CT</t>
  </si>
  <si>
    <t>WOS:000647793900008</t>
  </si>
  <si>
    <t>Lebenzon, JE; Toxopeus, J; Anthony, SE; Sinclair, BJ</t>
  </si>
  <si>
    <t>Lebenzon, Jacqueline E.; Toxopeus, Jantina; Anthony, Susan E.; Sinclair, Brent J.</t>
  </si>
  <si>
    <t>De novo assembly and characterisation of the transcriptome of the Beringian pseudoscorpion</t>
  </si>
  <si>
    <t>CANADIAN ENTOMOLOGIST</t>
  </si>
  <si>
    <t>HEAT-SHOCK PROTEINS; SPIDER-VENOM; RNA-SEQ; DEHYDRATION STRESS; ANTARCTIC MITE; LIFE-HISTORY; GENOME; ROLES; UNDERPINNINGS; DEGRADATION</t>
  </si>
  <si>
    <t>Pseudoscorpions are microarthropods that are distributed from the equator to beyond the Arctic circle. Wyochernes asiaticus (Arachnida: Pseudoscorpiones: Chernetidae) is the northernmost species of pseudoscorpion and is broadly distributed in Beringia, an Arctic and sub-Arctic region that remained unglaciated during the last glacial maximum. Wyochernes asiaticus is anoxia tolerant and has moderate cold tolerance, but nothing is known about the molecular basis of their survival in Canadian polar environments. We de novo assembled and characterised the transcriptome of W. asiaticus collected from the Yukon Territory in northwestern Canada. We assembled an approximately 62.6-million base-pair transcriptome with a mean contig length of 1277, which was 76% complete, according to a benchmark universal single copy orthologue (BUSCO) analysis. We identified 1100 transcripts encoding proteins associated with stress tolerance in these pseudoscorpions, including heat shock proteins, antioxidants, ubiquitination and proteosomal proteins, and sirtuins. We also identified transcripts encoding putative venom proteins. We highlight eight transcripts with high sequence similarity to sequences of venom proteins (ctenitoxins and agatoxins) described from other pseudoscorpions. Our study yields the first transcriptome of a Beringian arthropod, providing important sequence information that will allow future investigation of how W. asiaticus survives in Canadian polar environments.</t>
  </si>
  <si>
    <t>[Lebenzon, Jacqueline E.; Toxopeus, Jantina; Anthony, Susan E.; Sinclair, Brent J.] Univ Western Ontario, Dept Biol, 1151 Richmond St N, London, ON N6A 3K7, Canada; [Toxopeus, Jantina] St Francis Xavier Univ, Biol Dept, 2321 Notre Dame Ave, Antigonish, NS B2G 2W5, Canada</t>
  </si>
  <si>
    <t>Western University (University of Western Ontario); Saint Francis Xavier University - Canada</t>
  </si>
  <si>
    <t>Lebenzon, JE (corresponding author), Univ Western Ontario, Dept Biol, 1151 Richmond St N, London, ON N6A 3K7, Canada.</t>
  </si>
  <si>
    <t>jlebenzo@uwo.ca</t>
  </si>
  <si>
    <t>Toxopeus, Jantina/AAU-4969-2020; Sinclair, Brent J/C-6133-2012; Anthony, Susan Elizabeth/AAE-3052-2021</t>
  </si>
  <si>
    <t>Toxopeus, Jantina/0000-0002-0761-801X; Lebenzon, Jacqueline/0000-0002-4852-7931; Sinclair, Brent/0000-0002-8191-9910</t>
  </si>
  <si>
    <t>Natural Sciences and Engineering Research Council of Canada (NSERC); NSERC; Polar Knowledge Canada via a Northern Scientific Training Program</t>
  </si>
  <si>
    <t>Natural Sciences and Engineering Research Council of Canada (NSERC)(Natural Sciences and Engineering Research Council of Canada (NSERC)); NSERC(Natural Sciences and Engineering Research Council of Canada (NSERC)); Polar Knowledge Canada via a Northern Scientific Training Program</t>
  </si>
  <si>
    <t>The authors thank Chris Buddle and Mhairi McFarlane for their assistance with specimen collection, and Alex Torson, Meghan Duell, and three anonymous referees for constructive comments that improved the manuscript. This research was supported by the Natural Sciences and Engineering Research Council of Canada (NSERC) via a Discovery Grant to BJS and NSERC Post-graduate scholarships to JEL, JT, and SEA, and by Polar Knowledge Canada via a Northern Scientific Training Program grant to SEA.</t>
  </si>
  <si>
    <t>0008-347X</t>
  </si>
  <si>
    <t>1918-3240</t>
  </si>
  <si>
    <t>CAN ENTOMOL</t>
  </si>
  <si>
    <t>Can. Entomol.</t>
  </si>
  <si>
    <t>PII S0008347X2100002X</t>
  </si>
  <si>
    <t>10.4039/tce.2021.2</t>
  </si>
  <si>
    <t>RV0XF</t>
  </si>
  <si>
    <t>WOS:000645560200004</t>
  </si>
  <si>
    <t>Yao, WQ; Markovic, S; Paytan, A; Erhardt, AM; Wortmann, UG</t>
  </si>
  <si>
    <t>Yao, Weiqi; Markovic, Stefan; Paytan, Adina; Erhardt, Andrea M.; Wortmann, Ulrich G.</t>
  </si>
  <si>
    <t>Quantifying pyrite oxidation on continental shelves during the onset of Antarctic glaciation in the Eocene-Oligocene transition</t>
  </si>
  <si>
    <t>sulfate; sulfur isotopes; oxygen isotopes; pyrite oxidation; Eocene-Oligocene transition</t>
  </si>
  <si>
    <t>SULFUR ISOTOPE FRACTIONATION; BACTERIAL SULFATE REDUCTION; SULFIDE OXIDATION; MICROBIOLOGICAL FRACTIONATION; CENOZOIC EVOLUTION; OXYGEN ISOTOPES; ATMOSPHERIC O-2; MARINE SULFATE; SEAWATER; CARBON</t>
  </si>
  <si>
    <t>The Eocene-Oligocene transition (EOT) is characterized by a global cooling trend, falling sea levels, and the onset of Antarctic glaciation. Previous studies investigate the interactions and feedbacks between ocean circulation, weathering, and atmospheric CO2 levels during this time. Here we explore the role of biogeochemical sulfur cycling, and report seawater sulfate isotope data across the EOT. Our data show that seawater sulfate delta S-34 and delta O-18(SO4) values decline by 0.6 parts per thousand and 1.5 parts per thousand, respectively, between 34.5 and 33 Ma. Quantitative modeling suggests that approximately 8,000 Gt of the sulfide previously stored in shelf sediments has been reoxidized and transferred to the marine sulfate pool. This reoxidation process proceeds through reactions similar to those associated with acid mine drainage, generating 24,500 Gt sulfuric acid. These numbers are of similar magnitude as those estimated for Pleistocene glaciations and must have affected marine pH and/or alkalinity. (C) 2021 Elsevier B.V. All rights reserved.</t>
  </si>
  <si>
    <t>[Yao, Weiqi; Wortmann, Ulrich G.] Univ Toronto, Dept Earth Sci, Toronto, ON M5S 3B1, Canada; [Markovic, Stefan] Univ Toronto Scarborough, Dept Phys &amp; Environm Sci, Toronto, ON M1C 1A4, Canada; [Paytan, Adina] Univ Calif Santa Cruz, Inst Marine Sci, Santa Cruz, CA 95064 USA; [Erhardt, Andrea M.] Univ Kentucky, Dept Earth &amp; Environm Sci, Lexington, KY 40508 USA</t>
  </si>
  <si>
    <t>University of Toronto; University of Toronto; University Toronto Scarborough; University of California System; University of California Santa Cruz; University of Kentucky</t>
  </si>
  <si>
    <t>Yao, WQ (corresponding author), Univ Toronto, Dept Earth Sci, Toronto, ON M5S 3B1, Canada.</t>
  </si>
  <si>
    <t>weiqi.yao@mail.utoronto.ca</t>
  </si>
  <si>
    <t>Yao, Weiqi/AAA-5798-2020; Wortmann, Ulrich Georg/AGN-5440-2022</t>
  </si>
  <si>
    <t>Yao, Weiqi/0000-0002-8177-7035; Wortmann, Ulrich Georg/0000-0001-7854-9173; Erhardt, Andrea/0000-0002-5213-986X</t>
  </si>
  <si>
    <t>10.1016/j.epsl.2021.117015</t>
  </si>
  <si>
    <t>WOS:000667964800009</t>
  </si>
  <si>
    <t>Di Franco, D; Linse, K; Griffiths, HJ; Brandt, A</t>
  </si>
  <si>
    <t>Di Franco, Davide; Linse, Katrin; Griffiths, Huw J.; Brandt, Angelika</t>
  </si>
  <si>
    <t>Drivers of abundance and spatial distribution in Southern Ocean peracarid crustacea</t>
  </si>
  <si>
    <t>Macrobenthos; Environmental factors; Benthic environment; Marine invertebrates; Peracarida; Depth</t>
  </si>
  <si>
    <t>ANDEEP-I-III; EPIBENTHIC-SLEDGE; WEDDELL SEA; COMMUNITY STRUCTURE; SPECIES RICHNESS; ORGANIC-MATTER; 1ST INSIGHTS; ROSS SEA; BIODIVERSITY; DIVERSITY</t>
  </si>
  <si>
    <t>The Southern Ocean (SO) continental shelf and deep sea are environments characterised by different benthic communities. Their structure and composition are driven and shaped by different variables: whilst on the continental shelf physical environmental variables are the main drivers shaping faunal abundance, structure and composition, the deep-sea fauna is most problably driven by biological variables such as predation and competition. Among shelf and deep-sea benthic communities, peracarids (e.g. amphipods and isopods) are one of the most dominant groups, showing high levels of abundance and diversity in both environments. Knowledge on their assemblage structure and composition in the SO remains limited, as well as the knowledge of the environmental variables that influence them. Therefore, the aim of our study was to investigate peracarid assemblages from the SO continental shelf and deep sea and to assess the main drivers shaping their assemblage structure along a wide bathymetric gradient (from 160 m to about 6000 m depth) and at a large geographic scale. We analysed the spatial distribution of 183,606 peracarids sampled using an epibenthic sledge (EBS) during nine different expeditions in the SO, covering a latitudinal range of 77 degrees to 41 degrees South. Depth was identified as the main driver shaping peracarid abundance pattern, their assemblage structure from the continental shelf (&lt;1499 m) was dissimilar to that from the deep sea (&gt;1500 m). Also, depth was differently correlated with different peracarid orders: while isopod abundances increased with depth, amphipods and mysids were negatively correlated; no correlation was found with cumaceans and tanaidaceans. The dissimilar peracarid assemblage structure between the SO continental shelf and the SO deep sea can be due to the assumption that there are different driving forces shaping benthic assemblages from these two environments (physical variables on the continental shelf, biological interactions in the deep sea). As a result, we also suggest that environmental changes due to climate change (e.g. temperature, ice coverage, productivity) would have different consequences depending on the bathymetric range considered.</t>
  </si>
  <si>
    <t>[Di Franco, Davide; Brandt, Angelika] Senckenberg Res Inst, Senckenberganlage 25, D-60325 Frankfurt, Germany; [Di Franco, Davide; Brandt, Angelika] Nat Hist Museum, Dept Marine Zool, Senckenberganlage 25, D-60325 Frankfurt, Germany; [Di Franco, Davide; Brandt, Angelika] Goethe Univ Frankfurt, Inst Ecol Divers &amp; Evolut, Max von Laue Str 13, D-60438 Frankfurt, Germany; [Di Franco, Davide; Linse, Katrin; Griffiths, Huw J.] British Antarctic Survey, Madingley Rd, Cambridge CB3 0ET, England</t>
  </si>
  <si>
    <t>Senckenberg Gesellschaft fur Naturforschung (SGN); Goethe University Frankfurt; UK Research &amp; Innovation (UKRI); Natural Environment Research Council (NERC); NERC British Antarctic Survey</t>
  </si>
  <si>
    <t>Di Franco, D (corresponding author), Goethe Univ Frankfurt, Inst Ecol Divers &amp; Evolut, Max von Laue Str 13, D-60438 Frankfurt, Germany.</t>
  </si>
  <si>
    <t>davide.di-franco@senckenberg.de</t>
  </si>
  <si>
    <t>Griffiths, Huw J/D-4234-2009</t>
  </si>
  <si>
    <t>Griffiths, Huw J/0000-0003-1764-223X</t>
  </si>
  <si>
    <t>Deutsche Forschungsgemeinschaft (DFG) [Br1121/51-1]; Natural Environment Research Council (NERC) [NC-Science] [JR15005, JR275]; NERC urgency grant [NE/R012296/1, JR17003a]; [REKLIM-2013-04]</t>
  </si>
  <si>
    <t>Deutsche Forschungsgemeinschaft (DFG)(German Research Foundation (DFG)); Natural Environment Research Council (NERC) [NC-Science](UK Research &amp; Innovation (UKRI)Natural Environment Research Council (NERC)); NERC urgency grant(UK Research &amp; Innovation (UKRI)Natural Environment Research Council (NERC));</t>
  </si>
  <si>
    <t>We are grateful to the captains and crews of RV Polarstern and RRS James Clarke Ross for their support, especially for our EBS deployments, during multiple expeditions. We acknowledge our expedition leaders' stamina in handling our requests for just one more EBS station. This work was done thanks to the support and funding of the Deutsche Forschungsgemeinschaft (DFG; Br1121/51-1) in the framework of the project Larsen-C PEARL. Katrin Linse and Huw Griffiths are part of the British Antarctic Survey Polar Science for Planet Earth Programme. It was funded by The Natural Environment Research Council (NERC) [NC-Science], and included the funding for the RSS James Clark Ross expeditions JR275 and JR15005. The RSS James Clark Ross expedition JR17003a was funded by the NERC urgency grant NE/R012296/1. Multiyear ice data from 15/10/1978 to 15/03/2019 were obtained from Q20 https://www.meereisportal.de (grant: REKLIM-2013-04).</t>
  </si>
  <si>
    <t>10.1016/j.ecolind.2021.107832</t>
  </si>
  <si>
    <t>SU7PS</t>
  </si>
  <si>
    <t>WOS:000663325100008</t>
  </si>
  <si>
    <t>Cardinale, CJ; Rose, BEJ; Lang, AL; Donohoe, A</t>
  </si>
  <si>
    <t>Cardinale, Christopher J.; Rose, Brian E. J.; Lang, Andrea L.; Donohoe, Aaron</t>
  </si>
  <si>
    <t>Stratospheric and Tropospheric Flux Contributions to the Polar Cap Energy Budgets</t>
  </si>
  <si>
    <t>Arctic; Atmospheric circulation; Energy transport; Stratosphere-troposphere coupling; Energy budget; balance; Interannual variability</t>
  </si>
  <si>
    <t>SEA-ICE; ATLANTIC SECTOR; STORM TRACKS; TRANSPORT; AMPLIFICATION; WARMINGS; MODEL</t>
  </si>
  <si>
    <t>The flux of moist static energy into the polar regions plays a key role in the energy budget and climate of the polar regions. While usually studied from a vertically integrated perspective (F-wall), this analysis examines its vertical structure, using the NASA-MERRA-2 reanalysis to compute climatological and anomalous fluxes of sensible, latent, and potential energy across 70 degrees N and 65 degrees S for the period 1980-2016. The vertical structure of the climatological flux is bimodal, with peaks in the middle to lower troposphere and middle to upper stratosphere. The near-zero flux at the tropopause defines the boundary between stratospheric (F-strat) and tropospheric (F-trop) contributions to F-wall. Especially at 70 degrees N, F-strat is found to be important to the climatology and variability of F-wall, contributing 20.9 W m(-2) to F-wall (19% of F-wall) during the winter and explaining 23% of the variance of F-wall. During winter, an anomalous poleward increase in F-strat preceding a sudden stratospheric warming is followed by an increase in outgoing longwave radiation anomalies, with little influence on the surface energy budget of the Arctic. Conversely, a majority of the energy input by an anomalous poleward increase in F-trop goes toward warming the Arctic surface. Overall, F-trop is found to be a better metric than F-wall for evaluating the influence of atmospheric circulations on the Arctic surface climate.</t>
  </si>
  <si>
    <t>[Cardinale, Christopher J.; Rose, Brian E. J.; Lang, Andrea L.] SUNY Albany, Dept Atmospher &amp; Environm Sci, Albany, NY 12222 USA; [Donohoe, Aaron] Univ Washington, Appl Phys Lab, Seattle, WA 98105 USA</t>
  </si>
  <si>
    <t>State University of New York (SUNY) System; State University of New York (SUNY) Albany; University of Washington; University of Washington Seattle</t>
  </si>
  <si>
    <t>Cardinale, CJ (corresponding author), SUNY Albany, Dept Atmospher &amp; Environm Sci, Albany, NY 12222 USA.</t>
  </si>
  <si>
    <t>ccardinale@albany.edu</t>
  </si>
  <si>
    <t>Lang, Andrea/0000-0002-7731-4038; Rose, Brian E. J./0000-0002-9961-3821; Cardinale, Christopher/0000-0002-6880-5812</t>
  </si>
  <si>
    <t>NSF [AGS-1547814, AGS-1455071]; NSF Antarctic Program [PLR 1643436]; NOAA MAPP [A127135]</t>
  </si>
  <si>
    <t>NSF(National Science Foundation (NSF)); NSF Antarctic Program; NOAA MAPP(National Oceanic Atmospheric Admin (NOAA) - USA)</t>
  </si>
  <si>
    <t>We thank three anonymous reviewers for their detailed comments, which helped reframe and improve our study. C.J.C. and B.E.J.R. were supported by NSF Award AGS-1455071, A.L.L. was supported by NSF Award AGS-1547814, and A.D. was supported by NSF Antarctic Program Grant Number PLR 1643436 and the NOAA MAPP Grant eGC1#A127135.</t>
  </si>
  <si>
    <t>10.1175/JCLI-D-20-0722.1</t>
  </si>
  <si>
    <t>RZ4SU</t>
  </si>
  <si>
    <t>WOS:000648587900005</t>
  </si>
  <si>
    <t>Naakka, T; Nygård, T; Vihma, T</t>
  </si>
  <si>
    <t>Naakka, Tuomas; Nygard, Tiina; Vihma, Timo</t>
  </si>
  <si>
    <t>Air Moisture Climatology and Related Physical Processes in the Antarctic on the Basis of ERA5 Reanalysis</t>
  </si>
  <si>
    <t>Antarctica; Clouds; Evaporation; Moisture; moisture budget; Water vapor; Reanalysis data</t>
  </si>
  <si>
    <t>COASTAL ADELIE LAND; SOUTHERN-OCEAN; EXTRATROPICAL CYCLONES; MESOSCALE CYCLONES; SNOW ACCUMULATION; BLOWING SNOW; ROSS SEA; PRECIPITATION; TRANSPORT; POLYNYAS</t>
  </si>
  <si>
    <t>Atmospheric moisture is a key component in the water cycle and radiative transfer. In this study, a comprehensive picture of air moisture climatology and related physical processes is presented for the first time for the circumpolar area south of 50 degrees S. The results are based on the most modern global reanalysis, ERA5, which manages reasonably well to close the Antarctic water budget. We show that over the ocean transient cyclones have the dominant role in determining moisture conditions, whereas over the continent the moisture conditions are largely affected by the mean circulation. Over the open sea, moisture transport from lower latitudes is an equally important source of moisture compared to the local evaporation, but practically all precipitating moisture over the plateau is provided by the horizontal transport. Over the ocean and continental slopes, southward moisture transport brings warm and moist air masses from lower latitudes, notably increasing atmospheric water vapor and cloud water, and simultaneously decreasing local evaporation over the open sea. On the Antarctic plateau, radiative cooling leads to high relative humidity and causes condensation of moisture especially near the surface, causing a nearly permanent specific humidity inversion layer. As a consequence, dry air masses with extremely low specific humidity are formed. These dry air masses are transported downward from the plateau by katabatic winds, experiencing adiabatic warming. This leads to a decrease in relative humidity and to a downward-directed sensible heat flux, which enable efficient surface evaporation on the coastal slopes and farther over coastal polynyas and leads.</t>
  </si>
  <si>
    <t>[Naakka, Tuomas; Nygard, Tiina; Vihma, Timo] Finnish Meteorol Inst, Helsinki, Finland</t>
  </si>
  <si>
    <t>Finnish Meteorological Institute</t>
  </si>
  <si>
    <t>Naakka, T (corresponding author), Finnish Meteorol Inst, Helsinki, Finland.</t>
  </si>
  <si>
    <t>tuomas.naakka@fmi.fi</t>
  </si>
  <si>
    <t>Naakka, Tuomas/0000-0003-1670-1410</t>
  </si>
  <si>
    <t>Academy of Finland via ASPIRE project [304345]; Academy of Finland via TODAy project [308441]; Vilho, Yrjo, and Kalle Vaisala Foundation; Academy of Finland (AKA) [304345, 308441] Funding Source: Academy of Finland (AKA)</t>
  </si>
  <si>
    <t>Academy of Finland via ASPIRE project; Academy of Finland via TODAy project; Vilho, Yrjo, and Kalle Vaisala Foundation; Academy of Finland (AKA)(Research Council of Finland)</t>
  </si>
  <si>
    <t>We thank John King and two anonymous reviewers for their constructive comments on the manuscript. The study work is supported by the Academy of Finland via ASPIRE (contract 304345) and TODAy (contract 308441) projects and the Vilho, Yrjo, and Kalle Vaisala Foundation. The ECMWF and Copernicus Climate Change service (C3S) are acknowledged for providing ERA5 data.</t>
  </si>
  <si>
    <t>10.1175/JCLI-D-20-0798.1</t>
  </si>
  <si>
    <t>WOS:000648587900015</t>
  </si>
  <si>
    <t>Colletti, A; Cravotto, G; Citi, V; Martelli, A; Testai, L; Cicero, AFG</t>
  </si>
  <si>
    <t>Colletti, Alessandro; Cravotto, Giancarlo; Citi, Valentina; Martelli, Alma; Testai, Lara; Cicero, Arrigo F. G.</t>
  </si>
  <si>
    <t>Advances in Technologies for Highly Active Omega-3 Fatty Acids from Krill Oil: Clinical Applications</t>
  </si>
  <si>
    <t>krill oil; omega-3 polyunsaturated fatty acids; bioavailability; nutraceuticals; dietary supplements</t>
  </si>
  <si>
    <t>POLYUNSATURATED FATTY-ACIDS; NF-KAPPA-B; ANTARCTIC KRILL; EUPHAUSIA-SUPERBA; FISH-OIL; INSULIN-RESISTANCE; OXIDATIVE STRESS; DISEASE RISK; EICOSAPENTAENOIC ACID; EXTRACT SUPPRESSES</t>
  </si>
  <si>
    <t>Euphausia superba, commonly known as krill, is a small marine crustacean from the Antarctic Ocean that plays an important role in the marine ecosystem, serving as feed for most fish. It is a known source of highly bioavailable omega-3 polyunsaturated fatty acids (eicosapentaenoic acid and docosahexaenoic acid). In preclinical studies, krill oil showed metabolic, anti-inflammatory, neuroprotective and chemo preventive effects, while in clinical trials it showed significant metabolic, vascular and ergogenic actions. Solvent extraction is the most conventional method to obtain krill oil. However, different solvents must be used to extract all lipids from krill because of the diversity of the polarities of the lipid compounds in the biomass. This review aims to provide an overview of the chemical composition, bioavailability and bioaccessibility of krill oil, as well as the mechanisms of action, classic and non-conventional extraction techniques, health benefits and current applications of this marine crustacean.</t>
  </si>
  <si>
    <t>[Colletti, Alessandro; Cravotto, Giancarlo] Univ Turin, Dept Drug Sci &amp; Technol, Via P Giuria 9, I-10125 Turin, Italy; [Cravotto, Giancarlo] Sechenov First Moscow State Med Univ, World Class Res Ctr Digital Biodesign &amp; Personali, 8 Trubetskaya Ul, Moscow 101000, Russia; [Citi, Valentina; Martelli, Alma; Testai, Lara] Univ Pisa, Dept Pharm, I-56121 Pisa, Italy; [Citi, Valentina; Martelli, Alma; Testai, Lara] Univ Pisa, Interdept Res Ctr Nutraceut &amp; Food Hlth NUTRAFOOD, I-56121 Pisa, Italy; [Citi, Valentina; Martelli, Alma; Testai, Lara] Univ Pisa, Interdept Res Ctr Ageing Biol &amp; Pathol, I-56121 Pisa, Italy; [Cicero, Arrigo F. G.] Univ Bologna, Med &amp; Surg Sci Dept, Alma Mater Studiorum, I-40138 Bologna, Italy; [Cicero, Arrigo F. G.] IRCCS Policlin S Orsola Malpighi, I-40138 Bologna, Italy</t>
  </si>
  <si>
    <t>University of Turin; Sechenov First Moscow State Medical University; University of Pisa; University of Pisa; University of Pisa; University of Bologna</t>
  </si>
  <si>
    <t>Cicero, AFG (corresponding author), Univ Bologna, Med &amp; Surg Sci Dept, Alma Mater Studiorum, I-40138 Bologna, Italy.;Cicero, AFG (corresponding author), IRCCS Policlin S Orsola Malpighi, I-40138 Bologna, Italy.</t>
  </si>
  <si>
    <t>Alessandro.colletti@unito.it; giancarlo.cravotto@unito.it; valentina.citi@unipi.it; alma.martelli@unipi.it; lara.testai@unipi.it; arrigo.cicero@unibo.it</t>
  </si>
  <si>
    <t>Citi, Valentina/AAE-3857-2019</t>
  </si>
  <si>
    <t>Cravotto, Giancarlo/0000-0001-7574-7350; testai, lara/0000-0003-2431-6248; Martelli, Alma/0000-0002-2090-7107; Cicero, Arrigo Francesco Giuseppe/0000-0002-4367-3884</t>
  </si>
  <si>
    <t>10.3390/md19060306</t>
  </si>
  <si>
    <t>SZ8JH</t>
  </si>
  <si>
    <t>WOS:000666803800001</t>
  </si>
  <si>
    <t>González-Fernández, D; Cózar, A; Hanke, G; Viejo, J; Morales-Caselles, C; Bakiu, R; Barceló, D; Bessa, F; Bruge, A; Cabrera, M; Castro-Jiménez, J; Constant, M; Crosti, R; Galletti, Y; Kideys, AE; Machitadze, N; de Brito, JP; Pogojeva, M; Ratola, N; Rigueira, J; Rojo-Nieto, E; Savenko, O; Schoneich-Argent, RI; Siedlewicz, G; Suaria, G; Tourgeli, M</t>
  </si>
  <si>
    <t>Gonzalez-Fernandez, Daniel; Cozar, Andres; Hanke, Georg; Viejo, Josue; Morales-Caselles, Carmen; Bakiu, Rigers; Barcelo, Damia; Bessa, Filipa; Bruge, Antoine; Cabrera, Maria; Castro-Jimenez, Javier; Constant, Mel; Crosti, Roberto; Galletti, Yuri; Kideys, Ahmet E.; Machitadze, Nino; de Brito, Joana Pereira; Pogojeva, Maria; Ratola, Nuno; Rigueira, Julia; Rojo-Nieto, Elisa; Savenko, Oksana; Schoeneich-Argent, Rosanna, I; Siedlewicz, Grzegorz; Suaria, Giuseppe; Tourgeli, Myrto</t>
  </si>
  <si>
    <t>Floating macrolitter leaked from Europe into the ocean</t>
  </si>
  <si>
    <t>NATURE SUSTAINABILITY</t>
  </si>
  <si>
    <t>PLASTIC DEBRIS; LITTER; RIVER; SEA; TRANSPORT</t>
  </si>
  <si>
    <t>Riverine systems act as converging pathways for discarded litter within drainage basins, becoming key elements in gauging the transfer of mismanaged waste into the ocean. However, riverine litter data are scarce and biased towards microplastics, generally lacking information about larger items. Based on the first ever database of riverine floating macrolitter across Europe, we have estimated that between 307 and 925 million litter items are released annually from Europe into the ocean. The plastic fraction represented 82% of the observed litter, mainly fragments and single-use items (that is, bottles, packaging and bags). Our modelled estimates show that a major portion of the total litter loading is routed through small-sized drainage basins (&lt;100 km(2)), indicating the relevance of small rivers, streams and coastal run-off. Moreover, the major contribution of high-income countries to the macrolitter inputs suggests that reducing ocean pollution cannot be achieved only by improving waste management, but also requires changing consumption habits and behaviour to curb waste generation at source. The inability of countries with well-developed recovery systems to control the leakage of waste into the environment further supports the need to regulate the production and use of plastic on a global scale. Riverine systems help transfer mismanaged waste into the ocean, but riverine litter data are scarce. Using a database of riverine floating macrolitter across Europe, this study estimates that 307-925 million litter items-82% of which is plastic-are transferred annually from Europe into the ocean.</t>
  </si>
  <si>
    <t>[Gonzalez-Fernandez, Daniel; Cozar, Andres; Viejo, Josue; Morales-Caselles, Carmen] Univ Cadiz, Inst Univ Invest Marina, Dept Biol, Puerto Real, Spain; [Gonzalez-Fernandez, Daniel; Cozar, Andres; Viejo, Josue; Morales-Caselles, Carmen] European Univ Seas, Puerto Real, Spain; [Hanke, Georg] European Commiss, Joint Res Ctr, Ispra, Italy; [Bakiu, Rigers] Agr Univ Tirana, Fac Agr &amp; Environm, Dept Aquaculture &amp; Fisheries, Tirana, Albania; [Barcelo, Damia] Univ Girona, Catalan Inst Water Res ICRA CERCA, Girona, Spain; [Barcelo, Damia] IDAEA CSIC, Dept Environm Chem, Water &amp; Soil Res Grp, Barcelona, Spain; [Bessa, Filipa] Univ Coimbra, MARE Marine &amp; Environm Sci Ctr, Dept Life Sci, Coimbra, Portugal; [Bruge, Antoine] Surfrider Fdn Europe, Biarritz, France; [Cabrera, Maria] Paisaje Limpio Assoc, Majadahonda, Spain; [Castro-Jimenez, Javier] Univ Toulon &amp; Var, Aix Marseille Univ, Mediterranean Inst Oceanog, CNRS,IRD, Marseille, France; [Constant, Mel] Univ Perpignan Via Domitia, Ctr Format &amp; Rech Environm Mediterraneens, UMR CNRS 5110, Perpignan, France; [Crosti, Roberto] Ist Super Protez &amp; Ric Ambientale, BIO SOST, Rome, Italy; [Galletti, Yuri] CNR, Biophys Inst, Pisa, Italy; [Kideys, Ahmet E.] Middle East Tech Univ, METU Inst Marine Sci, Mersin, Turkey; [Machitadze, Nino] Tbilisi State Univ, LEPL Alexandre Janelidze Inst Geol, Dept Physicochem Res, Tbilisi, Georgia; [de Brito, Joana Pereira] Aguas Gaia EM, Vila Nova De Gaia, Portugal; [Pogojeva, Maria] State Oceanog Inst, Moscow, Russia; [Ratola, Nuno] Univ Porto, Fac Engn, Lab Proc Engn Environm Biotechnol &amp; Energy, Porto, Portugal; [Rigueira, Julia] OIKOS Associa Def Ambiente &amp; Patrimonio Regiao Le, Leiria, Portugal; [Rojo-Nieto, Elisa] Univ Cadiz, Dept Environm Technol, Int Campus Excellence Sea, Puerto Real, Spain; [Savenko, Oksana] Ukrainian Sci Ctr Ecol Sea, Odesa, Ukraine; [Savenko, Oksana] Natl Antarctic Sci Ctr Ukraine, Kiev, Ukraine; [Schoeneich-Argent, Rosanna, I] Carl von Ossietzky Univ Oldenburg, Inst Chem &amp; Biol Marine Environm, Wilhelmshaven, Germany; [Siedlewicz, Grzegorz] Polish Acad Sci, Inst Oceanol, Dept Marine Chem &amp; Biochem, Sopot, Poland; [Suaria, Giuseppe] CNR, Inst Marine Sci, Lerici, Italy; [Tourgeli, Myrto] Univ Aegean, Dept Marine Sci, Lesbos, Greece; [Castro-Jimenez, Javier] IFREMER, Lab Biogeochem Organ Contaminants, Nantes, France; [Rojo-Nieto, Elisa] UFZ Helmholtz Ctr Environm Res, Dept Ecol Chem, Leipzig, Germany; [Schoeneich-Argent, Rosanna, I] Friends Earth Germany, Bund Umwelt &amp; Nat Schutz Deutschland, Hannover, Germany</t>
  </si>
  <si>
    <t>Universidad de Cadiz; European Commission Joint Research Centre; EC JRC ISPRA Site; Universitat de Girona; Consejo Superior de Investigaciones Cientificas (CSIC); CSIC - Centro de Investigacion y Desarrollo Pascual Vila (CID-CSIC); CSIC - Instituto de Diagnostico Ambiental y Estudios del Agua (IDAEA); Universidade de Coimbra; Universite de Toulon; Aix-Marseille Universite; Institut de Recherche pour le Developpement (IRD); Centre National de la Recherche Scientifique (CNRS); Centre National de la Recherche Scientifique (CNRS); Universite Perpignan Via Domitia; Italian Institute for Environmental Protection &amp; Research (ISPRA); Consiglio Nazionale delle Ricerche (CNR); Middle East Technical University; Ivane Javakhishvili Tbilisi State University; Universidade do Porto; Universidad de Cadiz; Ukrainian Scientific Center of Ecology of the Sea (UkrSCES); Ministry of Education &amp; Science of Ukraine; State Institution National Antarctic Scientific Center; Carl von Ossietzky Universitat Oldenburg; Polish Academy of Sciences; Institute of Oceanology of the Polish Academy of Sciences; Consiglio Nazionale delle Ricerche (CNR); Istituto di Scienze Marine (ISMAR-CNR); University of Aegean; Ifremer; Helmholtz Association; Helmholtz Center for Environmental Research (UFZ)</t>
  </si>
  <si>
    <t>González-Fernández, D (corresponding author), Univ Cadiz, Inst Univ Invest Marina, Dept Biol, Puerto Real, Spain.;González-Fernández, D (corresponding author), European Univ Seas, Puerto Real, Spain.</t>
  </si>
  <si>
    <t>daniel.gonzalez@uca.es</t>
  </si>
  <si>
    <t>Bakiu, Rigers/AFC-7827-2022; Ratola, Nuno/I-6670-2013; BARCELO, DAMIA/O-4558-2016; Morales-Caselles, Carmen/A-9942-2019; KIDEYS, Ahmet/HZK-4698-2023; González-Fernández, Daniel/O-7831-2017; Bessa, Filipa/E-4941-2014; Machitadze, Nino/AHB-7679-2022; Savenko, Oksana/ABI-4737-2020; Suaria, Giuseppe/O-4210-2014; Cozar Cabanas, Andres/G-2141-2016</t>
  </si>
  <si>
    <t>Bakiu, Rigers/0000-0002-9613-4606; BARCELO, DAMIA/0000-0002-8873-0491; Morales-Caselles, Carmen/0000-0002-3429-2027; KIDEYS, Ahmet/0000-0002-1113-2434; González-Fernández, Daniel/0000-0002-6958-7845; Bessa, Filipa/0000-0002-6602-3710; Savenko, Oksana/0000-0001-6719-4602; Suaria, Giuseppe/0000-0002-4290-349X; Rojo Nieto, Elisa/0000-0001-5765-7183; Cabrera-Fernandez, Maria/0000-0001-5396-977X; Constant, Mel/0000-0003-4808-4373; Bruge, Antoine/0000-0002-0548-234X; Ratola, Nuno/0000-0002-4102-9606; Machitadze, Nino/0000-0001-5173-3923; Cozar Cabanas, Andres/0000-0003-1370-9935; Castro Jimenez, Javier/0000-0001-8456-3932</t>
  </si>
  <si>
    <t>2398-9629</t>
  </si>
  <si>
    <t>NAT SUSTAIN</t>
  </si>
  <si>
    <t>Nat. Sustain.</t>
  </si>
  <si>
    <t>10.1038/s41893-021-00722-6</t>
  </si>
  <si>
    <t>SU3GR</t>
  </si>
  <si>
    <t>WOS:000663029500005</t>
  </si>
  <si>
    <t>Somoza, L; Rueda, JL; Sánchez-Guillamón, O; Medialdea, T; Rincón-Tomás, B; González, FJ; Palomino, D; Madureira, P; López-Pamo, E; Fernández-Salas, LM; Santofimia, E; León, R; Marino, E; Fernández-Puga, MD; Vázquez, JT</t>
  </si>
  <si>
    <t>Somoza, Luis; Rueda, Jose L.; Sanchez-Guillamon, Olga; Medialdea, Teresa; Rincon-Tomas, Blanca; Gonzalez, Francisco J.; Palomino, Desiree; Madureira, Pedro; Lopez-Pamo, Enrique; Fernandez-Salas, Luis M.; Santofimia, Esther; Leon, Ricardo; Marino, Egidio; del Carmen Fernandez-Puga, Maria; Vazquez, Juan T.</t>
  </si>
  <si>
    <t>The Interactive Role of Hydrocarbon Seeps, Hydrothermal Vents and Intermediate Antarctic/Mediterranean Water Masses on the Distribution of Some Vulnerable Deep-Sea Habitats in Mid Latitude NE Atlantic Ocean</t>
  </si>
  <si>
    <t>OCEANS-SWITZERLAND</t>
  </si>
  <si>
    <t>seafloor mapping; vulnerable deep-sea habitats; deep-sea corals; chemosynthesis-based communities; vulnerable marine ecosystem; Atlantic Ocean</t>
  </si>
  <si>
    <t>CARBONATE-MUD MOUNDS; AUTHIGENIC CARBONATES; MEDITERRANEAN OUTFLOW; CONTINENTAL-SLOPE; CORAL MOUNDS; GALICIA BANK; GULF; CADIZ; PROVINCE; COMMUNITIES</t>
  </si>
  <si>
    <t>In this work, we integrate five case studies harboring vulnerable deep-sea benthic habitats in different geological settings from mid latitude NE Atlantic Ocean (24-42 degrees N). Data and images of specific deep-sea habitats were acquired with Remoted Operated Vehicle (ROV) sensors (temperature, salinity, potential density, O-2, CO2, and CH4). Besides documenting some key vulnerable deep-sea habitats, this study shows that the distribution of some deep-sea coral aggregations (including scleractinians, gorgonians, and antipatharians), deep-sea sponge aggregations and other deep-sea habitats are influenced by water masses' properties. Our data support that the distribution of scleractinian reefs and aggregations of other deep-sea corals, from subtropical to north Atlantic could be dependent of the latitudinal extents of the Antarctic Intermediate Waters (AAIW) and the Mediterranean Outflow Waters (MOW). Otherwise, the distribution of some vulnerable deep-sea habitats is influenced, at the local scale, by active hydrocarbon seeps (Gulf of Cadiz) and hydrothermal vents (El Hierro, Canary Island). The co-occurrence of deep-sea corals and chemosynthesis-based communities has been identified in methane seeps of the Gulf of Cadiz. Extensive beds of living deep-sea mussels (Bathymodiolus mauritanicus) and other chemosymbiotic bivalves occur closely to deep-sea coral aggregations (e.g., gorgonians, black corals) that colonize methane-derived authigenic carbonates.</t>
  </si>
  <si>
    <t>[Somoza, Luis; Medialdea, Teresa; Gonzalez, Francisco J.; Lopez-Pamo, Enrique; Santofimia, Esther; Leon, Ricardo; Marino, Egidio] Geol Survey Spain IGME, Marine Geol Div, Rios Rosas 23, Madrid 28003, Spain; [Rueda, Jose L.; Sanchez-Guillamon, Olga; Palomino, Desiree; Vazquez, Juan T.] Inst Espanol Oceanog IEO, Ctr Oceanog Malaga, Malaga 29640, Spain; [Rincon-Tomas, Blanca] Georg August Univ Gottingen, Inst Microbiol &amp; Genet, Dept Gen Microbiol, Wilhelmspl 1, D-37073 Gottingen, Germany; [Madureira, Pedro] Estrutura Missao Extensao Plataforma Continental, Rua Costa Pinto 165, P-2770047 Paco De Arcos, Portugal; [Fernandez-Salas, Luis M.] Inst Espanol Oceanog IEO, Ctr Oceanog Cadiz, Muelle Levante Puerto Pesquero, Cadiz 11006, Spain; [del Carmen Fernandez-Puga, Maria] Univ Cadiz UCA, Fac Ciencias Mar &amp; Ambientales, Dept Ciencias Tierra, INMAR, Ave Republ Saharaui S-N, Cadiz 11510, Spain</t>
  </si>
  <si>
    <t>Spanish Institute of Oceanography; University of Gottingen; Universidad de Cadiz</t>
  </si>
  <si>
    <t>Somoza, L (corresponding author), Geol Survey Spain IGME, Marine Geol Div, Rios Rosas 23, Madrid 28003, Spain.</t>
  </si>
  <si>
    <t>l.somoza@igme.es; jose.rueda@ieo.es; olga.sanchez@ieo.es; t.medialdea@igme.es; b.rincontomas@gmail.com; fj.gonzalez@igme.es; desiree.palomino@ieo.es; pedro.madureira@emepc.mm.gov.pt; e.lopez@igme.es; luismi.fernandez@ieo.es; E.santofimia@igme.es; r.leon@igme.es; e.marino@igme.es; mcarmen.fernandez@uca.es; juantomas.vazquez@ieo.es</t>
  </si>
  <si>
    <t>Vazquez, Juan-Tomas/T-6271-2019; Somoza, Luis/C-1400-2010; González, Francisco Javier/C-1416-2010; Rueda, Jose/JXY-9070-2024; Rincón-Tomás, Blanca/ABG-2881-2020; Fernández-Salas, Luis Miguel/F-3261-2011; Palomino, Desiree/E-9542-2016; Sanchez Guillamon, Olga/E-9546-2016; Rueda, Jose L./F-4868-2016; Marino, Egidio/F-4495-2016; Medialdea, Teresa/G-2647-2015; Leon, Ricardo/G-8314-2015</t>
  </si>
  <si>
    <t>Vazquez, Juan-Tomas/0000-0002-3747-4838; Somoza, Luis/0000-0001-5451-2288; González, Francisco Javier/0000-0002-6311-1950; Rincón-Tomás, Blanca/0000-0003-1011-1508; Fernández-Salas, Luis Miguel/0000-0001-9689-0084; Palomino, Desiree/0000-0003-3977-9552; Sanchez Guillamon, Olga/0000-0002-3068-6176; Rueda, Jose L./0000-0003-4632-1523; Marino, Egidio/0000-0001-9392-0647; Madureira, Pedro Miguel/0000-0003-4762-6273; Medialdea, Teresa/0000-0002-7969-5751; Santofimia, Esther/0000-0003-4236-6812; Leon, Ricardo/0000-0001-5598-0710</t>
  </si>
  <si>
    <t>Ministerio de Ciencia e Innovacion of Spain [CTM201675947-R, CGL2012-39524-CO2, CTM2010-09496-E]; EMODNET-Geology project [EASME/EMFF/2018/1.3.1.8-Lot 1/SI2.811048]; European project H2020 GeoERA-MINDeSEA [731166, GeoE.171.001]</t>
  </si>
  <si>
    <t>Ministerio de Ciencia e Innovacion of Spain(Spanish Government); EMODNET-Geology project; European project H2020 GeoERA-MINDeSEA</t>
  </si>
  <si>
    <t>Support for this work comes from the EXPLOSEA (CTM201675947-R), SUBVENT (CGL2012-39524-CO2), and EXARCAN (CTM2010-09496-E) projects funded by the Ministerio de Ciencia e Innovacion of Spain. This study also benefits from the Atlantic Seabed Mapping International Working Group (ASMIWG) as part of the Atlantic Ocean Research Alliance Coordination and Support Action (AORA-CSA). This study is also a contribution to the EMODNET-Geology project (EASME/EMFF/2018/1.3.1.8-Lot 1/SI2.811048) and the European project H2020 GeoERA-MINDeSEA (Grant Agreement No. 731166, project GeoE.171.001).</t>
  </si>
  <si>
    <t>2673-1924</t>
  </si>
  <si>
    <t>OCEANS-BASEL</t>
  </si>
  <si>
    <t>Oceans-Basel</t>
  </si>
  <si>
    <t>10.3390/oceans2020021</t>
  </si>
  <si>
    <t>J5ZI1</t>
  </si>
  <si>
    <t>WOS:001010392200001</t>
  </si>
  <si>
    <t>Yamazaki, K; Aoki, S; Katsumata, K; Hirano, D; Nakayama, Y</t>
  </si>
  <si>
    <t>Yamazaki, Kaihe; Aoki, Shigeru; Katsumata, Katsuro; Hirano, Daisuke; Nakayama, Yoshihiro</t>
  </si>
  <si>
    <t>Multidecadal poleward shift of the southern boundary of the Antarctic Circumpolar Current off East Antarctica</t>
  </si>
  <si>
    <t>SEA-LEVEL RISE; BOTTOM WATER; OCEAN; VARIABILITY; TRENDS; CIRCULATION; FRONTS; MODE</t>
  </si>
  <si>
    <t>The southern boundary (SB) of the Antarctic Circumpolar Current, the southernmost extent of the upper overturning circulation, regulates the Antarctic thermal conditions. The SB's behavior remains unconstrained because it does not have a clear surface signature. Revisited hydrographic data from off East Antarctica indicate full-depth warming from 1996 to 2019, concurrent with an extensive poleward shift of the SB subsurface isotherms (&gt;50 km), which is most prominent at 120 degrees E off the Sabrina Coast. The SB shift is attributable to enhanced upper overturning circulation and a depth-independent frontal shift, generally accounting for 30 and 70%, respectively. Thirty years of oceanographic data corroborate the overall and localized poleward shifts that are likely controlled by continental slope topography. Numerical experiments successfully reproduce this locality and demonstrate its sensitivity to mesoscale processes and wind forcing. The poleward SB shift under intensified westerlies potentially induces multidecadal warming of Antarctic shelf water.</t>
  </si>
  <si>
    <t>[Yamazaki, Kaihe] Hokkaido Univ, Grad Sch Environm Sci, Sapporo, Hokkaido, Japan; [Yamazaki, Kaihe; Aoki, Shigeru; Hirano, Daisuke; Nakayama, Yoshihiro] Hokkaido Univ, Inst Low Temp Sci, Sapporo, Hokkaido, Japan; [Katsumata, Katsuro] Japan Agcy Marine Earth Sci &amp; Technol, Yokosuka, Kanagawa, Japan; [Hirano, Daisuke] Hokkaido Univ, Arctic Res Ctr, Sapporo, Hokkaido, Japan; [Hirano, Daisuke] Natl Inst Polar Res, Tachikawa, Tokyo, Japan</t>
  </si>
  <si>
    <t>Hokkaido University; Hokkaido University; Japan Agency for Marine-Earth Science &amp; Technology (JAMSTEC); Hokkaido University; Research Organization of Information &amp; Systems (ROIS); National Institute of Polar Research (NIPR) - Japan</t>
  </si>
  <si>
    <t>Yamazaki, K (corresponding author), Hokkaido Univ, Grad Sch Environm Sci, Sapporo, Hokkaido, Japan.;Yamazaki, K (corresponding author), Hokkaido Univ, Inst Low Temp Sci, Sapporo, Hokkaido, Japan.</t>
  </si>
  <si>
    <t>kaiheyamazaki@gmail.com</t>
  </si>
  <si>
    <t>Nakayama, Yoshihiro/R-4325-2019; Katsumata, Katsuro/AAR-5034-2020; Yamazaki, Kaihe/HRC-7878-2023; Hirano, Daisuke/P-3963-2019</t>
  </si>
  <si>
    <t>Nakayama, Yoshihiro/0000-0001-6543-529X; Katsumata, Katsuro/0000-0002-4683-7610; Yamazaki, Kaihe/0000-0003-3631-5365;</t>
  </si>
  <si>
    <t>Ministry of Education, Culture, Sports, Science, and Technology of the Japanese Government [17H01615, 17H06317, 19K23447, 21H04918, 21K13989]; Grants-in-Aid for Scientific Research [21H04918, 21K13989, 17H06317, 17H01615, 19K23447, 20H04961] Funding Source: KAKEN</t>
  </si>
  <si>
    <t>Ministry of Education, Culture, Sports, Science, and Technology of the Japanese Government(Ministry of Education, Culture, Sports, Science and Technology, Japan (MEXT)); Grants-in-Aid for Scientific Research(Ministry of Education, Culture, Sports, Science and Technology, Japan (MEXT)Japan Society for the Promotion of ScienceGrants-in-Aid for Scientific Research (KAKENHI))</t>
  </si>
  <si>
    <t>This work was supported by Ministry of Education, Culture, Sports, Science, and Technology of the Japanese Government grants 17H01615, 17H06317 (as part of the GRAntarctic project), 19K23447, 21H04918 and 21K13989.</t>
  </si>
  <si>
    <t>eabf8755</t>
  </si>
  <si>
    <t>10.1126/sciadv.abf8755</t>
  </si>
  <si>
    <t>WOS:000677572900009</t>
  </si>
  <si>
    <t>Bellwald, B; Planke, S; Polteau, S; Lebedeva-Ivanova, N; Faleide, JI; Morris, SM; Morse, S; Castelltort, S</t>
  </si>
  <si>
    <t>Bellwald, B.; Planke, S.; Polteau, S.; Lebedeva-Ivanova, N.; Faleide, J., I; Morris, S. M.; Morse, S.; Castelltort, S.</t>
  </si>
  <si>
    <t>Characterization of a glacial paleo-outburst flood using high-resolution 3-D seismic data: Bjornelva River Valley, SW Barents Sea</t>
  </si>
  <si>
    <t>Arctic glaciology; climate change; fluvial transport; glacier hydrology; Jokulhlaups (GLOFs)</t>
  </si>
  <si>
    <t>ICE-STREAM; MELTWATER FEATURES; DRAINAGE SYSTEM; PLEISTOCENE; GEOMORPHOLOGY; CHANNEL; BJORNOYRENNA; DYNAMICS; MISSOULA; GERMANY</t>
  </si>
  <si>
    <t>Proglacial braided river systems discharge large volumes of meltwater from ice sheets and transport coarse-grained sediments from the glaciated areas to the oceans. Here, we test the hypothesis if high-energy hydrological events can leave distinctive signatures in the sedimentary record of braided river systems. We characterize the morphology and infer a mode of formation of a 25 km long and 1-3 km wide Early Pleistocene incised valley recently imaged in 3-D seismic data in the Hoop area, SW Barents Sea. The fluvial system, named Bjornelva River Valley, carved 20 m deep channels into Lower Cretaceous bedrock at a glacial paleo-surface and deposited 28 channel bars along a paleo-slope gradient of similar to 0.64 m km(-1). The landform morphologies and position relative to the paleo-surface support that Bjornelva River Valley was formed in the proglacial domain of the Barents Sea Ice Sheet. Based on valley width and valley depth, we suggest that Bjornelva River Valley represents a braided river system fed by violent outburst floods from a glacial lake, with estimated outburst discharges of similar to 160 000 m 3 s(-1). The morphological configuration of Bjornelva River Valley can inform geohazard assessments in areas at risk of outburst flooding today and is an analogue for landscapes evolving in areas currently covered by the Greenland and Antarctic ice sheets.</t>
  </si>
  <si>
    <t>[Bellwald, B.; Planke, S.; Polteau, S.; Lebedeva-Ivanova, N.; Morris, S. M.] Voican Basin Petr Res VBPR, Blindernveien 5, N-0361 Oslo, Norway; [Planke, S.; Faleide, J., I] Univ Oslo, Ctr Earth Evolut &amp; Dynam CEED, Sem Saelands Vei 1, N-0371 Oslo, Norway; [Planke, S.; Faleide, J., I] Arctic Univ Norway, Res Ctr Arctic Petr Explorat ARCEx, N-9037 Tromso, Norway; [Morse, S.] Lyme Bay Consulting, 17 Hanover Sq, London W1S 1BN, England; [Castelltort, S.] Univ Geneva, Dept Sci Terre, Rue Maraichers 13, CH-1205 Geneva, Switzerland; [Polteau, S.] Inst Energy Technol IFE, Inst Veien 18, N-0227 Kjeller, Norway; [Morris, S. M.] Ruden AS, Oslo Sci Pk,Gaustadalleen 21, N-0349 Oslo, Norway</t>
  </si>
  <si>
    <t>University of Oslo; UiT The Arctic University of Tromso; University of Geneva; Institute for Energy Technology (IFE)</t>
  </si>
  <si>
    <t>Bellwald, B (corresponding author), Voican Basin Petr Res VBPR, Blindernveien 5, N-0361 Oslo, Norway.</t>
  </si>
  <si>
    <t>benjamin@vbpr.no</t>
  </si>
  <si>
    <t>Lebedeva-Ivanova, Nina/GXZ-4684-2022</t>
  </si>
  <si>
    <t>Planke, Sverre/0000-0001-6128-2193; Polteau, Stephane/0000-0002-2773-558X; Lebedeva-Ivanova, Nina N./0000-0003-2654-3241; Castelltort, Sebastien/0000-0002-6405-4038</t>
  </si>
  <si>
    <t>Research Council of Norway through its Centres of Excellence funding scheme [223272, 228107]</t>
  </si>
  <si>
    <t>Research Council of Norway through its Centres of Excellence funding scheme(Research Council of Norway)</t>
  </si>
  <si>
    <t>We thank TGS, WGP and VBPR for allowing to publish the seismic data. Peter Sanderson is thanked to use his illustration on braided streams. Romain Corseri is acknowledged for valuable discussions and comments. Sverre Planke and Jan Inge Faleide acknowledge the support from the Research Council of Norway through its Centres of Excellence funding scheme, project 223272 (CEED) and project 228107 (ARCEx). Peter Haeussler, Bobby Reece, and Amy East are acknowledged for productive discussions of the manuscript. We thank the two reviewers Sean Gulick and Julia Wellner as well as the scientific editor Matthew Siegfried and associate chief editor Hester Jiskoot for detailed and constructive feedback.</t>
  </si>
  <si>
    <t>10.1017/jog.2020.115</t>
  </si>
  <si>
    <t>RY2UC</t>
  </si>
  <si>
    <t>WOS:000647771400002</t>
  </si>
  <si>
    <t>Hunter, P; Meyer, C; Minchew, B; Haseloff, M; Rempel, A</t>
  </si>
  <si>
    <t>Hunter, Pierce; Meyer, Colin; Minchew, Brent; Haseloff, Marianne; Rempel, Alan</t>
  </si>
  <si>
    <t>Thermal controls on ice stream shear margins</t>
  </si>
  <si>
    <t>Antarctic glaciology; glacial rheology; glacier flow; glacier mechanics; ice streams</t>
  </si>
  <si>
    <t>WEST ANTARCTICA; SHEET; DRIVEN; SURFACE; DYNAMICS; DEFORMATION; MECHANICS; GLACIERS; VELOCITY; SLIP</t>
  </si>
  <si>
    <t>Ice stream discharge responds to a balance between gravity, basal friction and lateral drag. Appreciable viscous heating occurs in shear margins between ice streams and adjacent slow-moving ice ridges, altering the temperature-dependent viscosity distribution that connects lateral drag to marginal strain rates and ice stream velocity. Warmer ice deforms more easily and accommodates faster flow, whereas cold ice supplied from ice ridges drives advective cooling that counteracts viscous heating. Here, we present a two-dimensional (three velocity component), steady-state model designed to explore the thermal controls on ice stream shear margins. We validate our treatment through comparison with observed velocities for Bindschadler Ice Stream and verify that calculated temperatures are consistent with results from previous studies. Sweeping through a parameter range that encompasses conditions representative of ice streams in Antarctica, we show that modeled steady-state velocity has a modest response to different choices in forcing up until temperate zones develop in the shear margins. When temperate zones are present, velocity is much more sensitive to changes in forcing. We identify key scalings for the emergence of temperate conditions in our idealized treatment that can be used to identify where thermo-mechanical feedbacks influence the evolution of the ice sheet.</t>
  </si>
  <si>
    <t>[Hunter, Pierce; Rempel, Alan] Univ Oregon, Dept Earth Sci, Eugene, OR 97403 USA; [Meyer, Colin] Dartmouth Coll, Thayer Sch Engn, Hanover, NH 03755 USA; [Minchew, Brent] MIT, Earth Atmospher &amp; Planetary Sci, 77 Massachusetts Ave, Cambridge, MA 02139 USA; [Haseloff, Marianne] Northumbria Univ, Geog &amp; Environm Sci, Newcastle Upon Tyne, Tyne &amp; Wear, England</t>
  </si>
  <si>
    <t>University of Oregon; Dartmouth College; Massachusetts Institute of Technology (MIT); Northumbria University</t>
  </si>
  <si>
    <t>Rempel, A (corresponding author), Univ Oregon, Dept Earth Sci, Eugene, OR 97403 USA.</t>
  </si>
  <si>
    <t>rempel@uoregon.edu</t>
  </si>
  <si>
    <t>Haseloff, Marianne/0000-0002-6576-5384</t>
  </si>
  <si>
    <t>[NSF-160397]</t>
  </si>
  <si>
    <t>We appreciate the constructive feedback we received from scientific editor, Jonny Kingslake, and two anonymous reviewers. This work was funded in part by award NSF-160397 to AWR.</t>
  </si>
  <si>
    <t>PII S0022143020001185</t>
  </si>
  <si>
    <t>10.1017/jog.2020.118</t>
  </si>
  <si>
    <t>WOS:000647771400004</t>
  </si>
  <si>
    <t>Gkinis, V; Holme, C; Kahle, EC; Stevens, MC; Steig, EJ; Vinther, BM</t>
  </si>
  <si>
    <t>Gkinis, Vasileios; Holme, Christian; Kahle, Emma C.; Stevens, Max C.; Steig, Eric J.; Vinther, Bo M.</t>
  </si>
  <si>
    <t>Numerical experiments on firn isotope diffusion with the Community Firn Model</t>
  </si>
  <si>
    <t>Glaciological model experiments; ice and climate; ice core; ice temperature; polar firn</t>
  </si>
  <si>
    <t>STABLE WATER ISOTOPES; CONTINUOUS-FLOW ANALYSIS; DRONNING MAUD LAND; ICE-CORE; POLAR FIRN; DOME C; TEMPERATURE; FRACTIONATION; RECORDS; DENSIFICATION</t>
  </si>
  <si>
    <t>Advances in analytical methods have made it possible to obtain high-resolution water isotopic data from ice cores. Their spectral signature contains information on the diffusion process that attenuated the isotopic signal during the firn densification process. Here, we provide a tool for estimating firn-diffusion rates that builds on the Community Firn Model. Our model requires two main inputs, temperature and accumulation, and it calculates the diffusion lengths for delta O-17, delta O-18 and delta D. Prior information on the isotopic signal of the precipitation is not a requirement. In combination with deconvolution techniques, diffusion lengths can be used in order reconstruct the pre-diffusion isotopic signal. Furthermore, the temperature dependence of the isotope diffusion and firn densification makes the diffusion length an interesting candidate as a temperature proxy. We test the model under steady state and transient scenarios and compare four densification models. Comparisons with ice core data provide an evaluation of the four models and indicate that there are differences in their performance. Combining data-based diffusion length estimates with information on past accumulation rates and ice flow thinning, we reconstruct absolute temperatures from three Antarctic ice core sites.</t>
  </si>
  <si>
    <t>[Gkinis, Vasileios; Holme, Christian; Vinther, Bo M.] Univ Copenhagen, Niels Bohr Inst, Phys Ice Climate &amp; Earth, Copenhagen, Denmark; [Kahle, Emma C.; Stevens, Max C.; Steig, Eric J.] Univ Washington, Dept Earth &amp; Space Sci, Seattle, WA 98195 USA; [Kahle, Emma C.; Stevens, Max C.; Steig, Eric J.] Univ Washington, Quaternary Res Ctr, Seattle, WA 98195 USA</t>
  </si>
  <si>
    <t>University of Copenhagen; Niels Bohr Institute; University of Washington; University of Washington Seattle; University of Washington; University of Washington Seattle</t>
  </si>
  <si>
    <t>Gkinis, V (corresponding author), Univ Copenhagen, Niels Bohr Inst, Phys Ice Climate &amp; Earth, Copenhagen, Denmark.</t>
  </si>
  <si>
    <t>v.gkinis@nbi.ku.dk</t>
  </si>
  <si>
    <t>Gkinis, Vasileios/E-8185-2011; Steig, Eric J/G-9088-2015; Holme, Christian/J-5051-2015</t>
  </si>
  <si>
    <t>Gkinis, Vasileios/0000-0002-5910-1549; Stevens, Christopher Max/0000-0003-2005-0876; Vinther, Bo/0000-0002-6078-771X; Holme, Christian/0000-0003-2155-489X</t>
  </si>
  <si>
    <t>European Research Council under the European Community's Seventh Framework Programme (FP7/2007-2013)/ERC grant [610055]; Villum Foundation under the Villum Experiment programme [00022995]; National Science Foundation Partnerships in International Research and Education (PIRE) grant [0968391]; Office Of Internatl Science &amp;Engineering; Office Of The Director [0968391] Funding Source: National Science Foundation</t>
  </si>
  <si>
    <t>European Research Council under the European Community's Seventh Framework Programme (FP7/2007-2013)/ERC grant; Villum Foundation under the Villum Experiment programme; National Science Foundation Partnerships in International Research and Education (PIRE) grant; Office Of Internatl Science &amp;Engineering; Office Of The Director(National Science Foundation (NSF)NSF - Office of the Director (OD))</t>
  </si>
  <si>
    <t>We acknowledge funding from the European Research Council under the European Community's Seventh Framework Programme (FP7/2007-2013)/ERC grant agreement No. 610055 (Ice2Ice project) and the Villum Foundation under the Villum Experiment programme (Project No. 00022995). Support for development of the CFM was provided by National Science Foundation Partnerships in International Research and Education (PIRE) grant 0968391. We thank A. Bourantas, T. Laepple, T. Munch and E. Waddington for insightful discussions.</t>
  </si>
  <si>
    <t>PII S0022143021000010</t>
  </si>
  <si>
    <t>10.1017/jog.2021.1</t>
  </si>
  <si>
    <t>WOS:000647771400005</t>
  </si>
  <si>
    <t>Li, CAJ; Ren, JW; Shi, GT; Pang, HX; Wang, YT; Hou, SG; Li, ZQ; Du, ZH; Ding, MH; Ma, XY; Yang, J; Xie, AH; Wang, PY; Wang, XM; Sun, B; Xiao, CD</t>
  </si>
  <si>
    <t>Li, Chuanjin; Ren, Jiawen; Shi, Guitao; Pang, Hongxi; Wang, Yetang; Hou, Shugui; Li, Zhongqin; Du, Zhiheng; Ding, Minghu; Ma, Xiangyu; Yang, Jiao; Xie, Aihong; Wang, Puyu; Wang, Xiaoming; Sun, Bo; Xiao, Cunde</t>
  </si>
  <si>
    <t>Spatial and temporal variations of fractionation of stable isotopes in East-Antarctic snow</t>
  </si>
  <si>
    <t>East Antarctica; fractionation; MWL slopes; stable isotopes</t>
  </si>
  <si>
    <t>NEAR-SURFACE SNOW; EPICA DOME C; WATER-VAPOR; ZHONGSHAN STATION; CLIMATE VARIABILITY; DEUTERIUM EXCESS; KOHNEN STATION; ICE-CORE; ACCUMULATION RATE; TRAVERSE ROUTE</t>
  </si>
  <si>
    <t>Stable isotope ratios (delta O-18 and delta D) in Antarctic snow and ice are basic proxy indices of climate in ice core studies. The relation between the ratios has important indicative significance for moisture sources. In general, the fractionation characteristics of the two isotopes vary with different meteorological and topographical conditions. This paper presents the spatial and temporal distribution of meteoric water line (MWL) slopes along a traverse from the Zhongshan Station (ZSS) to Dome A in East Antarctica. It is found that the slopes decrease with the increasing distance inland from the coast and the lowest slope occurred at Dome A, where the long-range transported moisture dominates and clear sky snowing have an influence. The slopes in different layers of the snowpack showed a decreasing trend with depth and this is attributed to the fractionation during the interstitial sublimation and re-condensation processes of the water vapor. Frost flower development on the interior plateau surface can greatly alter the depth evolution of the MWL slope. The coastal snow pits also go through the post-depositional smoothing effect, but their influences are not so significant as the inland regions.</t>
  </si>
  <si>
    <t>[Li, Chuanjin; Ren, Jiawen; Li, Zhongqin; Du, Zhiheng; Ding, Minghu; Ma, Xiangyu; Yang, Jiao; Xie, Aihong; Wang, Puyu; Wang, Xiaoming; Xiao, Cunde] Chinese Acad Sci, Northwest Inst Ecoenvironm &amp; Resources, State Key Lab Cryospher Sci, Lanzhou 730000, Peoples R China; [Shi, Guitao] East China Normal Univ, Minist Educ, Key Lab Geog Informat Sci, Shanghai 200241, Peoples R China; [Shi, Guitao] East China Normal Univ, Inst Ecochongming, Shanghai 200241, Peoples R China; [Shi, Guitao; Sun, Bo] Polar Res Inst China, State Ocean Adm, Key Lab Polar Sci, Shanghai 200062, Peoples R China; [Pang, Hongxi; Hou, Shugui] Nanjing Univ, Sch Geog &amp; Ocean Sci, Nanjing 210023, Peoples R China; [Wang, Yetang] Shandong Normal Univ, Coll Geog &amp; Environm, Jinan 250358, Peoples R China; [Ding, Minghu] Chinese Acad Meteorol Sci, Inat Tibetan Plateau &amp; Polar Reg Meteorol, Beijing 100081, Peoples R China; [Xiao, Cunde] Beijing Normal Univ, State Key Lab Earth Surface Proc &amp; Resource Ecol, Beijing 100875, Peoples R China</t>
  </si>
  <si>
    <t>Chinese Academy of Sciences; East China Normal University; East China Normal University; Polar Research Institute of China; Nanjing University; Shandong Normal University; China Meteorological Administration; Chinese Academy of Meteorological Sciences (CAMS); Beijing Normal University</t>
  </si>
  <si>
    <t>Li, CAJ (corresponding author), Chinese Acad Sci, Northwest Inst Ecoenvironm &amp; Resources, State Key Lab Cryospher Sci, Lanzhou 730000, Peoples R China.</t>
  </si>
  <si>
    <t>lichuanjin@lzb.ac.cn</t>
  </si>
  <si>
    <t>Li, June/JEF-1173-2023; Jiawen, Ren/K-7734-2012; Chen, Shuo/JEO-6350-2023; Ding, Minghu/AFU-3600-2022; wang, xiao/HZI-9156-2023; wang, xu/IAN-4886-2023</t>
  </si>
  <si>
    <t>Ding, Minghu/0000-0002-1142-6598; Hou, Shugui/0000-0002-0905-3542; Shi, Guitao/0000-0003-1702-6322</t>
  </si>
  <si>
    <t>Innovative Research Group; National Natural Science Foundation of China [41671063, 41830647, 41625012, 41961144028]; State Key Laboratory of Cryospheric Sciences [SKLCS-ZZ-2018-01]; Youth Innovation Promotion Association, Chinese Academy of Sciences</t>
  </si>
  <si>
    <t>Innovative Research Group; National Natural Science Foundation of China(National Natural Science Foundation of China (NSFC)); State Key Laboratory of Cryospheric Sciences; Youth Innovation Promotion Association, Chinese Academy of Sciences</t>
  </si>
  <si>
    <t>We thank all the members who participated in the 2012/13 and 2016/17 CHINARE field campaigns for sample collection. Special thanks should also be given to analyzing personnel on the water isotopes in the State Key Laboratory of the Cryospheric Sciences. Dr Xiaoqing Cui, Ms. Xiaoxiang Wang, Yan Liu and Tingting Su and Yuman Zhu from the cold and arid region environmental and engineering research institute, Chinese Academy of Sciences who completed parts of the analysis. This work is financially supported by the Innovative Research Group, the National Natural Science Foundation of China (No. 41671063, 41830647, 41625012, and 41961144028), the State Key Laboratory of Cryospheric Sciences (supporting fund No. SKLCS-ZZ-2018-01) and the Youth Innovation Promotion Association, Chinese Academy of Sciences.</t>
  </si>
  <si>
    <t>PII S0022143021000058</t>
  </si>
  <si>
    <t>10.1017/jog.2021.5</t>
  </si>
  <si>
    <t>WOS:000647771400010</t>
  </si>
  <si>
    <t>Zwally, HJ; Robbins, JW; Luthcke, SB; Loomis, BD; Rémy, F</t>
  </si>
  <si>
    <t>Zwally, H. Jay; Robbins, John W.; Luthcke, Scott B.; Loomis, Bryant D.; Remy, Frederique</t>
  </si>
  <si>
    <t>Mass balance of the Antarctic ice sheet 1992-2016: reconciling results from GRACE gravimetry with ICESat, ERS1/2 and Envisat altimetry</t>
  </si>
  <si>
    <t>Antarctic glaciology; climate change; ice dynamics; ice-sheet mass balance; laser altimetry</t>
  </si>
  <si>
    <t>SEA-LEVEL RISE; RAPID BEDROCK UPLIFT; ELEVATION CHANGE; SURFACE ELEVATION; FIRN COMPACTION; EXCEED LOSSES; GREENLAND; RADAR; ACCUMULATION; MODEL</t>
  </si>
  <si>
    <t>GRACE and ICESat Antarctic mass-balance differences are resolved utilizing their dependencies on corrections for changes in mass and volume of the same underlying mantle material forced by ice-loading changes. Modeled gravimetry corrections are 5.22 times altimetry corrections over East Antarctica (EA) and 4.51 times over West Antarctica (WA), with inferred mantle densities 4.75 and 4.11 g cm(-3). Derived sensitivities (S-g, S-a) to bedrock motion enable calculation of motion (delta B-0) needed to equalize GRACE and ICESat mass changes during 2003-08. For EA, delta B-0 is -2.2 mm a(-1) subsidence with mass matching at 150 Gt a(-1), inland WA is -3.5 mm a(-1) at 66 Gt a(-1), and coastal WA is only -0.35 mm a(-1) at -95 Gt a(-1). WA subsidence is attributed to low mantle viscosity with faster responses to post-LGM deglaciation and to ice growth during Holocene grounding-line readvance. EA subsidence is attributed to Holocene dynamic thickening. With Antarctic Peninsula loss of -26 Gt a(-1), the Antarctic total gain is 95 +/- 25 Gt a(-1) during 2003-08, compared to 144 +/- 61 Gt a(-1) from ERS1/2 during 1992-2001. Beginning in 2009, large increases in coastal WA dynamic losses overcame long-term EA and inland WA gains bringing Antarctica close to balance at -12 +/- 64 Gt a(-1) by 2012-16.</t>
  </si>
  <si>
    <t>[Zwally, H. Jay] NASA, Cryospher Sci Lab, Goddard Space Flight Ctr, Greenbelt, MD 20771 USA; [Zwally, H. Jay] Univ Maryland, Earth Syst Sci Interdisciplinary Ctr, College Pk, MD 20742 USA; [Robbins, John W.] NASA, Craig Technol, Goddard Space Flight Ctr, Greenbelt, MD USA; [Luthcke, Scott B.; Loomis, Bryant D.] NASA, Geodesy &amp; Geophys Lab, Goddard Space Flight Ctr, Greenbelt, MD USA; [Remy, Frederique] Lab Etud Geophys &amp; Oceanog Spatiale Legos, Toulouse, France</t>
  </si>
  <si>
    <t>National Aeronautics &amp; Space Administration (NASA); NASA Goddard Space Flight Center; University System of Maryland; University of Maryland College Park; National Aeronautics &amp; Space Administration (NASA); NASA Goddard Space Flight Center; National Aeronautics &amp; Space Administration (NASA); NASA Goddard Space Flight Center</t>
  </si>
  <si>
    <t>Zwally, HJ (corresponding author), NASA, Cryospher Sci Lab, Goddard Space Flight Ctr, Greenbelt, MD 20771 USA.;Zwally, HJ (corresponding author), Univ Maryland, Earth Syst Sci Interdisciplinary Ctr, College Pk, MD 20742 USA.</t>
  </si>
  <si>
    <t>jayzwallyice@verizon.net</t>
  </si>
  <si>
    <t>Luthcke, Scott B/D-6283-2012; Loomis, Bryant/AIC-7436-2022</t>
  </si>
  <si>
    <t>GRACE Follow-On Science Team Grant [NNH15ZDA0-01N]; NASA's ICESat project science funding</t>
  </si>
  <si>
    <t>GRACE Follow-On Science Team Grant; NASA's ICESat project science funding</t>
  </si>
  <si>
    <t>We appreciate the GIA and dB/dt model data provided by E. Ivins, P. Whitehouse and R. Peltier. NASA GSFC mascon solutions were developed partly under the NASA GRACE and GRACE Follow-On Science Team Grant NNH15ZDA0-01N. This research was also supported by NASA's ICESat project science funding. We appreciate the reviewers' efforts and their helpful comments, especially those of the fourth reviewer with expertise in GIA processes and an anonymous colleague for thorough reading of the manuscript and helpful suggestions. Following our original submission, the Editors' requested addressing reviewers' concerns about why our ICESat results on Antarctic mass gains differ from others in the literature. That request resulted in additional documentation of the validity of our ICESat and ERS1/2 results and our methodologies and reasons why we believe the results of others had some significant errors, now in Section 5 and the Appendix. It also led to the inclusion of the supportive Envisat results and co-author F. Remy. We also greatly appreciate the dedicated efforts of so many scientists, engineers, analysts, and managers in NASA and supporting companies that led to the successes of the ICESat missions and similarly of the many individuals involved in the successes of GRACE and the ESA missions of ERS and Envisat.</t>
  </si>
  <si>
    <t>PII S0022143021000083</t>
  </si>
  <si>
    <t>10.1017/jog.2021.8</t>
  </si>
  <si>
    <t>WOS:000647771400011</t>
  </si>
  <si>
    <t>Lang, SN; Xu, B; Cui, XB; Luo, K; Guo, JX; Tang, XY; Cai, YH; Sun, B; Siegert, MJ</t>
  </si>
  <si>
    <t>Lang, Shinan; Xu, Ben; Cui, Xiangbin; Luo, Kun; Guo, Jingxue; Tang, Xueyuan; Cai, Yiheng; Sun, Bo; Siegert, Martin J.</t>
  </si>
  <si>
    <t>A self-adaptive two-parameter method for characterizing roughness of multi-scale subglacial topography</t>
  </si>
  <si>
    <t>Antarctic glaciology; glaciological instruments and methods; radio-echo sounding</t>
  </si>
  <si>
    <t>THWAITES GLACIER; BED TOPOGRAPHY; ICE-SHEET; PLANETARY; SCALE</t>
  </si>
  <si>
    <t>During the last few decades, bed-elevation profiles from radar sounders have been used to quantify bed roughness. Various methods have been employed, such as the 'two-parameter' technique that considers vertical and slope irregularities in topography, but they struggle to incorporate roughness at multiple spatial scales leading to a breakdown in their depiction of bed roughness where the relief is most complex. In this article, we describe a new algorithm, analogous to wavelet transformations, to quantify the bed roughness at multiple scales. The 'Self-Adaptive Two-Parameter' system calculates the roughness of a bed profile using a frequency-domain method, allowing the extraction of three characteristic factors: (1) slope, (2) skewness and (3) coefficient of variation. The multi-scale roughness is derived by weighted-summing of these frequency-related factors. We use idealized bed elevations to initially validate the algorithm, and then actual bed-elevation data are used to compare the new roughness index with other methods. We show the new technique is an effective tool for quantifying bed roughness from radar data, paving the way for improved continental-wide depictions of bed roughness and incorporation of this information into ice flow models.</t>
  </si>
  <si>
    <t>[Lang, Shinan; Xu, Ben; Cai, Yiheng] Beijing Univ Technol, Fac Informat Technol, Beijing 100124, Peoples R China; [Xu, Ben; Cui, Xiangbin; Luo, Kun; Guo, Jingxue; Tang, Xueyuan; Sun, Bo] Polar Res Inst China, 451 Jinqiao Rd, Shanghai 200136, Peoples R China; [Siegert, Martin J.] Imperial Coll London, Grantham Inst, London, England; [Siegert, Martin J.] Imperial Coll London, Dept Earth Sci &amp; Engn, London, England</t>
  </si>
  <si>
    <t>Beijing University of Technology; Polar Research Institute of China; Imperial College London; Imperial College London</t>
  </si>
  <si>
    <t>Cui, XB (corresponding author), Polar Res Inst China, 451 Jinqiao Rd, Shanghai 200136, Peoples R China.</t>
  </si>
  <si>
    <t>cuixiangbin@pric.org.cn</t>
  </si>
  <si>
    <t>sun, bo/JFA-9978-2023; Siegert, Martin/M-9939-2019; Luo, Kun/HNQ-1811-2023</t>
  </si>
  <si>
    <t>Siegert, Martin/0000-0002-0090-4806; Xu, Ben/0000-0002-0637-1262; Cui, Xiangbin/0000-0002-4269-8086</t>
  </si>
  <si>
    <t>National Natural Science Foundation of China [41941006, 41606219, 41776186]; National Key R&amp;D Program of China [2019YFC1509102]; Scientific Research Project of Beijing Educational Committee [KM201910005027]; Rixin Foundation of Beijin University of Technology; British Council 'Global Innovation Initiative' award; NERC [NE/K004956/2] Funding Source: UKRI</t>
  </si>
  <si>
    <t>National Natural Science Foundation of China(National Natural Science Foundation of China (NSFC)); National Key R&amp;D Program of China; Scientific Research Project of Beijing Educational Committee; Rixin Foundation of Beijin University of Technology; British Council 'Global Innovation Initiative' award; NERC(UK Research &amp; Innovation (UKRI)Natural Environment Research Council (NERC))</t>
  </si>
  <si>
    <t>This work was supported by the National Natural Science Foundation of China (Nos. 41941006, 41606219, 41776186), the National Key R&amp;D Program of China (2019YFC1509102), the Scientific Research Project of Beijing Educational Committee (No. KM201910005027) and the Rixin Foundation of Beijin University of Technology. M.J.S. was supported by a British Council 'Global Innovation Initiative' award. We also thank the anonymous reviewers for their positive comments and suggestions for improving this paper and editors for editing this paper.</t>
  </si>
  <si>
    <t>PII S0022143021000125</t>
  </si>
  <si>
    <t>10.1017/jog.2021.12</t>
  </si>
  <si>
    <t>WOS:000647771400012</t>
  </si>
  <si>
    <t>León, R; Martínez-Carreño, N; García-Gil, S; Rengel, JA; Giménez-Moreno, CJ; Reguera, I</t>
  </si>
  <si>
    <t>Leon, Ricardo; Martinez-Carreno, Natalia; Garcia-Gil, Soledad; Antonio Rengel, Juan; Julia Gimenez-Moreno, Carmen; Reguera, Isabel</t>
  </si>
  <si>
    <t>Oceanographic control of the submarine landslides of the northern Galicia Area (Bay of Biscay, NE Atlantic)</t>
  </si>
  <si>
    <t>MARINE GEOPHYSICAL RESEARCH</t>
  </si>
  <si>
    <t>Submarine landslides; Bottom currents; NE Atlantic Sea; Jean Charcot ridge; Castro marginal platform</t>
  </si>
  <si>
    <t>WATER CORAL MOUNDS; MEDITERRANEAN OUTFLOW; CONTINENTAL-MARGIN; SEDIMENTARY PROCESSES; LATE PLEISTOCENE; IBERIAN MARGIN; BANK REGION; SLOPE; EVOLUTION; SOUTHWEST</t>
  </si>
  <si>
    <t>This paper characterizes in detail for the first time the gravitational instabilities in two zones of the northern Galicia Area (Bay of Biscay, NE Atlantic): the Jean Charcot ridge (3700 to 4950 mwd) and the Castro marginal platform (1900 to 2500 mwd). Mass transport deposits (MTDs) show different seismo-stratigraphic structures depending on their physiographic location, mostly determined by the actions of bottom currents. On the Jean Charcot ridge, MTDs are mainly present in intra-basins of the inner part of the ridge, a sector unaffected by strong bottom currents. MTDs appear on the seafloor and inside the sedimentary column as stacked levels of transparent acoustic facies interbedded with an alternation of continuous reflections of high and moderate amplitude. On the southeast flank of this ridge, an area affected by moderate to high bottom currents, several headwall scars have been observed. However, MTDs are only present on the seafloor in bathymetrical entrances that are partially protected from the Atlantic and Antarctic bottom currents. We correlate this lack of MTDs with the erosional and reworking processes of Atlantic and Antarctic bottom currents along the Biscay and Charcot channels. On the Castro marginal platform, MTDs are composed of layers of up to 10 ms two-way travel time in thickness topped by patches of blanking acoustic facies and separated by continuous reflections of high amplitude. MTDs form a complex mixed system (down- and alongslope processes) that may have been generated during the Quaternary cold periods.</t>
  </si>
  <si>
    <t>[Leon, Ricardo; Julia Gimenez-Moreno, Carmen; Reguera, Isabel] Inst Geol &amp; Minero Espana IGME, Rios Rosas 23, Madrid 28003, Spain; [Martinez-Carreno, Natalia] Inst Espanol Oceanog IEO, CO Malaga, Puerto Pesquero S-N, Fuengirola 29640, Spain; [Garcia-Gil, Soledad] Univ Vigo, Fac Ciencias, Vigo 36200, Spain; [Antonio Rengel, Juan] Inst Hidrog Marina IHM, Plaza San Severiano 3, Cadiz 11007, Spain</t>
  </si>
  <si>
    <t>Universidade de Vigo</t>
  </si>
  <si>
    <t>León, R (corresponding author), Inst Geol &amp; Minero Espana IGME, Rios Rosas 23, Madrid 28003, Spain.</t>
  </si>
  <si>
    <t>r.leon@igme.es; natalia.martinez@ieo.es; sgil@uvigo.es; jrenortega@fn.mde.es; j.gimenez@igme.es; mi.reguera@igme.es</t>
  </si>
  <si>
    <t>Martínez-Carreño, Natalia/AAA-5634-2019; Leon, Ricardo/G-8314-2015; Reguera, Maria Isabel/A-3645-2009</t>
  </si>
  <si>
    <t>Leon, Ricardo/0000-0001-5598-0710; Reguera, Maria Isabel/0000-0002-7426-5437</t>
  </si>
  <si>
    <t>European Union's Horizon 2020 research and innovation programme [731166]; GARAH project (GeoERA GE-1); EMODnet Bathymetry-High-Resolution Seabed Mapping [EASME/EMFF/2018/007]; H2020 Societal Challenges Programme [731166] Funding Source: H2020 Societal Challenges Programme</t>
  </si>
  <si>
    <t>European Union's Horizon 2020 research and innovation programme(Horizon 2020); GARAH project (GeoERA GE-1)(General Electric); EMODnet Bathymetry-High-Resolution Seabed Mapping; H2020 Societal Challenges Programme(Horizon 2020European Union (EU)H2020 Societal Challenges Programme)</t>
  </si>
  <si>
    <t>This work was supported by the European Union's Horizon 2020 research and innovation programme under Grant Agreement No 731166, the GARAH project (GeoERA GE-1) and EMODnet Bathymetry-High-Resolution Seabed Mapping (EASME/EMFF/2018/007). We thank the Real Observatorio de la Armada (ROA) and the Instituto Hidrografico de la Marina (IHM) for the multibeam and TOPAS data acquired during the Spanish Exclusive Economic Zone (ZEEE) cruises.</t>
  </si>
  <si>
    <t>0025-3235</t>
  </si>
  <si>
    <t>1573-0581</t>
  </si>
  <si>
    <t>MAR GEOPHYS RES</t>
  </si>
  <si>
    <t>Mar. Geophys. Res.</t>
  </si>
  <si>
    <t>10.1007/s11001-021-09433-1</t>
  </si>
  <si>
    <t>Geochemistry &amp; Geophysics; Oceanography</t>
  </si>
  <si>
    <t>RL3LO</t>
  </si>
  <si>
    <t>WOS:000638878900001</t>
  </si>
  <si>
    <t>Edwards, M; Hélaouët, P; Goberville, E; Lindley, A; Tarling, GA; Burrows, MT; Atkinson, A</t>
  </si>
  <si>
    <t>Edwards, Martin; Helaouet, Pierre; Goberville, Eric; Lindley, Alistair; Tarling, Geraint A.; Burrows, Michael T.; Atkinson, Angus</t>
  </si>
  <si>
    <t>North Atlantic warming over six decades drives decreases in krill abundance with no associated range shift</t>
  </si>
  <si>
    <t>COMMUNICATIONS BIOLOGY</t>
  </si>
  <si>
    <t>CONTINUOUS PLANKTON RECORDER; POPULATION-DYNAMICS; THYSANOESSA-LONGICAUDATA; EUPHAUSIIDS; CLIMATE; ZOOPLANKTON; VARIABILITY; SEA; SHELF; COD</t>
  </si>
  <si>
    <t>In the North Atlantic, euphausiids (krill) form a major link between primary production and predators including commercially exploited fish. This basin is warming very rapidly, with species expected to shift northwards following their thermal tolerances. Here we show, however, that there has been a 50% decline in surface krill abundance over the last 60 years that occurred in situ, with no associated range shift. While we relate these changes to the warming climate, our study is the first to document an in situ squeeze on living space within this system. The warmer isotherms are shifting measurably northwards but cooler isotherms have remained relatively static, stalled by the subpolar fronts in the NW Atlantic. Consequently the two temperatures defining the core of krill distribution (7-13 degrees C) were 8 degrees of latitude apart 60 years ago but are presently only 4 degrees apart. Over the 60 year period the core latitudinal distribution of euphausiids has remained relatively stable so a 'habitat squeeze', with loss of 4 degrees of latitude in living space, could explain the decline in krill. This highlights that, as the temperature warms, not all species can track isotherms and shift northward at the same rate with both losers and winners emerging under the 'Atlantification' of the sub-Arctic. Martin Edwards et al. use data spanning from 1958-2017 from the Continuous Plankton Recorder Survey of the North Atlantic Ocean to examine krill distribution and abundance in conjunction with sea surface temperatures and show a 50% decline in surface krill abundance with no associated range shift. These data show that where the northern and southern distributions were previously separated by 8 degrees of latitude, they are now separated by 4 degrees, indicating a warming-induced range constriction.</t>
  </si>
  <si>
    <t>[Edwards, Martin; Atkinson, Angus] Plymouth Marine Lab, Plymouth PL1 3DH, Devon, England; [Helaouet, Pierre; Lindley, Alistair] Marine Biol Assoc MBA, Plymouth PL1 2PB, Devon, England; [Goberville, Eric] Univ Antilles, Sorbonne Univ, Univ Caen Normandie,,CNRS,IRD, Museum Natl Hist Nat,Unite Biol Organismes &amp; Ecos, Paris, France; [Tarling, Geraint A.] British Antarctic Survey, Cambridge CB3 0ET, England; [Burrows, Michael T.] Scottish Assoc Marine Sci SAMS, Scottish Marine Inst, Oban PA37 1QA, Argyll, Scotland</t>
  </si>
  <si>
    <t>Plymouth Marine Laboratory; Museum National d'Histoire Naturelle (MNHN); Universite de Caen Normandie; Sorbonne Universite; Centre National de la Recherche Scientifique (CNRS); Institut de Recherche pour le Developpement (IRD); UK Research &amp; Innovation (UKRI); Natural Environment Research Council (NERC); NERC British Antarctic Survey</t>
  </si>
  <si>
    <t>Edwards, M (corresponding author), Plymouth Marine Lab, Plymouth PL1 3DH, Devon, England.</t>
  </si>
  <si>
    <t>martin@pelasphere.com</t>
  </si>
  <si>
    <t>Atkinson, Angus/HOH-3417-2023; Goberville, Eric/A-2621-2017; Burrows, Michael/D-9844-2013</t>
  </si>
  <si>
    <t>Goberville, Eric/0000-0002-1843-7855; Tarling, Geraint/0000-0002-3753-5899; Edwards, Martin/0000-0002-5716-4714; Burrows, Michael/0000-0003-4620-5899</t>
  </si>
  <si>
    <t>NERC grant UK Changing Arctic programme DIAPOD; NERC grant UK NERC CLASS; NERC [bas0100035, NE/R015953/1, NE/J024082/1, NE/P006213/1] Funding Source: UKRI</t>
  </si>
  <si>
    <t>NERC grant UK Changing Arctic programme DIAPOD(UK Research &amp; Innovation (UKRI)Natural Environment Research Council (NERC)); NERC grant UK NERC CLASS(UK Research &amp; Innovation (UKRI)Natural Environment Research Council (NERC)); NERC(UK Research &amp; Innovation (UKRI)Natural Environment Research Council (NERC))</t>
  </si>
  <si>
    <t>An international consortium of government agencies from Canada, Norway, UK and USA funds the Continuous Plankton Recorder Survey. M.E. was supported by NERC grants UK Changing Arctic programme DIAPOD and UK NERC CLASS. We would like to thank the owners and crews that have towed the CPRs on a voluntary basis for over 80 years contributing to one of the world's largest and longest ongoing ecological experiments. Without these early pioneers of citizen science and broad-scale volunteer monitoring projects this unique ecological dataset would never have been financially or logistically viable.</t>
  </si>
  <si>
    <t>2399-3642</t>
  </si>
  <si>
    <t>COMMUN BIOL</t>
  </si>
  <si>
    <t>Commun. Biol.</t>
  </si>
  <si>
    <t>MAY 31</t>
  </si>
  <si>
    <t>10.1038/s42003-021-02159-1</t>
  </si>
  <si>
    <t>Biology; Multidisciplinary Sciences</t>
  </si>
  <si>
    <t>Life Sciences &amp; Biomedicine - Other Topics; Science &amp; Technology - Other Topics</t>
  </si>
  <si>
    <t>SO6ZK</t>
  </si>
  <si>
    <t>WOS:000659123600004</t>
  </si>
  <si>
    <t>Rogers, AD; Baco, A; Escobar-Briones, E; Gjerde, K; Gobin, J; Jaspars, M; Levin, L; Linse, K; Rabone, M; Ramirez-Llodra, E; Sellanes, J; Shank, TM; Sink, K; Snelgrove, PVR; Taylor, ML; Wagner, D; Harden-Davies, H</t>
  </si>
  <si>
    <t>Rogers, Alex D.; Baco, Amy; Escobar-Briones, Elva; Gjerde, Kristina; Gobin, Judith; Jaspars, Marcel; Levin, Lisa; Linse, Katrin; Rabone, Muriel; Ramirez-Llodra, Eva; Sellanes, Javier; Shank, Timothy M.; Sink, Kerry; Snelgrove, Paul V. R.; Taylor, Michelle L.; Wagner, Daniel; Harden-Davies, Harriet</t>
  </si>
  <si>
    <t>Marine Genetic Resources in Areas Beyond National Jurisdiction: Promoting Marine Scientific Research and Enabling Equitable Benefit Sharing</t>
  </si>
  <si>
    <t>BIOLOGICAL COLLECTIONS; BIODIVERSITY; DIGITIZATION; AGREEMENT; ACCESS</t>
  </si>
  <si>
    <t>Growing human activity in areas beyond national jurisdiction (ABNJ) is driving increasing impacts on the biodiversity of this vast area of the ocean. As a result, the United Nations General Assembly committed to convening a series of intergovernmental conferences (IGCs) to develop an international legally-binding instrument (ILBI) for the conservation and sustainable use of marine biological diversity of ABNJ [the biodiversity beyond national jurisdiction (BBNJ) agreement] under the United Nations Convention on the Law of the Sea. The BBNJ agreement includes consideration of marine genetic resources (MGR) in ABNJ, including how to share benefits and promote</t>
  </si>
  <si>
    <t>[Rogers, Alex D.; Ramirez-Llodra, Eva] REV Ocean, Lysaker, Norway; [Baco, Amy] Florida State Univ, Dept Earth Ocean &amp; Atmospher Sci, Tallahassee, FL 32306 USA; [Escobar-Briones, Elva] Univ Nacl Autonoma Mexico, Inst Ciencias Mar &amp; Limnol, Mexico City, DF, Mexico; [Gjerde, Kristina] Global Marine &amp; Polar Programme, Int Union Conservat Nat, Cambridge, MA USA; [Gjerde, Kristina] World Commiss Protected Areas, Cambridge, MA USA; [Gobin, Judith] Univ West Indies, Dept Life Sci, St Augustine, Trinidad Tobago; [Jaspars, Marcel] Univ Aberdeen, Dept Chem, Marine Biodiscovery Ctr, Old Aberdeen, Scotland; [Levin, Lisa] Univ Calif San Diego, Scripps Inst Oceanog, Integrat Oceanog Div, La Jolla, CA 92093 USA; [Linse, Katrin] British Antarctic Survey, Biodivers Evolut &amp; Adaptat Team, Cambridge, England; [Rabone, Muriel] Nat Hist Museum, Dept Life Sci, London, England; [Sellanes, Javier] Univ Catolica Norte, Fac Ciencias Mar, Dept Biol Marina, Coquimbo, Chile; [Sellanes, Javier] Univ Catolica Norte, Nucleo Milenio Ecol &amp; Manejo Sustentable Islas &amp;, Coquimbo, Chile; [Shank, Timothy M.] Woods Hole Oceanog Inst, Dept Biol, Woods Hole, MA 02543 USA; [Sink, Kerry] Nelson Mandela Univ, Inst Coastal &amp; Marine Res, Port Elizabeth, South Africa; [Sink, Kerry] South African Natl Biodivers Inst, Cape Town, South Africa; [Snelgrove, Paul V. R.] Mem Univ Newfoundland, Dept Ocean Sci, St John, NF, Canada; [Snelgrove, Paul V. R.] Mem Univ Newfoundland, Dept Biol, St John, NF, Canada; [Taylor, Michelle L.] Univ Essex, Sch Life Sci, Colchester, Essex, England; [Wagner, Daniel] Conservat Int, Ctr Oceans, Arlington, VA USA; [Harden-Davies, Harriet] Univ Wollongong, Australian Natl Ctr Ocean Resources &amp; Secur, Wollongong, NSW, Australia</t>
  </si>
  <si>
    <t>Sellanes, Javier/P-4699-2019; Taylor, Michelle/AAY-3864-2021; Wagner, Daniel/IZE-2807-2023; Taylor, Michelle/C-3918-2015</t>
  </si>
  <si>
    <t>Sellanes, Javier/0000-0002-6942-0762; Wagner, Daniel/0000-0002-0456-4343; Taylor, Michelle/0000-0001-7271-4385; Rogers, Alex David/0000-0002-4864-2980; Sink, Kerry/0000-0001-5051-573X</t>
  </si>
  <si>
    <t>REV Ocean</t>
  </si>
  <si>
    <t>We would like to thank the Governments of The Kingdom of Belgium, The Principality of Monaco and Costa Rica, as well as The Prince Albert II Monaco Foundation, The Norwegian Nobel Institute, The Nobel Institute, The High Seas Alliance, The Pew Charitable Trusts, Ocean Unite and REV Ocean for supporting the High Seas Treaty Dialogues which have allowed informal discussions between States representatives on the Biodiversity Beyond National Jurisdiction agreement. We would also like to thank the participants of the High Seas Treaty Dialogues for their thoughtful contributions to these discussions which highlighted the need for this paper. We would also like to acknowledge REV Ocean for supporting publication costs for this manuscript.</t>
  </si>
  <si>
    <t>10.3389/fmars.2021.667274</t>
  </si>
  <si>
    <t>SP1TF</t>
  </si>
  <si>
    <t>WOS:000659454700001</t>
  </si>
  <si>
    <t>Chaves, FD; Brumano, LP; Marcelino, PRF; da Silva, SS; Sette, LD; Felipe, MDD</t>
  </si>
  <si>
    <t>Chaves, Flaviana da Silva; Brumano, Larissa Pereira; Franco Marcelino, Paulo Ricardo; da Silva, Silvio Silverio; Sette, Lara Duraes; Felipe, Maria das Gracas de Almeida</t>
  </si>
  <si>
    <t>Biosurfactant production by Antarctic-derived yeasts in sugarcane straw hemicellulosic hydrolysate</t>
  </si>
  <si>
    <t>BIOMASS CONVERSION AND BIOREFINERY</t>
  </si>
  <si>
    <t>Industrial biotechnology; Antarctica; Sugarcane straw; Screening; Microbiology</t>
  </si>
  <si>
    <t>CANDIDA-GUILLIERMONDII; BAGASSE HYDROLYSATE; XYLITOL PRODUCTION; BACILLUS-SUBTILIS; MARINE; RHAMNOLIPIDS; TERRESTRIAL; SURFACTANT; BACTERIUM; BIOMASS</t>
  </si>
  <si>
    <t>The Antarctic continent is a reservoir of new genetic resources to the bioprospection of microorganisms adapted to the polar conditions and capable to produce molecules with differentiated properties. Biosurfactants are a promising alternative to replace synthetic surfactants due to their eco-friendly characteristics and the possibility of being produced from raw materials, such as lignocellulosic biomass. The aim of the current study was to evaluate the biosurfactants produced by Antarctic yeast strains using detoxified sugarcane straw hemicellulosic hydrolysate (DSSHH). Therefore, the biosurfactant production, using xylose as the carbon source, was first evaluated in semi-defined medium and subsequently in DSSHH. The Naganishia adellienses L95 showed the highest emulsification index (52%) and total xylose consumption (40 g.L-1) in DSSHH. The biosurfactant produced by the yeast strain L95 was partially characterized, and its emulsion remained stable under low-temperature conditions (0 and 4 degrees C), at high salt concentration (10%), and alkaline condition. The screening of yeasts for the attainment of natural products that have potential biotechnological applications is of great importance. The results showed the potential of L95 to produce biosurfactants in DSSHH.</t>
  </si>
  <si>
    <t>[Chaves, Flaviana da Silva; Brumano, Larissa Pereira; Franco Marcelino, Paulo Ricardo; da Silva, Silvio Silverio; Felipe, Maria das Gracas de Almeida] Univ Sao Paulo, Engn Sch Lorena, Dept Biotechnol, BR-12 60281 Lorena, SP, Brazil; [Sette, Lara Duraes] Sao Paulo State Univ UNESP, Inst Biosci, Dept Gen &amp; Appl Biol, Rio Claro, SP, Brazil</t>
  </si>
  <si>
    <t>Universidade de Sao Paulo; Universidade Estadual Paulista</t>
  </si>
  <si>
    <t>Felipe, MDD (corresponding author), Univ Sao Paulo, Engn Sch Lorena, Dept Biotechnol, BR-12 60281 Lorena, SP, Brazil.</t>
  </si>
  <si>
    <t>mgafelipe@usp.br</t>
  </si>
  <si>
    <t>Silva, Silvio/JCE-2357-2023; CUNHA, JOEL/E-6916-2015; Brumano, Larissa/H-9927-2014; Sette, Lara Durães/C-8298-2013; da Silva, Silvio Silvério/H-8960-2012</t>
  </si>
  <si>
    <t>CUNHA, JOEL/0000-0001-9880-6974; Brumano, Larissa/0000-0003-1135-4827; Sette, Lara Durães/0000-0002-5980-3786; da Silva, Silvio Silvério/0000-0003-0669-2784</t>
  </si>
  <si>
    <t>Coordenacao de Aperfeicoamento de Pessoal de Nivel Superior (CAPES); Fundacao de Amparo a Pesquisa do Estado de Sao Paulo (FAPESP) [2013/19486-0]</t>
  </si>
  <si>
    <t>Coordenacao de Aperfeicoamento de Pessoal de Nivel Superior (CAPES)(Coordenacao de Aperfeicoamento de Pessoal de Nivel Superior (CAPES)); Fundacao de Amparo a Pesquisa do Estado de Sao Paulo (FAPESP)(Fundacao de Amparo a Pesquisa do Estado de Sao Paulo (FAPESP))</t>
  </si>
  <si>
    <t>The authors would like to thank Coordenacao de Aperfeicoamento de Pessoal de Nivel Superior (CAPES) and Fundacao de Amparo a Pesquisa do Estado de Sao Paulo (FAPESP, grant #2013/19486-0) for the fellowships and for the financial support.</t>
  </si>
  <si>
    <t>2190-6815</t>
  </si>
  <si>
    <t>2190-6823</t>
  </si>
  <si>
    <t>BIOMASS CONVERS BIOR</t>
  </si>
  <si>
    <t>Biomass Convers. Biorefinery</t>
  </si>
  <si>
    <t>10.1007/s13399-021-01578-8</t>
  </si>
  <si>
    <t>MAY 2021</t>
  </si>
  <si>
    <t>Energy &amp; Fuels; Engineering, Chemical</t>
  </si>
  <si>
    <t>Energy &amp; Fuels; Engineering</t>
  </si>
  <si>
    <t>F7DX5</t>
  </si>
  <si>
    <t>WOS:000656082300001</t>
  </si>
  <si>
    <t>Clark, CD; Chiverrell, RC; Fabel, D; Hindmarsh, RCA; Cofaigh, CO; Scourse, JD</t>
  </si>
  <si>
    <t>Clark, Chris D.; Chiverrell, Richard C.; Fabel, Derek; Hindmarsh, Richard C. A.; Cofaigh, Colm O.; Scourse, James D.</t>
  </si>
  <si>
    <t>Timing, pace and controls on ice sheet retreat: an introduction to the BRITICE-CHRONO transect reconstructions of the British-Irish Ice Sheet</t>
  </si>
  <si>
    <t>British Irish Ice Sheet; BRITICE CHRONO; radiocarbon dating; luminesence dating; cosmogenic dating</t>
  </si>
  <si>
    <t>WESTERN SCOTLAND; AGE CONSTRAINTS; CELTIC SEA; STREAM; DEGLACIATION; SHELF; OSCILLATIONS; DYNAMICS; IRELAND; ADVANCE</t>
  </si>
  <si>
    <t>Motivated to help improve the robustness of predictions of sea level rise, the BRITICE-CHRONO project advanced knowledge of the former British-Irish Ice Sheet, from 31 to 15 ka, so that it can be used as a data-rich environment to improve ice sheet modelling. The project comprised over 40 palaeoglaciologists, covering expertise in terrestrial and marine geology and geomorphology, geochronometric dating and the modelling of ice sheets and oceans. A systematic and directed campaign, organised across eight transects from the continental shelf edge to a short distance (10s of kilometres) onshore, was used to collect 914 samples which yielded 639 new ages, tripling the number of dated sites constraining the timing and rates of change of the collapsing ice sheet. This special issue synthesises these findings of ice advancing to the maximum extent and its subsequent retreat for each of the eight transects to produce definitive palaeogeographic reconstructions of ice margin positions across the marine to terrestrial transition. These results are used to understand the controls that drove or modulated ice sheet retreat. A further paper reports on how ice sheet modelling experiments and empirical data can be used in combination, and another probes the glaciological meaning of ice-rafted debris.</t>
  </si>
  <si>
    <t>[Clark, Chris D.] Univ Sheffield, Sheffield, S Yorkshire, England; [Chiverrell, Richard C.] Univ Liverpool, Liverpool, Merseyside, England; [Fabel, Derek] Univ Glasgow, Scottish Univ Environm Res Ctr SUERC, Glasgow, Lanark, Scotland; [Hindmarsh, Richard C. A.] British Antarctic Survey, Cambridge, England; [Cofaigh, Colm O.] Univ Durham, Durham, England; [Scourse, James D.] Univ Exeter, Exeter, Devon, England</t>
  </si>
  <si>
    <t>University of Sheffield; University of Liverpool; University of Glasgow; UK Research &amp; Innovation (UKRI); Natural Environment Research Council (NERC); NERC British Antarctic Survey; Durham University; University of Exeter</t>
  </si>
  <si>
    <t>Clark, CD (corresponding author), Univ Sheffield, Sheffield, S Yorkshire, England.</t>
  </si>
  <si>
    <t>c.clark@sheffield.ac.uk</t>
  </si>
  <si>
    <t>Fabel, Derek/A-2999-2010; Chiverrell, Richard C/A-9115-2011; Hindmarsh, Richard/N-1195-2019; clark, chris/C-3830-2009</t>
  </si>
  <si>
    <t>Hindmarsh, Richard/0000-0003-1633-2416; clark, chris/0000-0002-1021-6679</t>
  </si>
  <si>
    <t>UK Natural Environment Research Council consortium grant, BRITICE-CHRONO [NE/J009768/1]; NERC Cosmogenic Isotope Analysis Facility (Allocations) [9139.1013, 9155.1014]; NERC Radiocarbon Facility [1722.0613, 1878.1014, 1976.1015]; SUERC AMS Laboratory, East Kilbride; BGS Marine Operations team (vibrocorer); European Research Council under the European Union [787263]; NOC/NMEP team; NERC [NE/J007579/2, NE/J007196/1, NE/J008095/1, NE/J009768/1, NE/J007056/1] Funding Source: UKRI; Natural Environment Research Council [NE/J007056/1] Funding Source: researchfish; European Research Council (ERC) [787263] Funding Source: European Research Council (ERC)</t>
  </si>
  <si>
    <t>UK Natural Environment Research Council consortium grant, BRITICE-CHRONO; NERC Cosmogenic Isotope Analysis Facility (Allocations)(UK Research &amp; Innovation (UKRI)Natural Environment Research Council (NERC)); NERC Radiocarbon Facility(UK Research &amp; Innovation (UKRI)Natural Environment Research Council (NERC)); SUERC AMS Laboratory, East Kilbride; BGS Marine Operations team (vibrocorer); European Research Council under the European Union(European Research Council (ERC)); NOC/NMEP team; NERC(UK Research &amp; Innovation (UKRI)Natural Environment Research Council (NERC)); Natural Environment Research Council(UK Research &amp; Innovation (UKRI)Natural Environment Research Council (NERC)); European Research Council (ERC)(European Research Council (ERC)Spanish Government)</t>
  </si>
  <si>
    <t>This work was supported by the UK Natural Environment Research Council consortium grant, BRITICE-CHRONO, NE/J009768/1; NERC Cosmogenic Isotope Analysis Facility (Allocations 9139.1013, 9155.1014) and NERC Radiocarbon Facility (Allocations 1722.0613, 1878.1014, 1976.1015); the SUERC AMS Laboratory, East Kilbride; and the BGS Marine Operations team (vibrocorer) and NOC/NMEP team (piston corer). We also thank the Master and crew of the RRS James Cook during cruises JC106 and JC123. This work has also benefitted from funding from the European Research Council under the European Union's Horizon 2020 research and innovation programme (PalGlac; Grant agreement No. 787263).</t>
  </si>
  <si>
    <t>10.1002/jqs.3326</t>
  </si>
  <si>
    <t>WOS:000656197000001</t>
  </si>
  <si>
    <t>Pirotta, V; Owen, K; Donnelly, D; Brasier, MJ; Harcourt, R</t>
  </si>
  <si>
    <t>Pirotta, Vanessa; Owen, Kylie; Donnelly, David; Brasier, Madeleine J.; Harcourt, Robert</t>
  </si>
  <si>
    <t>First evidence of bubble-net feeding and the formation of 'super-groups' by the east Australian population of humpback whales during their southward migration</t>
  </si>
  <si>
    <t>Australia; bubble-net feeding; foraging effort; humpback whale; migration; super-group</t>
  </si>
  <si>
    <t>MEGAPTERA-NOVAEANGLIAE; CULTURAL TRANSMISSION; BEHAVIOR; DRIVEN; COAST</t>
  </si>
  <si>
    <t>1. The recovery of overexploited populations is likely to reveal behaviours that may have been present prior to harvest but are only now reappearing as the population size increases. The east Australian humpback whale (Megaptera novaeangliae) population (group V, stock E1) has recovered well from past exploitation and is now estimated to be close to the pre-whaling population size. 2. Humpback whales were thought to follow a 'feast and famine' model historically, feeding intensively in high-latitude feeding grounds and then fasting while migrating and in calving grounds; however, there is growing evidence that animals may feed outside of known foraging grounds. 3. This short article reports on the first photographically documented evidence of bubble-net feeding by humpback whales in Australian coastal waters (n = 10 groups observed) and provides the first evidence of a second site in the southern hemisphere for the formation of 'super-groups' (n = 6 super-groups at discrete locations). 4. The formation of super-groups may be linked to changes in the type or density of prey available, either along the migratory route or in the feeding grounds of the previous summer. It is also possible that the increased population size following recovery make large group sizes while feeding more common. These findings strongly support evidence that feeding behaviour is not restricted to high-latitude foraging grounds in the Southern Ocean, and that prey consumption prior to leaving the coastal waters of Australia may be a significant component of the migratory ecology of this population. 5. Understanding how environmental variation influences the extent to which humpback whales depend on foraging opportunities along their migratory route, and where feeding occurs, will help to predict how future changes in the ocean will influence whale populations. This will also allow for more effective management measures to reduce the impact of threats during this important period of energy consumption.</t>
  </si>
  <si>
    <t>[Pirotta, Vanessa; Harcourt, Robert] Macquarie Univ, Marine Predator Res Grp, Dept Biol Sci, Sydney, NSW, Australia; [Owen, Kylie; Brasier, Madeleine J.] Univ Tasmania, Inst Marine &amp; Antarctic Studies, Ecol &amp; Biodivers Ctr, Hobart, Tas, Australia; [Owen, Kylie] Swedish Museum Nat Hist, Dept Environm Res &amp; Monitoring, Stockholm, Sweden; [Donnelly, David] Killer Whales Australia, Box Hill South, Vic, Australia</t>
  </si>
  <si>
    <t>Macquarie University; University of Tasmania; Swedish Museum of Natural History</t>
  </si>
  <si>
    <t>Pirotta, V (corresponding author), Macquarie Univ, Marine Predator Res Grp, Dept Biol Sci, Sydney, NSW, Australia.</t>
  </si>
  <si>
    <t>vanessa.pirotta@hdr.mq.edu.au</t>
  </si>
  <si>
    <t>Pirotta, Dr Vanessa/I-7046-2018; Owen, Kylie/K-9400-2015</t>
  </si>
  <si>
    <t>Pirotta, Dr Vanessa/0000-0003-0395-1859; Owen, Kylie/0000-0002-8986-482X; Brasier, Madeleine/0000-0003-2844-655X; Harcourt, Robert/0000-0003-4666-2934</t>
  </si>
  <si>
    <t>Australian Research Council Linkage Grant [LP160100162]</t>
  </si>
  <si>
    <t>Australian Research Council Linkage Grant(Australian Research Council)</t>
  </si>
  <si>
    <t>Australian Research Council Linkage Grant, Grant/Award Number: LP160100162</t>
  </si>
  <si>
    <t>10.1002/aqc.3621</t>
  </si>
  <si>
    <t>UO4LZ</t>
  </si>
  <si>
    <t>WOS:000656334200001</t>
  </si>
  <si>
    <t>Zhao, RX; Symonds, JE; Walker, SP; Steiner, K; Carter, CG; Bowman, JP; Nowak, BF</t>
  </si>
  <si>
    <t>Zhao, Ruixiang; Symonds, Jane E.; Walker, Seumas P.; Steiner, Konstanze; Carter, Chris G.; Bowman, John P.; Nowak, Barbara F.</t>
  </si>
  <si>
    <t>Effects of feed ration and temperature on Chinook salmon (Oncorhynchus tshawytscha) microbiota in freshwater recirculating aquaculture systems</t>
  </si>
  <si>
    <t>Chinook salmon; Microbiota; Recirculating aquaculture systems; Feed ration; Temperature</t>
  </si>
  <si>
    <t>GUT MICROBIOTA; SALAR L.; RAINBOW-TROUT; INTESTINAL MICROBIOTA; BODY-COMPOSITION; FISH; MYKISS; GROWTH; DIET; COMMUNITIES</t>
  </si>
  <si>
    <t>Feed ration plays a crucial role in influencing fish growth performance and maintaining optimal gut health over the seasonal temperature range. However, we have limited knowledge of how these factors affect the gut microbiota of Chinook salmon (Oncorhynchus tshawytscha) farmed in freshwater recirculating aquaculture systems (RAS). Here we examined the environmental and faecal microbiota of freshwater Chinook salmon using 16S rRNA gene V1-V3 amplicon sequencing and evaluated the relationship between faecal casts and dominant microflora. Faecal microbial communities were highly stable in terms of composition and diversity regardless of feed ration and temperature changes, whereas temperature significantly affected water microbiota. The composition of faecal microbiota significantly differed from the microbiota of water or feed. The faecal microbiota was dominated by the species Photobacterium piscicola that was more predominant in faecal samples with higher water content (high faecal scores). The relative abundance of lactic acid bacteria (LAB) in the gut was distinctly lower than that in the feed and water. Our study provides detailed information on the complex microbial communities in the freshwater RAS and farmed Chinook salmon. It increases our knowledge of potential linkages between core gut microbiota and gut health, illustrated by the relationship between faecal casts and dominant microflora, and provides useful information for sustainable land-based Chinook salmon aquaculture.</t>
  </si>
  <si>
    <t>[Zhao, Ruixiang; Carter, Chris G.; Nowak, Barbara F.] Univ Tasmania, Inst Marine &amp; Antarctic Studies, Newnham 7248, Australia; [Symonds, Jane E.; Walker, Seumas P.; Steiner, Konstanze] Cawthron Inst, Nelson 7010, New Zealand; [Bowman, John P.] Univ Tasmania, Tasmanian Inst Agr Res, Hobart, Tas 7005, Australia; [Carter, Chris G.] Blue Econ Cooperat Res Ctr, Hobart, Tas 7000, Australia</t>
  </si>
  <si>
    <t>University of Tasmania; Cawthron Institute; University of Tasmania; University of Western Australia</t>
  </si>
  <si>
    <t>Zhao, RX (corresponding author), Univ Tasmania, Room 382 Life Sci Bldg, Hobart, Tas 7005, Australia.</t>
  </si>
  <si>
    <t>Ruixiang.zhao@utas.edu.au</t>
  </si>
  <si>
    <t>Bowman, John P/C-2414-2014; Carter, Chris Guy/A-3438-2008; Nowak, Barbara/J-7261-2014</t>
  </si>
  <si>
    <t>Bowman, John P/0000-0002-4528-9333; Carter, Chris Guy/0000-0001-5210-1282; Nowak, Barbara/0000-0002-0347-643X</t>
  </si>
  <si>
    <t>University of Tasmanian, Australia [CAWX1606]; Cawthron Institute, New Zealand [CAWX1606]</t>
  </si>
  <si>
    <t>University of Tasmanian, Australia; Cawthron Institute, New Zealand</t>
  </si>
  <si>
    <t>This study was funded by the New Zealand Ministry of Business, Innovation and Employment (MBIE) Efficient Salmon research program [CAWX1606] and is a collaboration between the University of Tasmanian, Australia and the Cawthron Institute, New Zealand.</t>
  </si>
  <si>
    <t>10.1016/j.aquaculture.2021.736965</t>
  </si>
  <si>
    <t>TI2AU</t>
  </si>
  <si>
    <t>WOS:000672589300005</t>
  </si>
  <si>
    <t>Ashok, A; Kumar, DS</t>
  </si>
  <si>
    <t>Ashok, Anup; Kumar, Devarai Santhosh</t>
  </si>
  <si>
    <t>Laboratory scale bioreactor studies on the production of L-asparaginase using Rhizopus microsporus IBBL-2 and Trichosporon asahii IBBLA1</t>
  </si>
  <si>
    <t>BIOCATALYSIS AND AGRICULTURAL BIOTECHNOLOGY</t>
  </si>
  <si>
    <t>L-asparaginase (ASNase); Scale-up; Bioreactor; Rhizopus species; Trichosporon species; Aeration</t>
  </si>
  <si>
    <t>ACUTE LYMPHOBLASTIC-LEUKEMIA; OPTIMIZATION; EFFICIENT</t>
  </si>
  <si>
    <t>L-asparaginase (L-asparagine aminohydrolase, E.C. 3.5.1.1, ASNase) is an enzyme that is used primarily for the production of anti-neoplastic to treat Acute Lymphoblastic Leukemia (ALL). Current formulations of the enzyme are highly bacterial in nature which have resulted in adverse reactions. The current paper focusses on production of glutaminase and urease free ASNase in a laboratory scale bioreactor using two fungal species and their efficiency in the scaling up process. The isolated species are Rhizopus microsporus IBBL-2 and Trichosporon asahii IBBLA1 isolated from wheat bran and Antarctic moss respectively. The experiments were conducted under different conditions known as initial, optimized and immobilized. Enzyme activity at these conditions for Rhizopus microsporus IBBL-2 were found to be 10.85, 13.56, 17.18 U mL(-1) respectively and for Trichosporon asahii IBBLA1 were found to be 13.97, 19.53, 21.98 U mL(-1) respectively in laboratory scale. The consistency of the scale-up data from the shake flask level to the laboratory scale level was found to be greater than 90% efficiency. It was also observed that aeration condition had an impact on the enzyme production with maximum enzyme activity of 13.48 U mL(-1) for the Rhizopus microsporus IBBL-2 and 19.95 U mL(-1) for Trichosporon asahii IBBLA1 being reported at an aeration rate of 1 Lpm. The above results proved that laboratory scale production of ASNase has shown consistency and efficiency with respect to the flask-scale studies.</t>
  </si>
  <si>
    <t>[Ashok, Anup] BV Raju Inst Technol, Dept Chem Engn, Narsapur 502313, Telangana, India; [Ashok, Anup; Kumar, Devarai Santhosh] Indian Inst Technol Hyderabad, Dept Chem Engn, Ind Bioproc &amp; BioProspecting Lab IBBL, Sangareddy 502285, Telangana, India</t>
  </si>
  <si>
    <t>Indian Institute of Technology System (IIT System); Indian Institute of Technology (IIT) - Hyderabad</t>
  </si>
  <si>
    <t>Kumar, DS (corresponding author), Indian Inst Technol Hyderabad, Dept Chem Engn, Ind Bioproc &amp; BioProspecting Lab IBBL, Sangareddy 502285, Telangana, India.</t>
  </si>
  <si>
    <t>devarai@che.iith.ac.in</t>
  </si>
  <si>
    <t>Kumar, Devarai Santhosh/HTO-7598-2023; Ashok, Anup/ABF-5257-2020</t>
  </si>
  <si>
    <t>Ashok, Anup/0000-0002-5008-8616</t>
  </si>
  <si>
    <t>Science and Engineering Research Board, Department of Science and Technology (SERB-DST) [SB-EMEQ-048/2014]</t>
  </si>
  <si>
    <t>Science and Engineering Research Board, Department of Science and Technology (SERB-DST)(Department of Science &amp; Technology (India))</t>
  </si>
  <si>
    <t>The authors sincerely thank the Director, Indian Institute of Technology Hyderabad, for the support. The work is supported by funds from the Science and Engineering Research Board, Department of Science and Technology (SERBDST: SBEMEQ048/2014) . The authors would like to thank Venkatesh Mandari and Umera Tasleem, members of IBBL, for their support and help in the preparation of this manuscript.</t>
  </si>
  <si>
    <t>1878-8181</t>
  </si>
  <si>
    <t>BIOCATAL AGR BIOTECH</t>
  </si>
  <si>
    <t>Biocatal. Agric. Biotechnol.</t>
  </si>
  <si>
    <t>10.1016/j.bcab.2021.102041</t>
  </si>
  <si>
    <t>SV4AR</t>
  </si>
  <si>
    <t>WOS:000663763600008</t>
  </si>
  <si>
    <t>El-Gabbas, A; Van Opzeeland, I; Burkhardt, E; Boebel, O</t>
  </si>
  <si>
    <t>El-Gabbas, Ahmed; Van Opzeeland, Ilse; Burkhardt, Elke; Boebel, Olaf</t>
  </si>
  <si>
    <t>Static species distribution models in the marine realm: The case of baleen whales in the Southern Ocean</t>
  </si>
  <si>
    <t>DIVERSITY AND DISTRIBUTIONS</t>
  </si>
  <si>
    <t>Antarctic blue whale; Antarctic minke whale; baleen whales; fin whale; humpback whale; Maxent; presence-only models; Southern Ocean; species distribution models; static species distribution models</t>
  </si>
  <si>
    <t>ANTARCTIC MINKE WHALES; BALAENOPTERA-BONAERENSIS; ACOUSTIC PRESENCE; CLIMATE-CHANGE; SPATIAL-DISTRIBUTION; SEA-ICE; HUMPBACK; BLUE; KRILL; ECOSYSTEM</t>
  </si>
  <si>
    <t>Aim: Information on the spatio-temporal distribution of marine species is essential for developing proactive management strategies. However, sufficient information is seldom available at large spatial scales, particularly in polar areas. The Southern Ocean (SO) represents a critical habitat for various species, particularly migratory baleen whales. Still, the SO's remoteness and sea ice coverage disallow obtaining sufficient information on baleen whale distribution and niche preference. Here, we used presence-only species distribution models to predict the circumantarctic habitat suitability of baleen whales and identify important predictors affecting their distribution. Location: The Southern Ocean (SO). Methods: We used Maxent to model habitat suitability for Antarctic minke, Antarctic blue, fin and humpback whales. Our models employ extensive circumantarctic data and carefully prepared predictors describing the SO's environment and two spatial sampling bias correction options. Species-specific spatial-block cross-validation was used to optimize model complexity and for spatially independent model evaluation. Results: Model performance was high on cross-validation, with generally little predicted uncertainty. The most important predictors were derived from sea ice, particularly seasonal mean and variability of sea ice concentration and distance to the sea ice edge. Main conclusions: Our models support the usefulness of presence-only models as a cost-effective tool in the marine realm, particularly for studying the migratory whales' distribution. However, we found discrepancies between our results and (within) results of similar studies, mainly due to using different species data quality and quantity, different study area extent and methodological reasons. We further highlight the limitations of implementing static distribution models in the highly dynamic marine realm. Dynamic models, which relate species information to environmental conditions contemporaneous to species occurrences, can predict near-real-time habitat suitability, necessary for dynamic management. Nevertheless, obtaining sufficient species and environmental predictors at high spatio-temporal resolution, necessary for dynamic models, can be challenging from polar regions.</t>
  </si>
  <si>
    <t>[El-Gabbas, Ahmed; Van Opzeeland, Ilse; Burkhardt, Elke; Boebel, Olaf] Helmholtz Zentrum Polar &amp; Meeresforsch, Ocean Acoust Grp, Alfred Wegener Inst AWI, D-27570 Bremerhaven, Germany</t>
  </si>
  <si>
    <t>El-Gabbas, A (corresponding author), Helmholtz Zentrum Polar &amp; Meeresforsch, Ocean Acoust Grp, Alfred Wegener Inst AWI, D-27570 Bremerhaven, Germany.</t>
  </si>
  <si>
    <t>ahmed.el-gabbas@awi.de</t>
  </si>
  <si>
    <t>El-Gabbas, Ahmed/E-7796-2014</t>
  </si>
  <si>
    <t>El-Gabbas, Ahmed/0000-0003-2225-088X; Burkhardt, Elke/0000-0002-5128-4176; Boebel, Olaf/0000-0002-2259-0035</t>
  </si>
  <si>
    <t>Bundesministerium fur Ernahrung und Landwirtschaft [2817HS004]</t>
  </si>
  <si>
    <t>Bundesministerium fur Ernahrung und Landwirtschaft</t>
  </si>
  <si>
    <t>Bundesministerium fur Ernahrung und Landwirtschaft, Grant/Award Number: 2817HS004</t>
  </si>
  <si>
    <t>1366-9516</t>
  </si>
  <si>
    <t>1472-4642</t>
  </si>
  <si>
    <t>DIVERS DISTRIB</t>
  </si>
  <si>
    <t>Divers. Distrib.</t>
  </si>
  <si>
    <t>10.1111/ddi.13300</t>
  </si>
  <si>
    <t>TP9EH</t>
  </si>
  <si>
    <t>WOS:000656094500001</t>
  </si>
  <si>
    <t>Pugliese, FE; Pugliese, LE; Dahlquist, JA; Basei, MAS; Dopico, CIM</t>
  </si>
  <si>
    <t>Pugliese, Franco E.; Pugliese, Luis E.; Dahlquist, Juan A.; Stipp Basei, Miguel A.; Martinez Dopico, Carmen, I</t>
  </si>
  <si>
    <t>Intermediate sulfidation epithermal Pb- Zn (± Ag ± Cu ± In) and low sulfidation Au (± Pb ± Ag ± Zn) mineralization styles in the Gonzalito polymetallic mining district, North Patagonian Massif</t>
  </si>
  <si>
    <t>Intraplate rift-related epithermal ore deposits; Gold-bearing quartz veins; Indium-rich base-metals veins; Jurassic Marifil complex; Chon Aike volcanic province; Lower Jurassic magmatism; Mina Gonzalito</t>
  </si>
  <si>
    <t>FLUID-INCLUSION; DYKE SWARM; ANTARCTIC PENINSULA; CHILEAN PATAGONIA; SIERRA GRANDE; GOLD DEPOSIT; RIO NEGRO; MAGMATISM; EVOLUTION; GEOCHEMISTRY</t>
  </si>
  <si>
    <t>The Gonzalito polymetallic mining district is located within the northeast tip of the 600 km-long NE-trending polymetallic belt of the North Patagonian Massif, in Patagonia, Argentina. It comprises Paleozoic igneous-metamorphic rocks of the Mina Gonzalito complex, which are intruded by Middle Triassic trachytic-andesitic dykes of the Monasa Fm. through a complex system of high-angle fractures. Rhyolitic dykes crosscut the pre-Jurassic rocks. Numerous semi-parallel vein-like mineral deposits, whose classification and age have been sub-ject of debate, sharply crosscut the igneous-metamorphic, trachytic-andesitic and rhyolitic units. Mineralization shows a strong structural control through a complex system of semi-parallel NW-N-NE oriented fracture-hosted mineral deposits. Extensional jogs and open dilational fractures allow multiband vein infills, vein-like hydro-thermal and fault-tectonic breccias, stockwork veins and veinlets with primary growth open-space and boiling-derived textures, indicating a brittle geological setting that is proper of the epithermal environment. Based on the structural setting, sulfide-gangue-alteration mineral assemblages and textures, sulfide mineral chemistry and whole-rock geochemical analyses, two different styles of hydrothermal deposits can be distinguished: massive-sulfide intermediate sulfidation epithermal Pb - Zn +/- Ag +/- Cu +/- In and disseminated-sulfide low sulfidation Au +/- Pb +/- Ag +/- Zn. The first has a main-stage pyrite - In-rich sphalerite - chalcopyrite - galena ore assemblage in scarce quartz -carbonates gangue. The second shows disseminated pyrite +/- sphalerite +/- chalcopyrite +/- galena with economic grades of Au in abundant quartz - adularia +/- fluorite gangue. SHRIMP U-Pb zircon data of rhyolites reveal Early Jurassic ages of 193 +/- 2 and 191 +/- 2 Ma and, along with their bulk-rock geochemical features, they can be included within the Chon Aike magmatic province, locally known as Marifil volcanic complex. Crosscutting relationships between the Lower Jurassic rhyolites and the epithermal veins in the Gonzalito district, and the presence of Oligocene basalts partially covering the epithermal deposits towards the western area, constrain the mineralization event between the Lower Jurassic and the Oligocene. However, the crosscutting relationships of this district along with the already proven genetic, temporal and spatial links be-tween epithermal ore and fluorite-rich deposits and the Jurassic magmatism-rifting of Patagonia suggest that the studied epithermal deposits might be yielded closer or during the Lower Jurassic.</t>
  </si>
  <si>
    <t>[Pugliese, Franco E.; Dahlquist, Juan A.] Univ Nacl Cordoba UNC, Fac Ciencias Exactas Fis &amp; Nat FCEFyN, CONICET, Ctr Invest Ciencias Tierra CICTERRA, Velez Sarsfield 1611,X5016CA, Cordoba, Argentina; [Pugliese, Luis E.] Minerals Explorat, RA-5003 Cordoba, Argentina; [Stipp Basei, Miguel A.] Univ Sao Paulo, Inst Geociencias, Ctr Pesquisas Geocronol &amp; Geoquim Isotop CPGeo, BR-0550880 Sao Paulo, Brazil; [Martinez Dopico, Carmen, I] Univ Buenos Aires UBA, Fac Ciencias Exactas &amp; Nat FCEyN, CONICET, Inst Geocronol &amp; Geol Isotop INGEIS, Av Intendente Guirnaldes S-N,C1428, Buenos Aires, DF, Argentina</t>
  </si>
  <si>
    <t>Consejo Nacional de Investigaciones Cientificas y Tecnicas (CONICET); National University of Cordoba; Universidade de Sao Paulo; University of Buenos Aires; Consejo Nacional de Investigaciones Cientificas y Tecnicas (CONICET)</t>
  </si>
  <si>
    <t>Pugliese, FE (corresponding author), Univ Nacl Cordoba UNC, Fac Ciencias Exactas Fis &amp; Nat FCEFyN, CONICET, Ctr Invest Ciencias Tierra CICTERRA, Velez Sarsfield 1611,X5016CA, Cordoba, Argentina.</t>
  </si>
  <si>
    <t>pugliese.franco@outlook.com</t>
  </si>
  <si>
    <t>Basei, Miguel A S/C-1915-2013</t>
  </si>
  <si>
    <t>Basei, Miguel A S/0000-0002-3857-7089; Martinez Dopico, Carmen/0000-0001-8608-4513</t>
  </si>
  <si>
    <t>Consejo Nacional de Investigaciones Cientificas y Tecnicas of Argentina; Argentinian public funding through the Fondo para la Investigacion Cientifica y Tecnologica (Proyecto de Investigacion Cientifica y Tecnologica) [20160843]; Consejo Nacional de Investigaciones Cientificas y Tecnicas [178]; Secretaria de Ciencia y Tecnologia of the Universidad Nacional de Cordoba (CONSOLIDAR 2018); Brazilian public funding through Fundacao de Amparo a` Pesquisa do Estado de Sao Paulo [2018/068373]</t>
  </si>
  <si>
    <t>Consejo Nacional de Investigaciones Cientificas y Tecnicas of Argentina(Consejo Nacional de Investigaciones Cientificas y Tecnicas (CONICET)); Argentinian public funding through the Fondo para la Investigacion Cientifica y Tecnologica (Proyecto de Investigacion Cientifica y Tecnologica); Consejo Nacional de Investigaciones Cientificas y Tecnicas(Consejo Nacional de Investigaciones Cientificas y Tecnicas (CONICET)); Secretaria de Ciencia y Tecnologia of the Universidad Nacional de Cordoba (CONSOLIDAR 2018); Brazilian public funding through Fundacao de Amparo a` Pesquisa do Estado de Sao Paulo</t>
  </si>
  <si>
    <t>We greatly appreciate the contributions from Drs. R. J. Pankhurst and C. W. Rapela regarding the geochemical dataset and the discussion about the Jurassic magmatism of Patagonia. F. E. Pugliese acknowledges the Consejo Nacional de Investigaciones Cientificas y Tecnicas of Argentina for his doctoral fellowship. This research was financed by Argentinian public funding through the Fondo para la Investigacion Cientifica y Tecnologica (Proyecto de Investigacion Cientifica y Tecnologica 20160843) , Consejo Nacional de Investigaciones Cientificas y Tecnicas (Proyecto de Investigacion Plu-rianual 178) , Secretaria de Ciencia y Tecnologia of the Universidad Nacional de Cordoba (CONSOLIDAR 2018) , Brazilian public funding through Fundacao de Amparo a` Pesquisa do Estado de Sao Paulo (2018/068373) , and personal funding of the authors.</t>
  </si>
  <si>
    <t>10.1016/j.jsames.2021.103388</t>
  </si>
  <si>
    <t>UA3GZ</t>
  </si>
  <si>
    <t>WOS:000685051700002</t>
  </si>
  <si>
    <t>Midthaug, HK; Hitchcock, DJ; Bustnes, JO; Polder, A; Descamps, S; Tarroux, A; Soininen, EM; Borgå, K</t>
  </si>
  <si>
    <t>Midthaug, Hilde Karin; Hitchcock, Daniel J.; Bustnes, Jan Ove; Polder, Anuschka; Descamps, Sebastien; Tarroux, Arnaud; Soininen, Eeva M.; Borga, Katrine</t>
  </si>
  <si>
    <t>Within and between breeding-season changes in contaminant occurrence and body condition in the Antarctic breeding south polar skua</t>
  </si>
  <si>
    <t>Organic pollutants; Seabirds; PFAS; PCB; HCB; Mirex; Catharacta maccormicki</t>
  </si>
  <si>
    <t>PERSISTENT ORGANIC POLLUTANTS; ORGANOCHLORINE CONTAMINANTS; POLYCHLORINATED-BIPHENYLS; REPRODUCTIVE-PERFORMANCE; STERCORARIUS-SKUA; COLD CONDENSATION; MELTING GLACIERS; TEMPORAL TRENDS; PROBABLE SOURCE; ARCTIC MARINE</t>
  </si>
  <si>
    <t>The Antarctic ecosystem represents a remote region far from point sources of pollution. Still, Antarctic marine predators, such as seabirds, are exposed to organohalogen contaminants (OHCs) which may induce adverse health effects. With increasing restrictions and regulations on OHCs, the levels and exposure are expected to decrease over time. We studied south polar skua (Catharacta maccormiciki), a top predator seabird, to compare OHC concentrations measured in whole blood from 2001/2002 and 2013/2014 in Dronning Maud Land. As a previous study found increasing organochlorine concentrations with sampling day during the 2001/2002 breeding season, suggesting dietary changes, we investigated if this increase was repeated in the 2013/2014 breeding season. In addition to organochlorines, we analyzed hydroxy-metabolites, brominated contaminants and per- and polyfluoroalkyl substances (PFAS) in 2013/2014, as well as dietary descriptors of stable isotopes of carbon and nitrogen, to assess potential changes in diet during breeding. Lipid normalized concentrations of individual OHCs were 63%, 87% and 105% higher for hexachlorobenzene (HCB), 1,1-dichloro-2,2-bis (pchlorophenyl)ethylene (p,p'-DDE), and n-ary sumation Polychlorinated biphenyls (PCBs), respectively, in 2013/2014 compared to 2001/2002. South polar skuas males in 2013/2014 were in poorer body condition than in 2001/ 2002, and with higher pollutant levels. Poorer body condition may cause the remobilization of contaminants from stored body reserves, and continued exposure to legacy contaminants at overwintering areas may explain the unexpected higher OHC concentrations in 2013/2014 than 2001/2002. Concentrations of protein-associated PFAS increased with sampling day during the 2013/2014 breeding season, whereas the lipid-soluble chlorinated pesticides, PCBs and polybrominated diphenyl ether (PBDEs) showed no change. OHC occurrence was not correlated with stable isotopes. The PFAS biomagnification through the local food web at the colony should be investigated further.</t>
  </si>
  <si>
    <t>[Midthaug, Hilde Karin; Hitchcock, Daniel J.; Borga, Katrine] Univ Oslo UiO, Dept Biosci, Pb 1066 Blindern, N-0316 Oslo, Norway; [Bustnes, Jan Ove; Tarroux, Arnaud] Norwegian Inst Nat Res NINA, Fram Ctr, N-9296 Tromso, Norway; [Polder, Anuschka] Norwegian Univ Life Sci NMBU, Dept Paraclin Sci, Fac Vet Med, POB 5003, N-1432 As, Norway; [Descamps, Sebastien; Tarroux, Arnaud; Soininen, Eeva M.] Norwegian Polar Inst NPI, Fram Ctr, Pb 6606 Langnes, N-9296 Tromso, Norway; [Soininen, Eeva M.] Arctic Univ Norway UiT, Pb 6050 Langnes, N-9037 Tromso, Norway</t>
  </si>
  <si>
    <t>University of Oslo; Norwegian Institute Nature Research; Norwegian University of Life Sciences; Norwegian Polar Institute; UiT The Arctic University of Tromso</t>
  </si>
  <si>
    <t>Borgå, K (corresponding author), Univ Oslo UiO, Dept Biosci, Pb 1066 Blindern, N-0316 Oslo, Norway.</t>
  </si>
  <si>
    <t>Soininen, Eeva/HKW-6760-2023</t>
  </si>
  <si>
    <t>Fram Centre's flagship; Norwegian Research Council (Norwegian Antarctic Research Expedition program)</t>
  </si>
  <si>
    <t>Fram Centre's flagship; Norwegian Research Council (Norwegian Antarctic Research Expedition program)(Research Council of Norway)</t>
  </si>
  <si>
    <t>We thank Geraldine Mabille at the Norwegian Polar Institute and The Arctic University of Norway (University of Tromso) for valuable contribution during field sampling, Katharina Bjarnar Loken and Mahin Karimi at the Norwegian University of Life Science for assistance with the contaminant analyses. Thanks to Sissel Irene Brubak and Berit Kaasa at the University of Oslo for help with the molecular sex determination, and Helene Thorstensen with help making the graphical abstract. The study was financed by the Fram Centre's flagship and the Norwegian Research Council (Norwegian Antarctic Research Expedition program).</t>
  </si>
  <si>
    <t>10.1016/j.envpol.2021.117434</t>
  </si>
  <si>
    <t>TI2DL</t>
  </si>
  <si>
    <t>WOS:000672596800008</t>
  </si>
  <si>
    <t>Gonzalez, S; Vasallo, F; Sanz, P; Quesada, A; Justel, A</t>
  </si>
  <si>
    <t>Gonzalez, Sergi; Vasallo, Francisco; Sanz, Pablo; Quesada, Antonio; Justel, Ana</t>
  </si>
  <si>
    <t>Characterization of the summer surface mesoscale dynamics at Dome F, Antarctica</t>
  </si>
  <si>
    <t>ATMOSPHERIC RESEARCH</t>
  </si>
  <si>
    <t>Antarctic Plateau; Weather observations; Mesoscale dynamics; Cold pools; Surface air temperature</t>
  </si>
  <si>
    <t>EAST ANTARCTICA; BOUNDARY-LAYER; PLATEAU; WIND; LAND; FUJI; ICE; TEMPERATURES; MODEL; CLIMATOLOGY</t>
  </si>
  <si>
    <t>This article characterizes the mesoscale surface air temperature (SAT) gradients around the Dome F on the Antarctic Plateau combining ERA5 reanalysis outputs and in-situ weather observations. For this we took advantage of a mobile automatic weather station (M-AWS) that allowed us to record meteorological observations in interesting areas not covered by other AWS. We found that night-time SAT gradients are very variable from night to night. ERA5 does not adequately represent thermal gradients and their daily changes and tends to underestimate them. In particular, it fails to reproduce the cold pool observed by M-AWS over the depressed areas of the terrain. The performance of ERA5 over the plateau is better when observed SAT gradients are weak. Besides, we observed surface meso-beta eddies with warm cores and horizontal gradients of more than 5 degrees C 100 km(-1) simulated by ERA5 that have implications for site selection to establish new telescopes for astronomical observations. This study helps to interpret the daily performance of SAT values provided by reanalyisis on the Antarctic Plateau and complements climatological evaluations of SAT in the region. Finally, this study raises the necessity to increase in-situ weather observations, not only on the ridges of the Antarctic plateau where the majority are located, but also in the areas of depression to have a better picture of the weather and climate of the plateau.</t>
  </si>
  <si>
    <t>[Gonzalez, Sergi; Vasallo, Francisco] Spanish Meteorol Agcy AEMET, Antarctic Grp, Madrid, Spain; [Sanz, Pablo] Univ Autonoma Madrid, Ctr Computac Cient, Madrid, Spain; [Quesada, Antonio] Univ Autonoma Madrid, Dept Biol, Madrid, Spain; [Justel, Ana] Univ Autonoma Madrid, Dept Math, Madrid, Spain</t>
  </si>
  <si>
    <t>Agencia Estatal de Meteorologia (AEMET); Autonomous University of Madrid; Autonomous University of Madrid; Autonomous University of Madrid</t>
  </si>
  <si>
    <t>Gonzalez, S (corresponding author), Spanish Meteorol Agcy AEMET, Antarctic Grp, Madrid, Spain.</t>
  </si>
  <si>
    <t>sgonzalezh@aemet.es</t>
  </si>
  <si>
    <t>Justel, Ana/A-3955-2010; Quesada, Antonio/L-2430-2013; Gonzalez-Herrero, Sergi/Y-7279-2018</t>
  </si>
  <si>
    <t>Justel, Ana/0000-0003-3335-0579; Gonzalez-Herrero, Sergi/0000-0002-2505-2435</t>
  </si>
  <si>
    <t>Spanish Agencia Estatal de Investigacion (AEI); Fondo Europeo al Desarrollo Regional (FEDER) through the MICROAIRPOLAR project [CTM2016-79741R]; Generalitat de Catalunya through the ANTALP Research Group [2017 SGR 1102]</t>
  </si>
  <si>
    <t>Spanish Agencia Estatal de Investigacion (AEI)(Spanish Government); Fondo Europeo al Desarrollo Regional (FEDER) through the MICROAIRPOLAR project; Generalitat de Catalunya through the ANTALP Research Group</t>
  </si>
  <si>
    <t>This work was supported by the Spanish Agencia Estatal de Investigaci ' on (AEI) and Fondo Europeo al Desarrollo Regional (FEDER) through the MICROAIRPOLAR project [grant number CTM2016-79741R] and the Generalitat de Catalunya through the ANTALP Research Group [grant number 2017 SGR 1102].</t>
  </si>
  <si>
    <t>0169-8095</t>
  </si>
  <si>
    <t>1873-2895</t>
  </si>
  <si>
    <t>ATMOS RES</t>
  </si>
  <si>
    <t>Atmos. Res.</t>
  </si>
  <si>
    <t>10.1016/j.atmosres.2021.105699</t>
  </si>
  <si>
    <t>SV8ZP</t>
  </si>
  <si>
    <t>WOS:000664107100002</t>
  </si>
  <si>
    <t>Hunt, BPV; Swadling, KM</t>
  </si>
  <si>
    <t>Hunt, B. P. V.; Swadling, K. M.</t>
  </si>
  <si>
    <t>Macrozooplankton and micronekton community structure and diel vertical migration in the Heard Island Region, Central Kerguelen Plateau</t>
  </si>
  <si>
    <t>Macrozooplankton; Micronekton; Mesopelagic; Vertical migration; Community structure; Antarctic; Heard island; Kerguelen Plateau; Southern Ocean</t>
  </si>
  <si>
    <t>NATURAL IRON FERTILIZATION; ZOOPLANKTON COMMUNITY; PHYTOPLANKTON BLOOM; OCEAN; ASSEMBLAGES; CIRCULATION; SOUTH; AUSTRALIA; FRONTS; SECTOR</t>
  </si>
  <si>
    <t>The Kerguelen Plateau is the largest topographic barrier to the eastward flowing Antarctic Circumpolar Current (ACC) in the Indian Sector of the Southern Ocean. The plateau is separated into a northern and southern plateau by the Fawn Trough. The northern plateau has a shallow bathymetry (&lt;700 m) with two prominent island systems, the Kerguelen Islands on the northern end and Heard and McDonald Islands on the southern end. The interaction of the northern and southern branches of the Polar Front with the northern plateau results in a complex oceanographic environment, with potential for dynamic mixing of sub-Antarctic and Antarctic fauna. Furthermore, the High Nutrient Low Chlorophyll (HNLC) water that flows over the northern plateau is subject to natural iron fertilization from the shallow bathymetry (&lt; 700 m), leading to extensive phytoplankton blooms each summer, particularly to the southeast of the Kerguelen Islands. The Heard Island region on the central plateau has been relatively underexplored. In January 2004, the Heard Island Predator-Prey Investigation and Ecosystem Study (HIPPIES) conducted macrozooplankton (RMT-8 trawl) and micronekton (IYGPT trawl) sampling in foraging areas used by top predators in the vicinity of the island. Macrozooplankton and micronekton were sampled day and night from three depth strata (0-100 m, 100-300 m and 300-600 m). In the area south and east of Heard Island, over bathymetry &gt;= 1000 m depth, the water column had characteristics of the southern branch of the Polar Front (S-PF) and the macrozooplankton and micronekton were dominated by Antarctic Zone fauna (e.g., the euphausiids Euphausia triacantha and Euphausia frigida, and the myctophids Krefftichthys anderssoni, Electrona antarctica, Gymnoscopelus braueri and Gymnoscopelus nicholsi). Shallow slope and shelf stations were located north of the S-PF and the macrozooplankton assemblages were influenced by Polar Frontal Zone species (e.g., Euphausia vallentini), while the shelf micronekton were dominated by the bentho-pelagic channichthyids Champsocephalus gunnari and Channichthys rhinoceratus, together with G. nicholsi. Most macrozooplankton migrated from the deep epipelagic (100-300 m) into the surface epipelagic (&lt;100 m) at night, although some macrozooplankton occurred at high densities in the surface epipelagic during the day (e.g., Rhincalanus gigas, Themisto gaudichaudii). Most micronekton species occurred in the mesopelagic layers (300-600 m) during the day, and migrated into the deep and surface epipelagic at night. Only the small but very abundant K. anderssoni utilized the top 300 m during the day. The vertical distributions of macrozooplankton and micronekton are discussed with respect to the foraging behavior and diets of top predators.</t>
  </si>
  <si>
    <t>[Hunt, B. P. V.] Univ British Columbia, Inst Oceans &amp; Fisheries, Vancouver, BC, Canada; [Hunt, B. P. V.] Univ British Columbia, Dept Earth Ocean &amp; Atmospher Sci, Vancouver, BC, Canada; [Hunt, B. P. V.] Hakai Inst, Heriot Bay, BC, Canada; [Swadling, K. M.] Australian Antarctic Program Partnership, 20 Castray Esplanade, Battery Point, Tas 7004, Australia; [Swadling, K. M.] Univ Tasmania, Inst Marine &amp; Antarct Studies, 20 Castray Esplanade, Battery Point, Tas 7004, Australia</t>
  </si>
  <si>
    <t>University of British Columbia; University of British Columbia; Hakai Institute; University of Tasmania</t>
  </si>
  <si>
    <t>Hunt, BPV (corresponding author), Univ British Columbia, Inst Oceans &amp; Fisheries, Vancouver, BC, Canada.</t>
  </si>
  <si>
    <t>b.hunt@oceans.ubc.ca</t>
  </si>
  <si>
    <t>The HIPPIES cruise was funded and organised by the Australian Antarctic Division. We thank the master and crew of Aurora Australis for their assistance in collecting the samples and associated data. R. Williams was instrumental in the design and implementation of the study, and contributed to early drafts of the manuscript. S. Davenport and T. Lamb contributed to sample collection and processing.</t>
  </si>
  <si>
    <t>10.1016/j.jmarsys.2021.103575</t>
  </si>
  <si>
    <t>WOS:000658513500003</t>
  </si>
  <si>
    <t>Farmery, AK; Alexander, K; Anderson, K; Blanchard, JL; Carter, CG; Evans, K; Fischer, M; Fleming, A; Frusher, S; Fulton, EA; Haas, B; MacLeod, CK; Murray, L; Nash, KL; Pecl, GT; Rousseau, Y; Trebilco, R; van Putten, IE; Mauli, S; Dutra, L; Greeno, D; Kaltavara, J; Watson, R; Nowak, B</t>
  </si>
  <si>
    <t>Farmery, A. K.; Alexander, K.; Anderson, K.; Blanchard, J. L.; Carter, C. G.; Evans, K.; Fischer, M.; Fleming, A.; Frusher, S.; Fulton, E. A.; Haas, B.; MacLeod, C. K.; Murray, L.; Nash, K. L.; Pecl, G. T.; Rousseau, Y.; Trebilco, R.; van Putten, I. E.; Mauli, S.; Dutra, L.; Greeno, D.; Kaltavara, J.; Watson, R.; Nowak, B.</t>
  </si>
  <si>
    <t>Food for all: designing sustainable and secure future seafood systems</t>
  </si>
  <si>
    <t>Food and nutrition security; Equity; Mariculture; Wild capture fisheries; Blue food; Food system</t>
  </si>
  <si>
    <t>SMALL-SCALE FISHERIES; CAPTURE FISHERIES; MARINE; MANAGEMENT; CHALLENGES; AQUACULTURE; SCIENCE; IMPACTS; LESSONS; POLICY</t>
  </si>
  <si>
    <t>Food from the sea can make a larger contribution to healthy and sustainable diets, and to addressing hunger and malnutrition, through improvements in production, distribution and equitable access to wild harvest and mariculture resources and products. The supply and consumption of seafood is influenced by a range of 'drivers' including ecosystem change and ocean regulation, the influence of corporations and evolving consumer demand, as well as the growing focus on the importance of seafood for meeting nutritional needs. These drivers need to be examined in a holistic way to develop an informed understanding of the needs, potential impacts and solutions that align seafood production and consumption with relevant 2030 Sustainable Development Goals (SDGs). This paper uses an evidence-based narrative approach to examine how the anticipated global trends for seafood might be experienced by people in different social, geographical and economic situations over the next ten years. Key drivers influencing seafood within the global food system are identified and used to construct a future scenario based on our current trajectory (Business-as-usual 2030). Descriptive pathways and actions are then presented for a more sustainable future scenario that strives towards achieving the SDGs as far as technically possible (More sustainable 2030). Prioritising actions that not only sustainably produce more seafood, but consider aspects of access and utilisation, particularly for people affected by food insecurity and malnutrition, is an essential part of designing sustainable and secure future seafood systems.</t>
  </si>
  <si>
    <t>[Farmery, A. K.; Mauli, S.; Kaltavara, J.] Univ Wollongong, Australian Natl Ctr Ocean Resource &amp; Secur, Wollongong, NSW, Australia; [Farmery, A. K.; Alexander, K.; Blanchard, J. L.; Carter, C. G.; Evans, K.; Fleming, A.; Frusher, S.; Fulton, E. A.; Haas, B.; MacLeod, C. K.; Nash, K. L.; Pecl, G. T.; Rousseau, Y.; Trebilco, R.; van Putten, I. E.; Dutra, L.; Watson, R.; Nowak, B.] Univ Tasmania, Ctr Marine Socioecol, Hobart, Tas, Australia; [Alexander, K.; Blanchard, J. L.; Carter, C. G.; Frusher, S.; Haas, B.; MacLeod, C. K.; Nash, K. L.; Pecl, G. T.; Rousseau, Y.; Watson, R.] Univ Tasmania, Inst Marine &amp; Antarctic Studies, Hobart, Tas, Australia; [Anderson, K.; Nowak, B.] Univ Tasmania, Inst Marine &amp; Antarctic Studies, Newnham, Tas, Australia; [Evans, K.; Fulton, E. A.; Trebilco, R.; van Putten, I. E.] CSIRO Oceans &amp; Atmosphere, Hobart, Tas, Australia; [Fischer, M.; Dutra, L.] CSIRO Oceans &amp; Atmosphere, St Lucia, Qld, Australia; [Fleming, A.] CSIRO Land &amp; Water, Hobart, Tas, Australia; [Murray, L.] Massey Univ, Coll Hlth, Massey, Massey, New Zealand; [Greeno, D.] Univ Tasmania, Coll Arts Law &amp; Educ, Hobart, Tas, Australia</t>
  </si>
  <si>
    <t>University of Wollongong; University of Tasmania; University of Tasmania; University of Tasmania; Commonwealth Scientific &amp; Industrial Research Organisation (CSIRO); Commonwealth Scientific &amp; Industrial Research Organisation (CSIRO); Commonwealth Scientific &amp; Industrial Research Organisation (CSIRO); Massey University; University of Tasmania</t>
  </si>
  <si>
    <t>Farmery, AK (corresponding author), Univ Wollongong, Australian Natl Ctr Ocean Resource &amp; Secur, Wollongong, NSW, Australia.;Farmery, AK (corresponding author), Univ Tasmania, Ctr Marine Socioecol, Hobart, Tas, Australia.</t>
  </si>
  <si>
    <t>afarmery@uow.edu.au</t>
  </si>
  <si>
    <t>Fleming, Aysha/E-8753-2011; Fulton, Beth/A-2871-2008; Trebilco, Rowan/I-5311-2012; Pecl, Gretta/D-7267-2011; Nash, Kirsty L/B-5456-2015; van putten, ingrid/AAV-1301-2021; Dutra, Leo/R-6256-2019; Carter, Chris Guy/A-3438-2008; rousseau, yannick/GWU-9830-2022; Nowak, Barbara/J-7261-2014; Macleod, Catriona/J-7176-2014; Farmery, Anna/H-9696-2014; Alexander, Karen/O-7042-2017</t>
  </si>
  <si>
    <t>Fleming, Aysha/0000-0001-9895-1928; Trebilco, Rowan/0000-0001-9712-8016; Pecl, Gretta/0000-0003-0192-4339; Nash, Kirsty L/0000-0003-0976-3197; van putten, ingrid/0000-0001-8397-9768; Carter, Chris Guy/0000-0001-5210-1282; Haas, Bianca/0000-0002-7322-2929; Nowak, Barbara/0000-0002-0347-643X; Macleod, Catriona/0000-0002-0539-6361; Farmery, Anna/0000-0002-8938-0040; Dutra, Leo/0000-0002-5781-3956; Anderson, Kelli/0000-0001-7749-4641; Alexander, Karen/0000-0001-8801-413X; Fischer, Mibu/0000-0002-1216-3451; Rousseau, Yannick/0000-0003-0765-7518</t>
  </si>
  <si>
    <t>Centre for Marine Socioecology at UTAS; IMAS at UTAS; MENZIES at UTAS; College of Arts, Law and Education at UTAS; College of Science and Engineering at UTAS; Snowchange from Finland; DVCR Office at UTAS</t>
  </si>
  <si>
    <t>Funding for Future Seas was provided by the Centre for Marine Socioecology, IMAS, MENZIES and the College of Arts, Law and Education, and the College of Science and Engineering at UTAS, and Snowchange from Finland. We acknowledge support from a Research Enhancement Program grant from the DVCR Office at UTAS.</t>
  </si>
  <si>
    <t>10.1007/s11160-021-09663-x</t>
  </si>
  <si>
    <t>Green Submitted, Green Published, Bronze</t>
  </si>
  <si>
    <t>WOS:000655939500001</t>
  </si>
  <si>
    <t>Dai, YF; Zhang, L; Yan, ZY; Li, Z; Fu, M; Xue, CH; Wang, JF</t>
  </si>
  <si>
    <t>Dai, Yufeng; Zhang, Lei; Yan, Ziyi; Li, Zhuo; Fu, Meng; Xue, Changhu; Wang, Jingfeng</t>
  </si>
  <si>
    <t>A low proportion n-6/n-3 PUFA diet supplemented with Antarctic krill (Euphausia superba) oil protects against osteoarthritis by attenuating inflammation in ovariectomized mice</t>
  </si>
  <si>
    <t>NF-KAPPA-B; POLYUNSATURATED FATTY-ACIDS; ACTIVATED RECEPTOR-GAMMA; ARTICULAR-CARTILAGE; ENDOCHONDRAL OSSIFICATION; SUBCHONDRAL BONE; DOCOSAHEXAENOIC ACID; PATHOGENESIS; EXPRESSION; GPR120</t>
  </si>
  <si>
    <t>Osteoarthritis (OA), the most common form of arthritis, is characterized by cartilage destruction, and its incidence is much higher in the osteoporotic population. There is increasing evidence that the occurrence and development of OA are modulated by the dietary intake of polyunsaturated fatty acids (PUFA). This study investigated the effects of dietary PUFA, including n-3/n-6 PUFA proportion and the molecular form of n-3 PUFA, on OA using osteoporotic osteoarthritis dual model mice, where phospholipid type n-3 PUFA were specifically examined. The results revealed that a low proportion of n-6/n-3 PUFA in diets from 1 : 1 to 6 : 1 significantly improved the cartilage structure and inhibited articular cartilage polysaccharide loss. Furthermore, the low proportion n-6/n-3 PUFA diets inhibited the NF-kappa B signaling pathway by activating G-protein coupled receptor 120 (GPR120) to reduce inflammation and inhibit catabolism. Antarctic krill (Euphausia superba) oil (AKO), rich in phospholipid-type n-3 PUFA, had a better effect on OA than linseed oil (plant-derived n-3 PUFA), which may be due to peroxisome proliferator-activated receptor-gamma (PPAR gamma). These findings suggested that the low proportion n-6/n-3 PUFA diets, particularly with AKO, alleviated inflammation and inhibited articular cartilage degeneration. Therefore, dietary intervention can be a potential treatment for OA.</t>
  </si>
  <si>
    <t>[Dai, Yufeng; Zhang, Lei; Yan, Ziyi; Li, Zhuo; Fu, Meng; Xue, Changhu; Wang, Jingfeng] Ocean Univ China, Coll Food Sci &amp; Engn, Qingdao 266003, Peoples R China</t>
  </si>
  <si>
    <t>Ocean University of China</t>
  </si>
  <si>
    <t>Wang, JF (corresponding author), Ocean Univ China, Coll Food Sci &amp; Engn, Qingdao 266003, Peoples R China.</t>
  </si>
  <si>
    <t>xuech@ouc.edu.cn; jfwang@ouc.edu.cn</t>
  </si>
  <si>
    <t>wang, jie/HTQ-4920-2023; Wang, Jin/GYA-2019-2022; wang, jiajun/JRW-6032-2023; wang, jing/GVT-8700-2022; wang, juan/IUO-6218-2023; wang, jing/GRS-7509-2022; wang, jiahui/IXD-1197-2023; wang, xu/IAN-4886-2023; wang, jing/HJA-5384-2022; wang, jian/HRB-9588-2023; ZHOU, YUE/IZE-6277-2023; Dai, Yufeng/KBX-4156-2024; wang, dan/JEF-0836-2023</t>
  </si>
  <si>
    <t>Dai, Yufeng/0000-0002-6598-8203; meng, fu/0000-0002-1441-7128; LI, Zhuo/0000-0001-6441-2117</t>
  </si>
  <si>
    <t>National Key R&amp;D Program of China [2018YFC0311203]</t>
  </si>
  <si>
    <t>National Key R&amp;D Program of China</t>
  </si>
  <si>
    <t>This study was supported by the National Key R&amp;D Program of China (No. 2018YFC0311203).</t>
  </si>
  <si>
    <t>AUG 7</t>
  </si>
  <si>
    <t>10.1039/d1fo00056j</t>
  </si>
  <si>
    <t>TX5GO</t>
  </si>
  <si>
    <t>WOS:000664239900001</t>
  </si>
  <si>
    <t>Palacios, D; Rodríguez-Mena, M; Fernández-Fernández, JM; Schimmelpfennig, I; Tanarro, LM; Zamorano, JJ; Andrés, N; Ubeda, J; Sæmundsson, D; Brynjólfsson, S; Oliva, M</t>
  </si>
  <si>
    <t>Palacios, David; Rodriguez-Mena, Manuel; Fernandez-Fernandez, Jose M.; Schimmelpfennig, Irene; Tanarro, Luis M.; Zamorano, Jose J.; Andres, Nuria; Ubeda, Jose; Saemundsson, Dorsteinn; Brynjolfsson, Skafti; Oliva, Marc</t>
  </si>
  <si>
    <t>Reversible glacial-periglacial transition in response to climate changes and paraglacial dynamics: A case study from Heoinsdalsjokull (northern Iceland)</t>
  </si>
  <si>
    <t>GEOMORPHOLOGY</t>
  </si>
  <si>
    <t>Northern Iceland; Debris-covered glacier; Rock glacier; Debris-free glacier; Glacial evolution; Paraglacial dynamics; Climatic variability</t>
  </si>
  <si>
    <t>DEBRIS-COVERED GLACIERS; EQUILIBRIUM-LINE ALTITUDES; MONT-BLANC MASSIF; SEA-LEVEL CHANGES; ROCK GLACIERS; HOLOCENE CLIMATE; ICE-AGE; SPATIAL-DISTRIBUTION; COSMOGENIC CL-36; PRODUCTION-RATES</t>
  </si>
  <si>
    <t>The objective of this work is to chronologically establish the origin of the different glacial and rock glacier complex landforms deposited by Heoinsdalsjokull glacier (65 degrees 39' N, 18 degrees 55' W), in the Heoinsdalur valley (Skagafjorour fjord, Trollaskagi peninsula, central northern Iceland). Multiple methods were applied: geomorphological analysis and mapping, glacier reconstruction and equilibrium-line altitude calculation, Cosmic-Ray Exposure dating (in situ cosmogenic Cl-36), and lichenometric dating. The results reveal that a debris-free glacier receded around 6.6 +/- 0.6 ka, during the Holocene Thermal Maximum. The retreat of the glacier exposed its headwall and accelerated paraglacial dynamics. As a result, the glacier terminus evolved into a debris-covered glacier and a rock glacier at a slightly higher elevation. The front of this rock glacier stabilized shortly after it formed, although nuclide inheritance is possible, but its sector close the valley head stabilized between 1.5 and 0.6 ka. The lowest part of the debris-covered glacier (between 600 and 820 m altitude) collapsed at ca. 2.4 ka. Since then, periods of glacial advance and retreat have alternated, particularly during the Little Ice Age. The maximum advance during this phase occurred in the 15th to 17th centuries with subsequent re-advances, namely at the beginning of the 19th and 20th centuries. After a significant retreat during the first decades of the 20th century, the glacier advanced in the 1960s to 1990s, and then retreated again, in accordance with the local climatic evolution. The internal ice of both the debris-covered and the rock glacier have survived until the present day, although enhanced subsidence provides evidence of their gradual degradation. A new rock glacier developed from an ice-cored moraine from around 1940-1950 CE. Thus, the Holocene coupling between paraglacial and climatic shifts has resulted in a complex evolution of Heoinsdalsjokull, which is conflicting with previously proposed models: a glacier, which had first evolved into a debris-covered and rock glacier, could later be transformed into a debris-free glacier, with a higher sensitivity to climatic variability. (C) 2021 The Author(s). Published by Elsevier B.V.</t>
  </si>
  <si>
    <t>[Palacios, David; Rodriguez-Mena, Manuel; Tanarro, Luis M.; Andres, Nuria; Ubeda, Jose] Univ Complutense Madrid, Dept Geog, High Mt Phys Geog Res Grp, Madrid 28040, Spain; [Fernandez-Fernandez, Jose M.] Univ Lisbon, Inst Geog &amp; Ordenamento Terr IGOT, Lisbon, Portugal; [Schimmelpfennig, Irene; ASTER Team] Aix Marseille Univ, Coll France, INRAE, CNRS,IRD,UM CEREGE 34, Technopole Environm Arbois Mediterranee,BP 80, F-13545 Aix En Provence, France; [Zamorano, Jose J.] Univ Nacl Autonoma Mexico, Inst Geog, Mexico City, DF, Mexico; [Saemundsson, Dorsteinn] Univ Iceland, Fac Life &amp; Environm Sci, Reykjavik, Iceland; [Brynjolfsson, Skafti] Icelandic Inst Nat Hist, Akureyri, Iceland; [Oliva, Marc] Univ Barcelona, Dept Geog, Barcelona, Spain</t>
  </si>
  <si>
    <t>Complutense University of Madrid; Universidade de Lisboa; Universite PSL; College de France; INRAE; Centre National de la Recherche Scientifique (CNRS); Aix-Marseille Universite; Institut de Recherche pour le Developpement (IRD); Universidad Nacional Autonoma de Mexico; University of Iceland; University of Barcelona</t>
  </si>
  <si>
    <t>Palacios, D (corresponding author), Univ Complutense Madrid, Dept Geog, High Mt Phys Geog Res Grp, Madrid 28040, Spain.</t>
  </si>
  <si>
    <t>davidp@ucm.es</t>
  </si>
  <si>
    <t>PALACIOS, DAVID/H-3737-2015; Oliva, Marc/K-5423-2014; Fernández-Fernández, Jose M./H-5801-2017; Ubeda, Jose/H-4179-2015; Tanarro, Luis M./H-3381-2015</t>
  </si>
  <si>
    <t>Ubeda, Jose/0000-0003-1304-9607;</t>
  </si>
  <si>
    <t>Santander Bank-UCM Projects [PR108/20-20]; Nils Mobility Program (EEA GRANTS); Fundacao para a Ciencia e a Tecnologia, Portugal [02/SAICT/2017 32002]; Ramon y Cajal Program [RYC-2015-17597]; Research Group ANTALP (Antarctic, Arctic, Alpine Environments) - Government of Catalonia [2017-SGR-1102]; INSU/CNRS; ANR through the Projets thematiques d'excellence program for the Equipements d'excellence ASTER-CEREGE action; IRD</t>
  </si>
  <si>
    <t>Santander Bank-UCM Projects; Nils Mobility Program (EEA GRANTS); Fundacao para a Ciencia e a Tecnologia, Portugal(Fundacao para a Ciencia e a Tecnologia (FCT)); Ramon y Cajal Program(Spanish Government); Research Group ANTALP (Antarctic, Arctic, Alpine Environments) - Government of Catalonia; INSU/CNRS(Centre National de la Recherche Scientifique (CNRS)); ANR through the Projets thematiques d'excellence program for the Equipements d'excellence ASTER-CEREGE action(Agence Nationale de la Recherche (ANR)); IRD</t>
  </si>
  <si>
    <t>This paper was funded by PR108/20-20 (Santander Bank-UCM Projects) and Nils Mobility Program (EEA GRANTS), and with the help of the HighMountain Physical Geography Research Group (Universidad Complutense deMadrid). We thank the Icelandic Association for Search and Rescue, the Icelandic Institute of Natural History, the Holar University College, David Palacios Jr. and Maria Palacios for their support in the field. Jose M. Fernandez-Fernandez is supported by a postdoctoral grant within the NUNANTAR project (02/SAICT/2017 32002; Fundacao para a Ciencia e a Tecnologia, Portugal). Marc Oliva is supported by the Ramon y Cajal Program (RYC-2015-17597) and by the Research Group ANTALP (Antarctic, Arctic, Alpine Environments; 2017-SGR-1102) funded by the Government of Catalonia. The 36Cl measurementswere performed at the ASTERAMS national facility (CEREGE, Aix en Provence), which is supported by the INSU/CNRS and the ANR through the Projets thematiques d'excellence program for the Equipements d'excellence ASTER-CEREGE action and IRD. The authors are grateful for the comments and suggestions of Dr. Jasper Knight and anonymous reviewer, which have considerably improved the quality of the manuscript.</t>
  </si>
  <si>
    <t>0169-555X</t>
  </si>
  <si>
    <t>1872-695X</t>
  </si>
  <si>
    <t>Geomorphology</t>
  </si>
  <si>
    <t>10.1016/j.geomorph.2021.107787</t>
  </si>
  <si>
    <t>SQ5PF</t>
  </si>
  <si>
    <t>WOS:000660407000001</t>
  </si>
  <si>
    <t>McInnes, SJ; Jorgensen, A; Michalczyk, L</t>
  </si>
  <si>
    <t>McInnes, Sandra J.; Jorgensen, Aslak; Michalczyk, Lukasz</t>
  </si>
  <si>
    <t>20 years of Zootaxa: Tardigrada (Ecdysozoa: Panarthropoda)</t>
  </si>
  <si>
    <t>Tardigrada; Heterotardigrada; Eutardigrada; Arthrotardigrada; Echiniscoidea; Apochela; Parachela; taxonomy; systematics; biodiversity loss</t>
  </si>
  <si>
    <t>Over the last two decades, Zootaxa has hosted nearly 200 papers concerning tardigrade taxonomy, systematics, phylogeny, and evolution. A total of 160 researchers from all continents (except the Antarctic) published descriptions of almost 200 new taxa, mostly species, but also genera and higher taxonomic ranks, such as families and superfamilies. This editorial is dedicated to the late Professor Clark W. Beasley who was the first tardigrade Associate Editor for Zootaxa.</t>
  </si>
  <si>
    <t>[McInnes, Sandra J.] British Antarctic Survey, Madingley Rd, Cambridge CB3 0ET, England; [Jorgensen, Aslak] Univ Copenhagen, Dept Biol, Copenhagen, Denmark; [Michalczyk, Lukasz] Jagiellonian Univ, Fac Biol, Dept Invertebrate Evolut, Inst Zool &amp; Biomed Res, Gronostajowa 9, PL-30387 Krakow, Poland</t>
  </si>
  <si>
    <t>UK Research &amp; Innovation (UKRI); Natural Environment Research Council (NERC); NERC British Antarctic Survey; University of Copenhagen; Jagiellonian University</t>
  </si>
  <si>
    <t>Michalczyk, L (corresponding author), Jagiellonian Univ, Fac Biol, Dept Invertebrate Evolut, Inst Zool &amp; Biomed Res, Gronostajowa 9, PL-30387 Krakow, Poland.</t>
  </si>
  <si>
    <t>s.mcinnes@bas.ac.uk; aslakjorgensen@gmail.com; LM@tardigrada.net</t>
  </si>
  <si>
    <t>McInnes, Sandra/AAN-4773-2020; Michalczyk, Lukasz/D-1362-2009</t>
  </si>
  <si>
    <t>McInnes, Sandra/0000-0003-3403-9379; Jorgensen, Aslak/0000-0001-7191-3796; Michalczyk, Lukasz/0000-0002-2912-4870</t>
  </si>
  <si>
    <t>MAY 28</t>
  </si>
  <si>
    <t>10.11646/zootaxa.4979.1.5</t>
  </si>
  <si>
    <t>SP0IM</t>
  </si>
  <si>
    <t>WOS:000659356600003</t>
  </si>
  <si>
    <t>Pérez-González, A; Acosta, LE; Proud, DN; Shultz, JW</t>
  </si>
  <si>
    <t>Perez-Gonzalez, Abel; Acosta, Luis E.; Proud, Daniel N.; Shultz, Jeffrey W.</t>
  </si>
  <si>
    <t>Harvestmen in the first twenty years: a scientometric analysis of Zootaxa's contribution to opilionology (Arthropoda, Arachnida, Opiliones)</t>
  </si>
  <si>
    <t>Taxonomy; daddy longlegs; diversity; historical perspectives; biogeography; author demographics Taxonomic impact; Brazil; Neotropic</t>
  </si>
  <si>
    <t>In its first twenty years of existence Zootaxa has been widely utilized among researchers of Opiliones, mainly those coming from Latin American countries, principally Brazil. During 2003-2020, a total of 141 papers on Opiliones were published in Zootaxa (no papers were published on Opiliones in the first two years, 2001-2002). The journal has greatly facilitated the dissemination of knowledge on Opiliones, especially with respect to the taxonomy and systematics of harvestmen from the Neotropical Realm. Those 141 papers in Zootaxa include almost a quarter (191) of the new species of Opiliones described between 2001 and 2020, as well as 112 new synonymies. Additionally, 27 of those papers proposed 182 new or restored combinations. A total of 108 authors working in 25 countries have contributed papers to Zootaxa focusing on Opiliones. There is clearly a predominance for collaborative contributions with more than twice as many papers authored by two or more authors compared to single-author publications. In general, the majority of papers deal within the local biogeographic realm (where the lead author resides). Studies of harvestmen from seven of the eight biogeographic realms were published in Zootaxa during 2003-2020. The largest portion of these contributions were by far focused on the Neotropical opiliofauna, but Australasian, Nearctic, Indomalayan, Palearctic, Afrotropical and Antarctic opiliofauna are covered as well. No papers on Opiliones have been published in Zootaxa by authors representing countries in Africa. We also recognize a strong gender bias in authorship and the current composition of Opiliones subject editors. We will strive to create an inclusive environment and aim to promote diversity of scientists who study Opiliones.</t>
  </si>
  <si>
    <t>[Perez-Gonzalez, Abel] Consejo Nacl Invest Cient &amp; Tecn, Museo Atgenlino Ciencias Nat Bernardino Rivadavia, Av Angel Gallanlo 470,C1405DJR, Buenos Aires, DF, Argentina; [Acosta, Luis E.] Univ Nacl Cordoba, Fac Ciencias Exactas Fis &amp; Nat, Catedra Diversidad Biol 2, Av Velez Sarsfield 299,X5000JJC, Cordoba, Argentina; [Acosta, Luis E.] Consejo Nacl Invest Cient &amp; Tecn, Inst Diversidad &amp; Ecol Anim IDEA, Av Velez Sarsfield 299,X5000JJC, Cordoba, Argentina; [Proud, Daniel N.] Moravian Univ, 1200 Main St, Bethlehem, PA 18018 USA; [Shultz, Jeffrey W.] Univ Maryland, Dept Entomol, College Pk, MD 20742 USA</t>
  </si>
  <si>
    <t>Consejo Nacional de Investigaciones Cientificas y Tecnicas (CONICET); National University of Cordoba; Consejo Nacional de Investigaciones Cientificas y Tecnicas (CONICET); University System of Maryland; University of Maryland College Park</t>
  </si>
  <si>
    <t>Pérez-González, A (corresponding author), Consejo Nacl Invest Cient &amp; Tecn, Museo Atgenlino Ciencias Nat Bernardino Rivadavia, Av Angel Gallanlo 470,C1405DJR, Buenos Aires, DF, Argentina.</t>
  </si>
  <si>
    <t>abelaracno@gmail.com; luis.acosta@gmail.com; proudd@moravian.edu; jshultz@umd.edu</t>
  </si>
  <si>
    <t>Pérez-González, Abel/R-4999-2019</t>
  </si>
  <si>
    <t>Pérez-González, Abel/0000-0002-4245-3302; Acosta, Luis/0000-0003-3107-1349; Proud, Daniel/0000-0003-1842-6395; Shultz, Jeffrey/0000-0002-7524-1373</t>
  </si>
  <si>
    <t>250F Marua Road Mt Wellington, AUCKLAND, ST LUKES 1023, NEW ZEALAND</t>
  </si>
  <si>
    <t>10.11646/zootaxa.4979.1.12</t>
  </si>
  <si>
    <t>WOS:000659356600010</t>
  </si>
  <si>
    <t>Wehi, PM; Scott, NJ; Beckwith, J; Rodgers, RP; Gillies, T; Van Uitregt, V; Watene, K</t>
  </si>
  <si>
    <t>Wehi, Priscilla M.; Scott, Nigel J.; Beckwith, Jacinta; Rodgers, Rata Pryor; Gillies, Tasman; Van Uitregt, Vincent; Watene, Krushil</t>
  </si>
  <si>
    <t>A short scan of Maori journeys to Antarctica</t>
  </si>
  <si>
    <t>JOURNAL OF THE ROYAL SOCIETY OF NEW ZEALAND</t>
  </si>
  <si>
    <t>Antarctic exploration; Antarctic history; Indigenous knowledge; kaitiakitanga; Maori scientists; minorities in STEM</t>
  </si>
  <si>
    <t>ELLSWORTH LAND; ADELIE; PENGUINS; SEA</t>
  </si>
  <si>
    <t>The narratives of under-represented groups and their connection to Antarctica remain poorly documented and acknowledged in the research literature. This paper begins to fill this gap. Our exploration of Maori connections to Antarctica details first voyagers through to involvement in recent science projects, as well as representations of matauranga in carving and weaving. This exploration begins to construct a richer and more inclusive picture of Antarctica's relationship with humanity. By detailing these historical and contemporary connections, we build a platform on which much wider conversations about New Zealand relationships with Antarctica can be furthered. More than this, however, we create space for other under-represented groups and peoples to articulate their narratives of connection to the southern land- and sea-scapes. In so doing, we provide significant first steps for uncovering the rich and varied ways in which Antarctica features in the lives and futures of indigenous and other under-represented communities.</t>
  </si>
  <si>
    <t>[Wehi, Priscilla M.] Manaaki Whenua Landcare Res, Dunedin, New Zealand; [Scott, Nigel J.; Rodgers, Rata Pryor; Gillies, Tasman] Te Runanga Ngai Tahu, Te Whare Te Waipounamu, Christchurch, New Zealand; [Beckwith, Jacinta] Univ Otago, Hocken Collect, Dunedin, New Zealand; [Van Uitregt, Vincent; Watene, Krushil] Massey Univ, Sch Humanities, Auckland, New Zealand</t>
  </si>
  <si>
    <t>Landcare Research - New Zealand; University of Otago; Massey University</t>
  </si>
  <si>
    <t>Wehi, PM (corresponding author), Manaaki Whenua Landcare Res, Dunedin, New Zealand.</t>
  </si>
  <si>
    <t>VM Ross-RAMP programme [Ministry for Business, Innovation and Employment (MBIE)] [CO1x1710]; Rutherford Discovery Fellowships [14-LCR-001, 18-MAU-001]</t>
  </si>
  <si>
    <t>VM Ross-RAMP programme [Ministry for Business, Innovation and Employment (MBIE)](New Zealand Ministry of Business, Innovation and Employment (MBIE)); Rutherford Discovery Fellowships(Royal Society of New Zealand)</t>
  </si>
  <si>
    <t>The VM Ross-RAMP programme [Ministry for Business, Innovation and Employment (MBIE) grant number CO1x1710] supported P. M. W. and B. V. U.; P. M. W. and K. W. are supported by Rutherford Discovery Fellowships 14-LCR-001 and 18-MAU-001.</t>
  </si>
  <si>
    <t>0303-6758</t>
  </si>
  <si>
    <t>1175-8899</t>
  </si>
  <si>
    <t>J ROY SOC NEW ZEAL</t>
  </si>
  <si>
    <t>J. R. Soc. N.Z.</t>
  </si>
  <si>
    <t>OCT 20</t>
  </si>
  <si>
    <t>10.1080/03036758.2021.1917633</t>
  </si>
  <si>
    <t>5Z4MI</t>
  </si>
  <si>
    <t>WOS:000658195700001</t>
  </si>
  <si>
    <t>Gupta, A; Birner, T; Dörnbrack, A; Polichtchouk, I</t>
  </si>
  <si>
    <t>Gupta, Aman; Birner, Thomas; Doernbrack, Andreas; Polichtchouk, Inna</t>
  </si>
  <si>
    <t>Importance of Gravity Wave Forcing for Springtime Southern Polar Vortex Breakdown as Revealed by ERA5</t>
  </si>
  <si>
    <t>Antarctic vortex breakdown; ERA5 reanalysis; gravity waves; planetary waves– gravity waves interaction; stratospheric circulation and variability; zonal momentum budget</t>
  </si>
  <si>
    <t>MOMENTUM FLUX; CIRCULATION; DRAG; PARAMETERIZATION; CLIMATE; CAMPAIGN; MODEL</t>
  </si>
  <si>
    <t>Planetary waves (PWs) and gravity waves (GWs) are the key drivers of middle atmospheric circulation. Insufficient observations and inaccurate model representation of GWs limit our understanding of their stratospheric contributions, especially during the Antarctic polar vortex breakdown. This study employs the strength of the high-resolution ERA5 reanalysis in resolving a broad spectrum of GWs in southern midlatitudes and its ability to estimate their forcing during the breakdown period. Most of the resolved southern hemisphere GWs deposit momentum around 60 degrees S over the Southern Ocean. Further, a zonal momentum budget analysis during the breakdown period reveals that the resolved GW forcing in ERA5 provides as much as one-fourth of the necessary wind deceleration at 60 degrees S, 10 hPa. The parameterized GW drag, mostly from non-orographic sources, provides more than half of the wind deceleration. Both findings highlight the key role of GWs in the vortex breakdown and discuss possibilities for further stratospheric GW analysis.</t>
  </si>
  <si>
    <t>[Gupta, Aman; Birner, Thomas] Ludwig Maximilians Univ Munchen, Meteorol Inst Munich, Munich, Germany; [Birner, Thomas; Doernbrack, Andreas] Deutsch Zentrum Luft &amp; Raumfahrt DLR, Inst Phys Atmosphare, Oberpfaffenhofen, Germany; [Polichtchouk, Inna] European Ctr Medium Range Weather Forecasts ECMWF, Reading, Berks, England</t>
  </si>
  <si>
    <t>University of Munich; Helmholtz Association; German Aerospace Centre (DLR); European Centre for Medium-Range Weather Forecasts (ECMWF)</t>
  </si>
  <si>
    <t>Gupta, A (corresponding author), Ludwig Maximilians Univ Munchen, Meteorol Inst Munich, Munich, Germany.</t>
  </si>
  <si>
    <t>Aman.Gupta@lmu.de</t>
  </si>
  <si>
    <t>Birner, Thomas/FFE-8380-2022</t>
  </si>
  <si>
    <t>Birner, Thomas/0000-0002-2966-3428; Gupta, Aman/0000-0002-2215-7135</t>
  </si>
  <si>
    <t>Deutsche Forschungsgemeinschaft (DFG) via the project MS-GWaves [GWTP/DO 1020/9-1, PACOG/RA 1400/6-1]; German research initiative Role of the middle atmosphere in climate (ROMIC) by the Federal Ministry for Education and Research [01LG1206A]</t>
  </si>
  <si>
    <t>Deutsche Forschungsgemeinschaft (DFG) via the project MS-GWaves(German Research Foundation (DFG)); German research initiative Role of the middle atmosphere in climate (ROMIC) by the Federal Ministry for Education and Research</t>
  </si>
  <si>
    <t>This research was partly funded by the Deutsche Forschungsgemeinschaft (DFG) via the project MS-GWaves (GWTP/DO 1020/9-1, PACOG/RA 1400/6-1) and by the German research initiative Role of the middle atmosphere in climate (ROMIC) under Grant 01LG1206A provided by the Federal Ministry for Education and Research. Access to ECMWF data was granted through the special project Deep Vertical Propagation of Internal Gravity Waves.</t>
  </si>
  <si>
    <t>e2021GL092762</t>
  </si>
  <si>
    <t>10.1029/2021GL092762</t>
  </si>
  <si>
    <t>SN9JL</t>
  </si>
  <si>
    <t>WOS:000658600300032</t>
  </si>
  <si>
    <t>Kohma, M; Sato, K; Nishimura, K; Tsutsumi, M</t>
  </si>
  <si>
    <t>Kohma, M.; Sato, K.; Nishimura, K.; Tsutsumi, M.</t>
  </si>
  <si>
    <t>Weakening of Polar Mesosphere Winter Echo and Turbulent Energy Dissipation Rates After a Stratospheric Sudden Warming in the Southern Hemisphere in 2019</t>
  </si>
  <si>
    <t>GRAVITY-WAVE ACTIVITY; LIDAR OBSERVATIONS; MIDDLE ATMOSPHERE; VHF RADAR; LAYERS; 69-DEGREES-S; ALTITUDE; SUMMER</t>
  </si>
  <si>
    <t>Time variations in the polar mesosphere winter echo (PMWE) volume reflectivity and turbulent energy dissipation rates are examined during the sudden stratospheric warming (SSW) in September 2019 in the Southern Hemisphere. It was found that the frequency of PMWE occurrence decreased from early September to October, when the SSW occurred. We also found that the frequency of large turbulent energy dissipation rates (&gt;3 x 10(-4) m(2)s(-3)) was reduced compared to the average for 2016-2018. This is likely due to the modulation of gravity wave (GW) propagation by the minor SSW, resulting in less GW breaking, which is the main source of the turbulence. This suggests that the decrease in turbulence intensity is at least partly responsible for the decrease in the frequency of PMWE. Plain Language Summary Polar mesosphere winter echoes (PMWEs) are the coherent echoes from a height of 50-80 km observed by very high frequency clear-air Doppler radars. We examine the time variations of PMWE and turbulence intensity associated with a sudden stratospheric warming in September 2019 in the Southern Hemisphere. We found that the PMWE occurrence frequency and turbulence intensity were reduced during and after the stratospheric warming. Assuming that the PMWEs are attributable to scattering echoes from turbulence in the ionized atmosphere, weak turbulence intensity will lead to a decrease in the frequency of PMWE. Furthermore, we discuss the reason why the stratospheric warming affects turbulence by performing a simple theoretical diagnostic of gravity wave propagation.</t>
  </si>
  <si>
    <t>[Kohma, M.; Sato, K.] Univ Tokyo, Dept Earth &amp; Planetary Sci, Grad Sch Sci, Tokyo, Japan; [Nishimura, K.; Tsutsumi, M.] Natl Inst Polar Res, Tokyo, Japan; [Nishimura, K.; Tsutsumi, M.] Grad Univ Adv Studies SOKENDAI, Tokyo, Japan</t>
  </si>
  <si>
    <t>University of Tokyo; Research Organization of Information &amp; Systems (ROIS); National Institute of Polar Research (NIPR) - Japan; Graduate University for Advanced Studies - Japan</t>
  </si>
  <si>
    <t>Kohma, M (corresponding author), Univ Tokyo, Dept Earth &amp; Planetary Sci, Grad Sch Sci, Tokyo, Japan.</t>
  </si>
  <si>
    <t>kohmasa@eps.s.u-tokyo.ac.jp</t>
  </si>
  <si>
    <t>Kohma, Masashi/C-8055-2015; Sato, Kaoru/E-1693-2012</t>
  </si>
  <si>
    <t>Kohma, Masashi/0000-0001-9875-3032; Nishimura, Koji/0000-0001-8824-9844; Sato, Kaoru/0000-0002-6225-6066</t>
  </si>
  <si>
    <t>JSPS KAKENHI [JP19K14791]; JST CREST [JPMJCR1663]</t>
  </si>
  <si>
    <t>JSPS KAKENHI(Ministry of Education, Culture, Sports, Science and Technology, Japan (MEXT)Japan Society for the Promotion of ScienceGrants-in-Aid for Scientific Research (KAKENHI)); JST CREST(Japan Science &amp; Technology Agency (JST)Core Research for Evolutional Science and Technology (CREST))</t>
  </si>
  <si>
    <t>The present study was supported by JSPS KAKENHI Grant JP19K14791 and JST CREST Grant JPMJCR1663. The Program of the Antarctic Syowa Mesosphere-Stratosphere-Troposphere/Incoherent Scatter (PANSY) radar is a multi-institutional project with core members from the University of Tokyo, the National Institute of Polar Research, and Kyoto University. The PANSY radar measurements at Syowa Station are performed by the Japanese Antarctic Research Expedition (JARE). Figure 1 was drawn using software developed by the Dennou-Ruby Davis project. Finally, we acknowledge two anonymous reviewers for greatly helping us to improve this manuscript.</t>
  </si>
  <si>
    <t>e2021GL092705</t>
  </si>
  <si>
    <t>10.1029/2021GL092705</t>
  </si>
  <si>
    <t>WOS:000658600300017</t>
  </si>
  <si>
    <t>McCormack, FS; Roberts, JL; Gwyther, DE; Morlighem, M; Pelle, T; Galton-Fenzi, BK</t>
  </si>
  <si>
    <t>McCormack, F. S.; Roberts, J. L.; Gwyther, D. E.; Morlighem, M.; Pelle, T.; Galton-Fenzi, B. K.</t>
  </si>
  <si>
    <t>The Impact of Variable Ocean Temperatures on Totten Glacier Stability and Discharge</t>
  </si>
  <si>
    <t>ice sheet model; ocean variability; Totten Glacier</t>
  </si>
  <si>
    <t>PINE ISLAND GLACIER; ICE FLOW; WEST ANTARCTICA; MASS-LOSS; THWAITES GLACIER; GROUNDING LINE; MELT RATES; RETREAT; SHELF; PARAMETERIZATION</t>
  </si>
  <si>
    <t>A major uncertainty in Antarctica's contribution to future sea-level rise is the ice sheet response timescales to ocean warming. Totten Glacier drains a region containing 3.9 m global sea level equivalent and has been losing mass over recent decades. We use an ice sheet model coupled to an ice-shelf cavity combined ocean box and plume model to investigate Totten's response to variable ocean forcing. Totten's grounding line is stable for a limited range of ocean temperatures near current observations (i.e., -0.95 degrees C to -0.75 degrees C), with topography influencing the discharge periodicity. For increases of &gt;= 0.2 degrees C in temperatures beyond this range, grounding line retreat occurs. Variable ocean forcing can reduce retreat relative to constant forcing, and different variability amplitudes can cause centennial-scale delays in retreat through interactions with topography. Our results highlight the need for long-term ocean state observations and to include forcing variability in ice sheet model simulations of future change.</t>
  </si>
  <si>
    <t>[McCormack, F. S.] Monash Univ, Sch Earth Atmosphere &amp; Environm, Clayton, Vic, Australia; [McCormack, F. S.] Univ Tasmania, Inst Marine &amp; Antartic Studies, Battery Point, Tas, Australia; [Roberts, J. L.; Galton-Fenzi, B. K.] Australian Antarctic Div, Kingston, Tas, Australia; [Roberts, J. L.; Galton-Fenzi, B. K.] Univ Tasmania, Inst Mar &amp; Antarctic Studies, Australian Antarctic Program Partnership, Battery Point, Tas, Australia; [Gwyther, D. E.] Univ Queensland, Ctr Applicat Nat Resource Math, Sch Math &amp; Phys, St Lucia, Qld, Australia; [Morlighem, M.; Pelle, T.] Univ Calif Irvine, Dept Earth Syst Sci, Irvine, CA USA</t>
  </si>
  <si>
    <t>Monash University; University of Tasmania; Australian Antarctic Division; University of Tasmania; University of Queensland; University of California System; University of California Irvine</t>
  </si>
  <si>
    <t>McCormack, FS (corresponding author), Monash Univ, Sch Earth Atmosphere &amp; Environm, Clayton, Vic, Australia.;McCormack, FS (corresponding author), Univ Tasmania, Inst Marine &amp; Antartic Studies, Battery Point, Tas, Australia.</t>
  </si>
  <si>
    <t>felicity.mccormack@monash.edu</t>
  </si>
  <si>
    <t>Morlighem, Mathieu/O-9942-2014; Gwyther, David E/Q-2987-2018; McCormack, Felicity/B-9218-2015</t>
  </si>
  <si>
    <t>Morlighem, Mathieu/0000-0001-5219-1310; Gwyther, David E/0000-0002-7218-2785; McCormack, Felicity/0000-0002-2324-2120; Pelle, Tyler/0000-0002-9772-1730; Galton-Fenzi, Benjamin Keith/0000-0003-1404-4103; Roberts, Jason/0000-0002-3477-4069</t>
  </si>
  <si>
    <t>Australian Research Council's Special Research Initiative for Antarctic Gateway Partnership [SR140300001]; University of California, Irvine, USA; Australian Government</t>
  </si>
  <si>
    <t>Australian Research Council's Special Research Initiative for Antarctic Gateway Partnership(Australian Research Council); University of California, Irvine, USA(University of California System); Australian Government(Australian Government)</t>
  </si>
  <si>
    <t>The authors thank two anonymous reviewers for their constructive comments that greatly improved the manuscript. This study was supported under the Australian Research Council's Special Research Initiative for Antarctic Gateway Partnership (Project ID SR140300001) and conducted by F. S. McCormack as part of a Fulbright Postdoctoral Award at the University of California, Irvine, USA. This study was undertaken with the assistance of resources from the Tasmanian Partnership for Advanced Computing and the National Computational Infrastructure, which is supported by the Australian Government.</t>
  </si>
  <si>
    <t>e2020GL091790</t>
  </si>
  <si>
    <t>10.1029/2020GL091790</t>
  </si>
  <si>
    <t>WOS:000658600300062</t>
  </si>
  <si>
    <t>Purich, A; England, MH</t>
  </si>
  <si>
    <t>Purich, Ariaan; England, Matthew H.</t>
  </si>
  <si>
    <t>Historical and Future Projected Warming of Antarctic Shelf Bottom Water in CMIP6 Models</t>
  </si>
  <si>
    <t>Antarctic shelf bottom water; climate change; CMIP6; Southern Annular Mode; Southern Ocean</t>
  </si>
  <si>
    <t>SOUTHERN-OCEAN CONVECTION; SEA-ICE; CONTINENTAL-SHELF; FRESH-WATER; VARIABILITY; TRANSPORT; RETREAT; DRIVEN; FRONT; EDDY</t>
  </si>
  <si>
    <t>Understanding warming on the Antarctic shelf is critical for projecting changes in Antarctic ice shelves and ice sheets. Here we assess Antarctic Shelf Bottom Water (ASBW) temperature mean-state and trends in CMIP6 models. While CMIP6 models do not resolve ice shelves, future shelf water warming will impact ice shelf vulnerability. The CMIP6 multi-model mean zonal temperature structure and mean-state ASBW spatial pattern resemble observations, although there is considerable spread across the models and a multi-model mean warm bias. The multi-model mean projects an average ASBW warming of 0.36 degrees C (interdecile range 0.07 degrees C-0.60 degrees C) under SSP245 and 0.62 degrees C (interdecile range 0.16 degrees C-0.95 degrees C) under SSP585 by 2100, emphasizing the influence future emissions have on shelf water warming around Antarctica. Changes in the transport of Circumpolar Deep Water onto the shelf associated with changes in the Southern Annular Mode, as well as Circumpolar Deep Water warming, are predicted to conspire to warm ASBW in the future.</t>
  </si>
  <si>
    <t>[Purich, Ariaan; England, Matthew H.] ARC Ctr Excellence Climate Extremes, Sydney, NSW, Australia; [Purich, Ariaan; England, Matthew H.] Univ New South Wales, Climate Change Res Ctr, Sydney, NSW, Australia</t>
  </si>
  <si>
    <t>University of New South Wales Sydney</t>
  </si>
  <si>
    <t>Purich, A (corresponding author), ARC Ctr Excellence Climate Extremes, Sydney, NSW, Australia.;Purich, A (corresponding author), Univ New South Wales, Climate Change Res Ctr, Sydney, NSW, Australia.</t>
  </si>
  <si>
    <t>a.purich@unsw.edu.au</t>
  </si>
  <si>
    <t>England, Matthew/A-7539-2011</t>
  </si>
  <si>
    <t>England, Matthew/0000-0001-9696-2930; Purich, Ariaan/0000-0003-2248-5937</t>
  </si>
  <si>
    <t>Australian Research Council (ARC) [CE17010023]; Australian Government</t>
  </si>
  <si>
    <t>Australian Research Council (ARC)(Australian Research Council); Australian Government(Australian Government)</t>
  </si>
  <si>
    <t>This work was supported by the Australian Research Council (ARC) including the ARC Center of Excellence for Climate Extremes (CE17010023). This research was undertaken with the assistance of resources and services from the National Computational Infrastructure (NCI), which is supported by the Australian Government. Figures were produced using the NCAR Command Language (https://doi.org/10.5065/D6WD3XH5). We also thank the three anonymous reviewers for their helpful comments.</t>
  </si>
  <si>
    <t>e2021GL092752</t>
  </si>
  <si>
    <t>10.1029/2021GL092752</t>
  </si>
  <si>
    <t>WOS:000658600300008</t>
  </si>
  <si>
    <t>Dayan, H; Le Cozannet, G; Speich, S; Thiéblemont, R</t>
  </si>
  <si>
    <t>Dayan, Hugo; Le Cozannet, Goneri; Speich, Sabrina; Thieblemont, Remi</t>
  </si>
  <si>
    <t>High-End Scenarios of Sea-Level Rise for Coastal Risk-Averse Stakeholders</t>
  </si>
  <si>
    <t>sea-level rise; high-end scenario; projections; climate change; coastal areas; risk-averse stakeholders</t>
  </si>
  <si>
    <t>GREENLAND ICE-SHEET; MASS-LOSS; PROJECTIONS; MODEL; UNCERTAINTIES; CLIMATE; IMPRECISION; INFORMATION; VARIABILITY; ASSESSMENTS</t>
  </si>
  <si>
    <t>Sea-level rise (SLR) will be one of the major climate change-induced risks of the 21st century for coastal areas. The large uncertainties of ice sheet melting processes bring in a range of unlikely-but not impossible-high-end sea-level scenarios (HESs). Here, we provide global to regional HESs exploring the tails of the distribution estimates of the different components of sea level. We base our scenarios on high-end physical-based model projections for glaciers, ocean sterodynamic effects, glacial isostatic adjustment and contributions from land-water, and we rely on a recent expert elicitation assessment for Greenland and Antarctic ice-sheets. We consider two future emissions scenarios and three time horizons that are critical for risk-averse stakeholders (2050, 2100, and 2200). We present our results from global to regional scales and highlight HESs spatial divergence and their departure from global HESs through twelve coastal city and island examples. For HESs-A, the global mean-sea level (GMSL) is projected to reach 1.06(1.91) in the low(high) emission scenario by 2100. For HESs-B, GMSL may be higher than 1.69(3.22) m by 2100. As far as 2050, while in most regions SLR may be of the same order of magnitude as GMSL, at local scale where ice-sheets existed during the Last Glacial Maximum, SLR can be far lower than GMSL, as in the Gulf of Finland. Beyond 2050, as sea-level continue to rise under the HESs, in most regions increasing rates of minimum(maximum) HESs are projected at high(low-to-mid) latitudes, close to (far from) ice-sheets, resulting in regional HESs substantially lower(higher) than GMSL. In regions where HESs may be extremely high, some cities in South East Asia such as Manila are even more immediately affected by coastal subsidence, which causes relative sea-level changes that exceed our HESs by one order of magnitude in some sectors.</t>
  </si>
  <si>
    <t>[Dayan, Hugo; Speich, Sabrina] Sorbonne Univ, PSL Res Univ, Lab Meteorol Dynamique IPSL, Ecole Normale Super,Ecole Polytech,CNRS, Paris, France; [Le Cozannet, Goneri; Thieblemont, Remi] Bur Rech Geol &amp; Minieres, Orleans, France</t>
  </si>
  <si>
    <t>Universite PSL; Ecole Normale Superieure (ENS); Centre National de la Recherche Scientifique (CNRS); Sorbonne Universite; Bureau de Recherches Geologiques et Minieres (BRGM)</t>
  </si>
  <si>
    <t>Dayan, H (corresponding author), Sorbonne Univ, PSL Res Univ, Lab Meteorol Dynamique IPSL, Ecole Normale Super,Ecole Polytech,CNRS, Paris, France.</t>
  </si>
  <si>
    <t>Hugo.dayan@lmd.ens.fr</t>
  </si>
  <si>
    <t>Thiéblemont, Rémi/P-4777-2018; Speich, Sabrina/L-3780-2014</t>
  </si>
  <si>
    <t>Thiéblemont, Rémi/0000-0003-0160-2276; Speich, Sabrina/0000-0002-5452-8287</t>
  </si>
  <si>
    <t>CNRS; UPMC; Labex L-IPSL [ANR-10-LABX-0018]; European FP7 IS-ENES2 project [312979]; French Ministry for an Ecological and Solidary Transition; ANR Storisk project [ANR-15-CE03-0003]; Agence Nationale de la Recherche (ANR) [ANR-15-CE03-0003] Funding Source: Agence Nationale de la Recherche (ANR)</t>
  </si>
  <si>
    <t>CNRS(Centre National de la Recherche Scientifique (CNRS)); UPMC; Labex L-IPSL; European FP7 IS-ENES2 project; French Ministry for an Ecological and Solidary Transition; ANR Storisk project(Agence Nationale de la Recherche (ANR)); Agence Nationale de la Recherche (ANR)(Agence Nationale de la Recherche (ANR))</t>
  </si>
  <si>
    <t>This study benefited from the IPSL Prodiguer-Ciclad facility is supported by CNRS, UPMC, Labex L-IPSL (Grant #ANR-10LABX-0018), and the European FP7 IS-ENES2 project (Grant #312979). This study was supported by a grant from the French Ministry for an Ecological and Solidary Transition as part of the Convention on financial support for climate services and the ANR Storisk project (ANR-15-CE03-0003).</t>
  </si>
  <si>
    <t>10.3389/fmars.2021.569992</t>
  </si>
  <si>
    <t>SO7TN</t>
  </si>
  <si>
    <t>WOS:000659178200001</t>
  </si>
  <si>
    <t>Wright, SR; Righton, D; Naulaerts, J; Schallert, RJ; Griffiths, CA; Chapple, T; Madigan, D; Laptikhovsky, V; Bendall, V; Hobbs, R; Beare, D; Clingham, E; Block, B; Collins, MA</t>
  </si>
  <si>
    <t>Wright, Serena R.; Righton, David; Naulaerts, Joachim; Schallert, Robert J.; Griffiths, Chris A.; Chapple, Taylor; Madigan, Daniel; Laptikhovsky, Vladimir; Bendall, Victoria; Hobbs, Rhys; Beare, Doug; Clingham, Elizabeth; Block, Barbara; Collins, Martin A.</t>
  </si>
  <si>
    <t>Yellowfin Tuna Behavioural Ecology and Catchability in the South Atlantic: The Right Place at the Right Time (and Depth)</t>
  </si>
  <si>
    <t>satellite tags; archival tags; acceleration; fast-start; tagging-internal tag</t>
  </si>
  <si>
    <t>THUNNUS-ALBACARES; HABITAT UTILIZATION; HORIZONTAL MOVEMENTS; DIVING BEHAVIOR; PACIFIC-OCEAN; SHARKS; PREFERENCES; PERFORMANCE; PATTERNS; ISLANDS</t>
  </si>
  <si>
    <t>The yellowfin tuna (Thunnus albacares: YFT) is a widely distributed, migratory species that supports valuable commercial fisheries. Landings of YFT are seasonally and spatially variable, reflecting changes in their availability and accessibility to different fleets and metiers which, in turn, has implications for sustainable management. Understanding the dynamics of YFT behaviour and how it is affected by biological and ecological factors is therefore of consequence to fisheries management design. Archival and pop-up satellite tags (PSAT) were used in the South Atlantic Ocean around St Helena between 2015 and 2020 to collect information on the movements, foraging and locomotory behaviour of YFT. The study aimed to (1) identify vertical behaviour of YFT within St Helena's EEZ; (2) assess the timing and depth of potential feeding events and (3) to use the information to inform on the catchability of YFT to the local pole and line fishing fleet. Results indicate that the YFT daytime behaviour shifted between shallow with high incidence of fast starts in surface waters in summer months (December to April), to deep with high incidence of strikes at depth in colder months (May to November). Catchability of YFT was significantly reduced between May and November as YFT spent more time at depths below 100 m during the day, which coincides with a reduction in the quantity of YFT caught by the inshore fleet.</t>
  </si>
  <si>
    <t>[Wright, Serena R.; Righton, David; Griffiths, Chris A.; Laptikhovsky, Vladimir; Bendall, Victoria] Ctr Environm Fisheries &amp; Aquaculture Sci, Lowestoft, Suffolk, England; [Naulaerts, Joachim; Hobbs, Rhys] St Helena Govt, Environm Nat Resources &amp; Planning Portfolio, Marine &amp; Fisheries Conservat Sect, Jamestown, St Helena; [Schallert, Robert J.; Chapple, Taylor; Madigan, Daniel; Block, Barbara] Stanford Univ, Hopkins Marine Stn, Tuna Res &amp; Conservat Ctr, Pacific Grove, CA 93950 USA; [Griffiths, Chris A.] Univ Sheffield, Dept Anim &amp; Plant Sci, Sheffield, S Yorkshire, England; [Chapple, Taylor] Oregon State Univ, Hatfield Marine Sci Ctr, Newport, OR USA; [Beare, Doug] ICCAT Secretariat, Madrid, Spain; [Clingham, Elizabeth] Foreign Commonwealth &amp; Dev Off, Jamestown, St Helena; [Collins, Martin A.] British Antarctic Survey, NERC, Cambridge, England</t>
  </si>
  <si>
    <t>Centre for Environment Fisheries &amp; Aquaculture Science; Stanford University; University of Sheffield; Oregon State University; UK Research &amp; Innovation (UKRI); Natural Environment Research Council (NERC); NERC British Antarctic Survey</t>
  </si>
  <si>
    <t>Wright, SR (corresponding author), Ctr Environm Fisheries &amp; Aquaculture Sci, Lowestoft, Suffolk, England.</t>
  </si>
  <si>
    <t>serena.wright@cefas.co.uk</t>
  </si>
  <si>
    <t>Griffiths, Christopher Alan/AAG-9251-2019; Righton, David/D-6140-2013; , Martin/ABE-6728-2020</t>
  </si>
  <si>
    <t>Griffiths, Christopher Alan/0000-0001-7203-0426; , Martin/0000-0001-7132-8650; Wright, Serena/0000-0003-4912-1455; Righton, David/0000-0001-8643-3672; Naulaerts, Joachim/0000-0003-0468-1563</t>
  </si>
  <si>
    <t>Blue Belt Programme, UK Government Darwin Plus Initiative [DPLUS039]; Atlantic Ocean Tuna Tagging Programme (AOTTP); NERC [NE/T012439/1, bas0100035] Funding Source: UKRI</t>
  </si>
  <si>
    <t>Blue Belt Programme, UK Government Darwin Plus Initiative; Atlantic Ocean Tuna Tagging Programme (AOTTP); NERC(UK Research &amp; Innovation (UKRI)Natural Environment Research Council (NERC))</t>
  </si>
  <si>
    <t>Funding was provided through the Blue Belt Programme, UK Government Darwin Plus Initiative (DPLUS039) , and the Atlantic Ocean Tuna Tagging Programme (AOTTP) with support from the Cefas manuscript writing budget.</t>
  </si>
  <si>
    <t>10.3389/fmars.2021.664593</t>
  </si>
  <si>
    <t>SO7TJ</t>
  </si>
  <si>
    <t>WOS:000659177800001</t>
  </si>
  <si>
    <t>Sydeman, WJ; Schoeman, DS; Thompson, SA; Hoover, BA; García-Reyes, M; Daunt, F; Agnew, P; Anker-Nilssen, T; Barbraud, C; Barrett, R; Becker, PH; Bell, E; Boersma, PD; Bouwhuis, S; Cannell, B; Crawford, RJM; Dann, P; Delord, K; Elliott, G; Erikstad, KE; Flint, E; Furness, RW; Harris, MP; Hatch, S; Hilwig, K; Hinke, JT; Jahncke, J; Mills, JA; Reiertsen, TK; Renner, H; Sherley, RB; Surman, C; Taylor, G; Thayer, JA; Trathan, PN; Velarde, E; Walker, K; Wanless, S; Warzybok, P; Watanuki, Y</t>
  </si>
  <si>
    <t>Sydeman, W. J.; Schoeman, D. S.; Thompson, S. A.; Hoover, B. A.; Garcia-Reyes, M.; Daunt, F.; Agnew, P.; Anker-Nilssen, T.; Barbraud, C.; Barrett, R.; Becker, P. H.; Bell, E.; Boersma, P. D.; Bouwhuis, S.; Cannell, B.; Crawford, R. J. M.; Dann, P.; Delord, K.; Elliott, G.; Erikstad, K. E.; Flint, E.; Furness, R. W.; Harris, M. P.; Hatch, S.; Hilwig, K.; Hinke, J. T.; Jahncke, J.; Mills, J. A.; Reiertsen, T. K.; Renner, H.; Sherley, R. B.; Surman, C.; Taylor, G.; Thayer, J. A.; Trathan, P. N.; Velarde, E.; Walker, K.; Wanless, S.; Warzybok, P.; Watanuki, Y.</t>
  </si>
  <si>
    <t>Hemispheric asymmetry in ocean change and the productivity of ecosystem sentinels</t>
  </si>
  <si>
    <t>CLIMATE-CHANGE; MARINE; FISHERIES; SEABIRDS; SEA; TEMPERATURE; POPULATION; INDICATORS; RESPONSES; ISLAND</t>
  </si>
  <si>
    <t>Climate change and other human activities are causing profound effects on marine ecosystem productivity. We show that the breeding success of seabirds is tracking hemispheric differences in ocean warming and human impacts, with the strongest effects on fish-eating, surface-foraging species in the north. Hemispheric asymmetry suggests the need for ocean management at hemispheric scales. For the north, tactical, climate-based recovery plans for forage fish resources are needed to recover seabird breeding productivity. In the south, lower-magnitude change in seabird productivity presents opportunities for strategic management approaches such as large marine protected areas to sustain food webs and maintain predator productivity. Global monitoring of seabird productivity enables the detection of ecosystem change in remote regions and contributes to our understanding of marine climate impacts on ecosystems.</t>
  </si>
  <si>
    <t>[Sydeman, W. J.; Thompson, S. A.; Garcia-Reyes, M.; Thayer, J. A.] Farallon Inst, Petaluma, CA 94952 USA; [Schoeman, D. S.] Univ Sunshine Coast, Sch Sci Technol &amp; Engn, Global Change Ecol Res Grp, Sippy Downs, Qld, Australia; [Schoeman, D. S.] Nelson Mandela Univ, Ctr African Conservat Ecol, Dept Zool, Gqeberha, South Africa; [Hoover, B. A.] Chapman Univ, Orange, CA USA; [Daunt, F.; Harris, M. P.; Wanless, S.] UK Ctr Ecol &amp; Hydrol, Bush Estate, Penicuik, Midlothian, Scotland; [Agnew, P.] Oamaru Blue Penguin Colony, Oamaru, New Zealand; [Anker-Nilssen, T.] Norwegian Inst Nat Res NINA, Trondheim, Norway; [Barbraud, C.; Delord, K.] CNRS UMR7372, Ctr Etud Biol Chize, Villiers En Bois, France; [Barrett, R.] UiT Arctic Univ Norway, Tromso, Norway; [Becker, P. H.; Bouwhuis, S.] Inst Avian Res, Wilhelmshaven, Germany; [Bell, E.] Wildlife Management Int, Blenheim, New Zealand; [Boersma, P. D.] Univ Washington, Ctr Ecosyst Sentinels, Dept Biol, Seattle, WA 98195 USA; [Cannell, B.] Murdoch Univ, Murdoch, WA, Australia; [Cannell, B.] Univ Western Australia, Perth, WA, Australia; [Crawford, R. J. M.] Dept Environm Forestry &amp; Fisheries, Cape Town, South Africa; [Dann, P.] Phillip Isl Nat Pk, Cowes, Vic, Australia; [Elliott, G.; Taylor, G.; Walker, K.] New Zealand Dept Conservat, Wellington, New Zealand; [Erikstad, K. E.; Reiertsen, T. K.] FRAM Ctr, Norwegian Inst Nat Res NINA, Tromso, Norway; [Erikstad, K. E.] Norwegian Univ Sci &amp; Technol NTNU, Ctr Biodivers Dynam CBD, Trondheim, Norway; [Flint, E.] US Fish &amp; Wildlife Serv, Honolulu, HI USA; [Furness, R. W.] Univ Glasgow, Glasgow, Lanark, Scotland; [Hatch, S.] Inst Seabird Res &amp; Conservat, Anchorage, AK USA; [Hilwig, K.; Renner, H.] US Fish &amp; Wildlife Serv, Anchorage, AK USA; [Hinke, J. T.] NOAA, Antarctic Ecosyst Res Div, Southwest Fisheries Sci Ctr, Natl Marine Fisheries Serv, La Jolla, CA USA; [Jahncke, J.; Warzybok, P.] Point Blue Conservat Sci, Petaluma, CA USA; [Sherley, R. B.] Univ Exeter, Ctr Ecol &amp; Conservat, Penryn, Cornwall, England; [Surman, C.] Halfmoon Biosci, Ocean Beach, WA, Australia; [Trathan, P. N.] British Antarctic Survey, Cambridge, England; [Velarde, E.] Univ Veracruzana, Xalapa, Veracruz, Mexico; [Watanuki, Y.] Hokkaido Univ, Hakodate, Hokkaido, Japan</t>
  </si>
  <si>
    <t>University of the Sunshine Coast; Nelson Mandela University; Chapman University System; Chapman University; UK Centre for Ecology &amp; Hydrology (UKCEH); Norwegian Institute Nature Research; Centre National de la Recherche Scientifique (CNRS); CNRS - Institute of Ecology &amp; Environment (INEE); UiT The Arctic University of Tromso; University of Washington; University of Washington Seattle; Murdoch University; University of Western Australia; Norwegian Institute Nature Research; Norwegian University of Science &amp; Technology (NTNU); United States Department of the Interior; US Fish &amp; Wildlife Service; University of Glasgow; United States Department of the Interior; US Fish &amp; Wildlife Service; National Oceanic Atmospheric Admin (NOAA) - USA; University of Exeter; UK Research &amp; Innovation (UKRI); Natural Environment Research Council (NERC); NERC British Antarctic Survey; Universidad Veracruzana; Hokkaido University</t>
  </si>
  <si>
    <t>Sydeman, WJ (corresponding author), Farallon Inst, Petaluma, CA 94952 USA.</t>
  </si>
  <si>
    <t>wsydeman@faralloninstitute.org</t>
  </si>
  <si>
    <t>Barbraud, Christophe/A-5870-2012; Anker-Nilssen, Tycho/AAB-7666-2022; Sherley, Richard B/D-7507-2012; Daunt, Francis/K-6688-2012</t>
  </si>
  <si>
    <t>Barbraud, Christophe/0000-0003-0146-212X; Anker-Nilssen, Tycho/0000-0002-1030-5524; Sherley, Richard B/0000-0001-7367-9315; Boersma, Dee/0000-0002-8644-6059; Garcia-Reyes, Marisol/0000-0001-7784-2933; Schoeman, David/0000-0003-1258-0885; Daunt, Francis/0000-0003-4638-3388; Cannell, Belinda/0000-0001-9214-8958; Jahncke, Jaime/0000-0002-2896-6101; Hoover, Brian/0000-0003-1603-6932</t>
  </si>
  <si>
    <t>NERC [NE/R016429/1, bas0100035] Funding Source: UKRI</t>
  </si>
  <si>
    <t>10.1126/science.abf1772</t>
  </si>
  <si>
    <t>SK7YO</t>
  </si>
  <si>
    <t>WOS:000656432400050</t>
  </si>
  <si>
    <t>He, J; Thomson, SN; Reiners, PW; Hemming, SR; Licht, KJ</t>
  </si>
  <si>
    <t>He, John; Thomson, Stuart N.; Reiners, Peter W.; Hemming, Sidney R.; Licht, Kathy J.</t>
  </si>
  <si>
    <t>Rapid erosion of the central Transantarctic Mountains at the Eocene-Oligocene transition: Evidence from skewed (U-Th)/He date distributions near Beardmore Glacier</t>
  </si>
  <si>
    <t>apatite helium thermochronology; overdispersion; East Antarctic ice sheet; subglacial landscape; glacial erosion</t>
  </si>
  <si>
    <t>MIOCENE BOUNDARY; APATITE; THERMOCHRONOLOGY; ANTARCTICA; TOPOGRAPHY; EVOLUTION; HISTORY; FJORDS; DAMAGE</t>
  </si>
  <si>
    <t>Apatite (U-Th)/He thermochronology has the potential to reconstruct records of erosional exhumation that are critical to understanding interactions between climate, tectonics, and the cryosphere at high latitudes on million-year timescales. However this approach is often hindered by the problem of intrasample single-grain date dispersion. Here we present an extensive new apatite (U-Th)/He dataset (n = 361) from the central Transantarctic Mountains of East Antarctica between 160 degrees E to 170 degrees W and 84 to 86 degrees S, and show that apparently uninterpretable data in most samples are a reflection of inadequate sampling of skewed date distributions. We outline a workflow for interpreting such dispersed data and demonstrate that geologically meaningful age interpretations are possible in the case of rapidly cooled samples, despite the wide array of potential causes for date dispersion. We show that for samples and compilations with a large number of single-grain analyses (n &gt;similar to 25), the youngest probability distribution peak represents the most likely time of fast cooling through the apatite (U-Th)/He closure temperature. When fewer grains are analyzed, the youngest peak is represented best by the minimum date or first quartile date, depending on sample size. Using this workflow, we show that since the latest Eocene, up to 8.8 km of exhumation occurred to incise the deepest point of the Beardmore Glacier trough. Rapid incision began at c. 37-34 Ma (at the latest by 34 +/- 3 Ma), coinciding with or slightly preceding the initiation of Antarctic glaciation at the Eocene-Oligocene transition, and contributed to at least 2.6 km of exhumation within the first 3-6 million years, at an apparent exhumation rate of no less than 0.4 mm/a. (C) 2021 Elsevier B.V. All rights reserved.</t>
  </si>
  <si>
    <t>[He, John; Thomson, Stuart N.; Reiners, Peter W.] Univ Arizona, Dept Geosci, Tucson, AZ 85721 USA; [Hemming, Sidney R.] Columbia Univ, Lamont Doherty Earth Observ, Palisades, NY 10964 USA; [Licht, Kathy J.] Indiana Univ Purdue Univ, Dept Earth Sci, Indianapolis, IN 46202 USA</t>
  </si>
  <si>
    <t>University of Arizona; Columbia University; Indiana University System; Indiana University-Purdue University Indianapolis</t>
  </si>
  <si>
    <t>He, J (corresponding author), Univ Arizona, Dept Geosci, Tucson, AZ 85721 USA.</t>
  </si>
  <si>
    <t>johnhe@arizona.edu</t>
  </si>
  <si>
    <t>Thomson, Stuart/A-1222-2009</t>
  </si>
  <si>
    <t>Thomson, Stuart/0000-0003-4331-5654; Hemming, Sidney/0000-0001-8117-2303; Licht, Kathy/0000-0002-2233-2853; /0000-0001-7886-1212</t>
  </si>
  <si>
    <t>NSF Office of Polar Program (OPP) award [1443556, 1043572, 1443565]; John Mason Clarke 1877 fellowship; NSF-OPP awards [1543501, 1810976, 1542736, 1559691, 1043681, 1541332, 0753663, 1548562, 1238993]; NASA award [NNX10AN61G]; Blue Waters Innovation Initiative; National Science Foundation [OPP-1643713]; NASA [127993, NNX10AN61G] Funding Source: Federal RePORTER; Office of Advanced Cyberinfrastructure (OAC); Direct For Computer &amp; Info Scie &amp; Enginr [1541332, 1810976] Funding Source: National Science Foundation; Office of Polar Programs (OPP); Directorate For Geosciences [1043572, 1443556, 1443565] Funding Source: National Science Foundation</t>
  </si>
  <si>
    <t>NSF Office of Polar Program (OPP) award; John Mason Clarke 1877 fellowship; NSF-OPP awards(National Science Foundation (NSF)); NASA award; Blue Waters Innovation Initiative; National Science Foundation(National Science Foundation (NSF)); NASA(National Aeronautics &amp; Space Administration (NASA)); Office of Advanced Cyberinfrastructure (OAC); Direct For Computer &amp; Info Scie &amp; Enginr(National Science Foundation (NSF)NSF - Directorate for Computer &amp; Information Science &amp; Engineering (CISE)); Office of Polar Programs (OPP); Directorate For Geosciences(National Science Foundation (NSF)NSF - Directorate for Geosciences (GEO))</t>
  </si>
  <si>
    <t>We thank Christine Kassab for the contribution of additional data (samples PRR-26003, 5862, 29990, 6120, 34583), and Uttam Chowdhury and Alex Pritika for assistance with apatite He analyses. We are grateful to the U.S. Antarctic Program staff, mountaineer Dennis Haskell, pilots from PHI, and the Shackleton Deep Field Camp staff for field assistance. This work was supported by NSF Office of Polar Program (OPP) award 1443556 (Thomson and Reiners), 1043572 (Licht), 1443565 (Hemming), and the John Mason Clarke 1877 fellowship (He). Aerial photograph and DEM were made available by the Polar Geospatial Center, supported by NSF-OPP awards 1543501, 1810976, 1542736, 1559691, 1043681, 1541332, 0753663, 1548562, 1238993, NASA award NNX10AN61G, the Blue Waters Innovation Initiative, and data from DigitalGlobe, Inc. Polar Rock Repository samples were provided by the Byrd Polar and Climate Research Center with support from the National Science Foundation, under Cooperative Agreement OPP-1643713.</t>
  </si>
  <si>
    <t>10.1016/j.epsl.2021.117009</t>
  </si>
  <si>
    <t>SP1XP</t>
  </si>
  <si>
    <t>WOS:000659467000014</t>
  </si>
  <si>
    <t>Song, BG; Song, IS; Chun, HY; Lee, C; Kam, H; Kim, YH; Kang, MJ; Hindley, NP; Mitchell, NJ</t>
  </si>
  <si>
    <t>Song, B-G; Song, I-S; Chun, H-Y; Lee, C.; Kam, H.; Kim, Y. H.; Kang, M-J; Hindley, N. P.; Mitchell, N. J.</t>
  </si>
  <si>
    <t>Activities of Small-Scale Gravity Waves in the Upper Mesosphere Observed From Meteor Radar at King Sejong Station, Antarctica (62.22°S, 58.78°W) and Their Potential Sources</t>
  </si>
  <si>
    <t>Antarctica; gravity waves; meteor radar; MLT; upper mesosphere</t>
  </si>
  <si>
    <t>MOMENTUM FLUX; PART I; LIDAR OBSERVATIONS; LOWER THERMOSPHERE; SEASONAL-VARIATIONS; MESOPAUSE REGION; UPPER-ATMOSPHERE; UNBALANCED FLOW; SECONDARY WAVES; MOUNTAIN WAVES</t>
  </si>
  <si>
    <t>Gravity wave (GW) activities in the upper mesosphere (80-100 km) and their potential sources are investigated using meteor radar observations at King Sejong Station, Antarctica (KSS; 62.22 degrees S, 58.78 degrees W) during recent 14 years (2007-2020). GW activities are estimated by horizontal wind variances of small-scale GWs (periods &lt;2 h, horizontal wavelength &lt;400 km, or vertical wavelength &lt;3-5 km). The wind variances show clear semiannual variations with maxima at solstices, and annual variations are also seen above z = 90 km. The deseasonalized wind variances at z = 96.8 km have a statistically significant periodicity of similar to 11 years that can be associated with solar cycle variations. Three major potential GW sources in the lower atmosphere are examined. Orography is a potential source of GWs in winter and autumn, when the basic-state wind is westerly from the surface up to the mesosphere. The residual of the nonlinear balance equation (RNBE) at 5 hPa, a diagnostic of the GWs associated with jet stream, is the largest in winter and has a secondary maximum in spring. The correlation between the observed GWs and RNBE is significant in equinoxes, while correlation is low in winter. Deep convection in storm tracks is a potential source in autumn and winter. Secondary GWs generated in the mesosphere can also be observed in the upper mesosphere. Ray-tracing analysis for airglow images observed at KSS indicates that secondary GWs are mostly generated in winter mesosphere, which may be associated with the breaking of orographic GWs.</t>
  </si>
  <si>
    <t>[Song, B-G; Lee, C.] Korea Polar Res Inst, Incheon, South Korea; [Song, I-S; Chun, H-Y; Kang, M-J] Yonsei Univ, Dept Atmospher Sci, Seoul, South Korea; [Kam, H.] Korea Astron &amp; Space Sci Inst, Daejeon, South Korea; [Kim, Y. H.] Chungnam Natl Univ, Dept Astron Space Sci &amp; Geol, Daejeon, South Korea; [Hindley, N. P.; Mitchell, N. J.] Univ Bath, Ctr Space Atmospher &amp; Ocean Sci, Bath, Avon, England; [Mitchell, N. J.] British Antarctic Survey, Cambridge, England</t>
  </si>
  <si>
    <t>Korea Polar Research Institute (KOPRI); Yonsei University; Korea Astronomy &amp; Space Science Institute (KASI); Chungnam National University; University of Bath; UK Research &amp; Innovation (UKRI); Natural Environment Research Council (NERC); NERC British Antarctic Survey</t>
  </si>
  <si>
    <t>Chun, HY (corresponding author), Yonsei Univ, Dept Atmospher Sci, Seoul, South Korea.</t>
  </si>
  <si>
    <t>chunhy@yonsei.ac.kr</t>
  </si>
  <si>
    <t>Chun, Hye-Yeong/AAA-6249-2019; Kim, Yong Ha/AAS-9908-2021; Song, In-Sun/KCK-5485-2024</t>
  </si>
  <si>
    <t>Song, In-Sun/0000-0001-7211-6035; Kim, Yongha/0000-0003-0200-9423; Song, Byeong-Gwon/0000-0003-1252-3231; Hindley, Neil/0000-0003-4377-2038; Mitchell, Nicholas/0000-0003-1149-8484; Kang, Min-Jee/0000-0001-6496-7681</t>
  </si>
  <si>
    <t>Korea Polar Research Institute (KOPRI) [PE19020/PE20100/PE21020]</t>
  </si>
  <si>
    <t>Korea Polar Research Institute (KOPRI)(Korea Polar Research Institute of Marine Research Placement (KOPRI))</t>
  </si>
  <si>
    <t>This work was supported by Korea Polar Research Institute (KOPRI, PE19020/PE20100/PE21020). The authors would like to thank to two anonymous reviewers and the editor for their valuable comments and suggestions.</t>
  </si>
  <si>
    <t>MAY 27</t>
  </si>
  <si>
    <t>e2021JD034528</t>
  </si>
  <si>
    <t>10.1029/2021JD034528</t>
  </si>
  <si>
    <t>SL5LU</t>
  </si>
  <si>
    <t>WOS:000656960400013</t>
  </si>
  <si>
    <t>Patterson, JD; Saltzman, ES</t>
  </si>
  <si>
    <t>Patterson, John D.; Saltzman, Eric S.</t>
  </si>
  <si>
    <t>Diffusivity and Solubility of H2 in Ice Ih: Implications for the Behavior of H2 in Polar Ice</t>
  </si>
  <si>
    <t>atmospheric chemistry; gas physical properties; ice cores; paleoatmosphere</t>
  </si>
  <si>
    <t>MOLECULAR-DIFFUSION; ANTARCTIC ICE; HYDROGEN; AIR; HELIUM; FIRN; PRESSURES; METHANE; BUBBLE; GASES</t>
  </si>
  <si>
    <t>Reconstructions of paleoatmospheric H-2 using polar firn air and ice cores would lead to a better understanding of the H-2 biogeochemical cycle and how it is influenced by climate change and human activity. In this study, the permeability, diffusivity, and solubility of H-2 are determined experimentally in ice Ih at temperatures relevant to polar ice sheets (199-253 K). The experimental data are used in conjunction with simplified diffusion models to assess the implications for: (a) Diffusion of H-2 from pressurized closed bubbles to open pores in polar firn, (b) diffusive smoothing of H-2 gradients in the ice sheet, and (c) post-coring diffusive losses of H-2 from ice core samples. The results indicate that diffusive equilibrium between open and closed pores is likely achieved in the firn lock-in zone. Diffusive smoothing of atmospheric variations is significant and should be accounted for in atmospheric reconstructions on millennial time scales. Diffusive losses from a bubbly ice sample are sufficiently slow that samples may be meaningfully analyzed for H-2 after storage on the order of a year. These results suggest that the mobility of H-2 in ice should not preclude the reconstruction of paleoatmospheric H-2 from firn air and ice cores.</t>
  </si>
  <si>
    <t>[Patterson, John D.; Saltzman, Eric S.] Univ Calif Irvine, Dept Earth Syst Sci, Irvine, CA 92717 USA</t>
  </si>
  <si>
    <t>University of California System; University of California Irvine</t>
  </si>
  <si>
    <t>Patterson, JD (corresponding author), Univ Calif Irvine, Dept Earth Syst Sci, Irvine, CA 92717 USA.</t>
  </si>
  <si>
    <t>jdpatter@uci.edu</t>
  </si>
  <si>
    <t>Patterson, John/0000-0001-5527-9553</t>
  </si>
  <si>
    <t>NSF Antarctic Glaciology program [OPP-1907974]</t>
  </si>
  <si>
    <t>NSF Antarctic Glaciology program(National Science Foundation (NSF)NSF - Directorate for Geosciences (GEO))</t>
  </si>
  <si>
    <t>The authors wish to thank Cyril McCormick and Armando Vilchez for their work in building the temperature control system. This manuscript benefitted greatly from the comments of two anonymous reviewers. This research was supported by the NSF Antarctic Glaciology program (OPP-1907974).</t>
  </si>
  <si>
    <t>e2020JD033840</t>
  </si>
  <si>
    <t>10.1029/2020JD033840</t>
  </si>
  <si>
    <t>SL5LZ</t>
  </si>
  <si>
    <t>WOS:000656960900012</t>
  </si>
  <si>
    <t>Vanková, I</t>
  </si>
  <si>
    <t>Vankova, Irena</t>
  </si>
  <si>
    <t>Calving prediction from ice melange motion</t>
  </si>
  <si>
    <t>News Item</t>
  </si>
  <si>
    <t>[Vankova, Irena] British Antarctic Survey, Cambridge, England</t>
  </si>
  <si>
    <t>Vanková, I (corresponding author), British Antarctic Survey, Cambridge, England.</t>
  </si>
  <si>
    <t>irkova@bas.ac.uk</t>
  </si>
  <si>
    <t>NERC [bas0100033] Funding Source: UKRI</t>
  </si>
  <si>
    <t>10.1038/s41561-021-00752-x</t>
  </si>
  <si>
    <t>SO2YI</t>
  </si>
  <si>
    <t>WOS:000655717900001</t>
  </si>
  <si>
    <t>Alexander, KA; Fleming, A; Bax, N; Garcia, C; Jansen, J; Maxwell, KH; Melbourne-Thomas, J; Mustonen, T; Pecl, GT; Shaw, J; Syme, G; Ogier, E</t>
  </si>
  <si>
    <t>Alexander, K. A.; Fleming, A.; Bax, N.; Garcia, C.; Jansen, J.; Maxwell, K. H.; Melbourne-Thomas, J.; Mustonen, T.; Pecl, G. T.; Shaw, J.; Syme, G.; Ogier, E.</t>
  </si>
  <si>
    <t>Equity of our future oceans: practices and outcomes in marine science research</t>
  </si>
  <si>
    <t>Equity; Sustainability; Oceans governance; Resource use</t>
  </si>
  <si>
    <t>INEQUALITY; JUSTICE; KNOWLEDGE; DIVERSITY; FISHERIES</t>
  </si>
  <si>
    <t>The United Nations Sustainable Development Goals (SDGs) aspire to a society where ways to improve inclusivity and diversity of equity are actively explored. Here, we examine how equity is considered in a suite of papers that explored possible sustainable futures for the oceans, and mapped out pathways to achieve these futures. Our analysis revealed that a large range of equity issues were recognised and considered, in outcome-based (i.e. distributive), process-based (i.e. procedural) and concept (i.e. contextual) dimensions. However, often, the equity problem was not explicitly stated. Rather it was implied through the action pathway identified to move towards a more sustainable future, highlighting that reducing inequity is interlinked with improving sustainability. Based on these findings, we reflect on the way equity is conceptualised and considered within this work as well as futures science for the oceans more broadly. A key lesson learnt is that science and knowledge production are immediate areas where we can work to improve equity. We can build capacity to understand and include equity issues. We can develop mechanisms to be more inclusive and diverse. We can also critically reflect on our own practices to fundamentally challenge how we work and think in the space of marine science research.</t>
  </si>
  <si>
    <t>[Alexander, K. A.; Fleming, A.; Bax, N.; Garcia, C.; Jansen, J.; Pecl, G. T.; Shaw, J.; Syme, G.; Ogier, E.] Univ Tasmania, Ctr Marine Socioecol, Hobart, Tas 7001, Australia; [Alexander, K. A.; Bax, N.; Garcia, C.; Jansen, J.; Pecl, G. T.; Shaw, J.; Ogier, E.] Univ Tasmania, Inst Marine &amp; Antarctic Studies, Private Bag 49, Hobart, Tas 7001, Australia; [Fleming, A.; Syme, G.] CSIRO, Land &amp; Water, Hobart, Tas 7001, Australia; [Maxwell, K. H.] Univ Waikato, Te Kotahi Res Inst, Hamilton, New Zealand; [Melbourne-Thomas, J.] CSIRO, Oceans &amp; Atmosphere, Hobart, Tas 7001, Australia; [Mustonen, T.] Snowchange Cooperat, Selkie, Finland</t>
  </si>
  <si>
    <t>University of Tasmania; University of Tasmania; Commonwealth Scientific &amp; Industrial Research Organisation (CSIRO); University of Waikato; Commonwealth Scientific &amp; Industrial Research Organisation (CSIRO)</t>
  </si>
  <si>
    <t>Alexander, KA (corresponding author), Univ Tasmania, Ctr Marine Socioecol, Hobart, Tas 7001, Australia.</t>
  </si>
  <si>
    <t>karen.alexander@utas.edu.au</t>
  </si>
  <si>
    <t>Fleming, Aysha/E-8753-2011; Pecl, Gretta/D-7267-2011; Melbourne-Thomas, Jess/N-2437-2019; Alexander, Karen/O-7042-2017; Jansen, Jan/O-8632-2014</t>
  </si>
  <si>
    <t>Fleming, Aysha/0000-0001-9895-1928; Pecl, Gretta/0000-0003-0192-4339; Melbourne-Thomas, Jess/0000-0001-6585-876X; Ogier, Emily/0000-0001-6157-5279; Alexander, Karen/0000-0001-8801-413X; Jansen, Jan/0000-0001-5896-365X</t>
  </si>
  <si>
    <t>Research Enhancement Program grant from the University of Tasmania</t>
  </si>
  <si>
    <t>The research leading to these results received funding from a Research Enhancement Program grant from the University of Tasmania.</t>
  </si>
  <si>
    <t>10.1007/s11160-021-09661-z</t>
  </si>
  <si>
    <t>WOS:000655547400001</t>
  </si>
  <si>
    <t>Fan, LL; Shen, SG; Chen, YY</t>
  </si>
  <si>
    <t>Fan, Lili; Shen, Shuge; Chen, Yingying</t>
  </si>
  <si>
    <t>A cylindrical coordinates approach concerning the Antarctic Circumpolar Current</t>
  </si>
  <si>
    <t>MONATSHEFTE FUR MATHEMATIK</t>
  </si>
  <si>
    <t>Antarctic Circumpolar Current; Variable density; Azimuthal flows; Cylindrical coordinates</t>
  </si>
  <si>
    <t>STRATIFIED EQUATORIAL FLOWS; PURELY AZIMUTHAL FLOW; FREE-SURFACE; WAVES; MODEL; EQUATION; STEADY</t>
  </si>
  <si>
    <t>In this paper, we are devoted to devising an exact solution to the governing equations for geophysical fluid dynamics with a general density distribution and subjected to forcing terms in terms of cylindrical coordinates. The obtained explicit solution represents a steady purely azimuthal stratified flow with a free surface that is suitable for describing the Antarctic Circumpolar Current. Resorting to a functional analysis, we demonstrate the relationship between the imposed pressure at the free-surface and the resulting distortion of the surface is well-defined and show that this relationship exhibits the expected monotonicity properties.</t>
  </si>
  <si>
    <t>[Fan, Lili; Shen, Shuge] Henan Normal Univ, Coll Math &amp; Informat Sci, Xinxiang 453007, Henan, Peoples R China; [Chen, Yingying] North China Univ Water Resources &amp; Elect Power, Sch Math &amp; Stat, Zhenghzou 450046, Peoples R China</t>
  </si>
  <si>
    <t>Henan Normal University; North China University of Water Resources &amp; Electric Power</t>
  </si>
  <si>
    <t>Fan, LL (corresponding author), Henan Normal Univ, Coll Math &amp; Informat Sci, Xinxiang 453007, Henan, Peoples R China.</t>
  </si>
  <si>
    <t>fanlily89@126.com; shenge990728@163.com; chenyingying@ncwu.edu.cn</t>
  </si>
  <si>
    <t>LI, Xiang-Yang/JZE-0275-2024; chen, yingying/ABA-6955-2020</t>
  </si>
  <si>
    <t>NSFC [11701155, 41975129]; NSF of Henan Normal University [2021PL04]</t>
  </si>
  <si>
    <t>NSFC(National Natural Science Foundation of China (NSFC)); NSF of Henan Normal University</t>
  </si>
  <si>
    <t>The work of Fan is partially supported by a NSFC Grant No. 11701155 and the NSF of Henan Normal University Grant No. 2021PL04, the work of Chen is supported by a NSFC Grant No. 41975129.</t>
  </si>
  <si>
    <t>SPRINGER WIEN</t>
  </si>
  <si>
    <t>WIEN</t>
  </si>
  <si>
    <t>SACHSENPLATZ 4-6, PO BOX 89, A-1201 WIEN, AUSTRIA</t>
  </si>
  <si>
    <t>0026-9255</t>
  </si>
  <si>
    <t>1436-5081</t>
  </si>
  <si>
    <t>MONATSH MATH</t>
  </si>
  <si>
    <t>Mon.heft. Math.</t>
  </si>
  <si>
    <t>10.1007/s00605-021-01576-y</t>
  </si>
  <si>
    <t>UJ0KZ</t>
  </si>
  <si>
    <t>WOS:000655421000002</t>
  </si>
  <si>
    <t>Butler, AH; Domeisen, DIV</t>
  </si>
  <si>
    <t>Butler, Amy H.; Domeisen, Daniela I. V.</t>
  </si>
  <si>
    <t>The wave geometry of final stratospheric warming events</t>
  </si>
  <si>
    <t>WEATHER AND CLIMATE DYNAMICS</t>
  </si>
  <si>
    <t>SOUTHERN-HEMISPHERE STRATOSPHERE; STATIONARY PLANETARY-WAVES; ANTARCTIC POLAR VORTEX; SUDDEN WARMINGS; INTERANNUAL VARIABILITY; DOWNWARD PROPAGATION; OZONE DEPLETION; SEASONAL CYCLE; LATE WINTER; PREDICTABILITY</t>
  </si>
  <si>
    <t>Every spring, the stratospheric polar vortex transitions from its westerly wintertime state to its easterly summertime state due to seasonal changes in incoming solar radiation, an event known as the final stratospheric warming (FSW). While FSWs tend to be less abrupt than reversals of the boreal polar vortex in midwinter, known as sudden stratospheric warming (SSW) events, their timing and characteristics can be significantly modulated by atmospheric planetary-scale waves. While SSWs are commonly classified according to their wave geometry, either by how the vortex evolves (whether the vortex displaces off the pole or splits into two vortices) or by the dominant wavenumber of the vortex just prior to the SSW (wave-1 vs. wave-2), little is known about the wave geometry of FSW events. We here show that FSW events for both hemispheres in most cases exhibit a clear wave geometry. Most FSWs can be classified into wave-1 or wave-2 events, but wave-3 also plays a significant role in both hemispheres. The timing and classification of the FSW are sensitive to which pressure level the FSW central date is defined, particularly in the Southern Hemisphere (SH) where trends in the FSW dates associated with ozone depletion and recovery are more evident at 50 than 10hPa. However, regardless of which FSW definition is selected, we find the wave geometry of the FSW affects total column ozone anomalies in both hemispheres and tropospheric circulation over North America. In the Southern Hemisphere, the timing of the FSW is strongly linked to both total column ozone before the event and the tropospheric circulation after the event.</t>
  </si>
  <si>
    <t>[Butler, Amy H.] NOAA, Chem Sci Lab, Boulder, CO 80303 USA; [Domeisen, Daniela I. V.] ETH, Inst Atmospher &amp; Climate Sci, Zurich, Switzerland</t>
  </si>
  <si>
    <t>National Oceanic Atmospheric Admin (NOAA) - USA; Swiss Federal Institutes of Technology Domain; ETH Zurich</t>
  </si>
  <si>
    <t>Butler, AH (corresponding author), NOAA, Chem Sci Lab, Boulder, CO 80303 USA.</t>
  </si>
  <si>
    <t>amy.butler@noaa.gov</t>
  </si>
  <si>
    <t>Butler, Amy H/K-6190-2012; Domeisen, Daniela/J-2589-2015</t>
  </si>
  <si>
    <t>Butler, Amy H/0000-0002-3632-0925; Domeisen, Daniela/0000-0002-1463-929X</t>
  </si>
  <si>
    <t>National Science Foundation [1756958]; Swiss National Science Foundation [PP00P2_170523]; Swiss National Science Foundation (SNF) [PP00P2_170523] Funding Source: Swiss National Science Foundation (SNF)</t>
  </si>
  <si>
    <t>National Science Foundation(National Science Foundation (NSF)); Swiss National Science Foundation(Swiss National Science Foundation (SNSF)); Swiss National Science Foundation (SNF)(Swiss National Science Foundation (SNSF))</t>
  </si>
  <si>
    <t>Amy H. Butler has been supported by the National Science Foundation (grant no. 1756958) and Daniela I. V. Domeisen by the Swiss National Science Foundation (grant no. PP00P2_170523).</t>
  </si>
  <si>
    <t>2698-4016</t>
  </si>
  <si>
    <t>WEATHER CLIM DYNAM</t>
  </si>
  <si>
    <t>10.5194/wcd-2-453-2021</t>
  </si>
  <si>
    <t>HL2S3</t>
  </si>
  <si>
    <t>WOS:001159600200001</t>
  </si>
  <si>
    <t>Aromokeye, DA; Willis-Poratti, G; Wunder, LC; Yin, XR; Wendt, J; Richter-Heitmann, T; Henkel, S; Vázquez, S; Elvert, M; Mac Cormack, W; Friedrich, MW</t>
  </si>
  <si>
    <t>Aromokeye, David A.; Willis-Poratti, Graciana; Wunder, Lea C.; Yin, Xiuran; Wendt, Jenny; Richter-Heitmann, Tim; Henkel, Susann; Vazquez, Susana; Elvert, Marcus; Mac Cormack, Walter; Friedrich, Michael W.</t>
  </si>
  <si>
    <t>Macroalgae degradation promotes microbial iron reduction via electron shuttling in coastal Antarctic sediments</t>
  </si>
  <si>
    <t>ENVIRONMENT INTERNATIONAL</t>
  </si>
  <si>
    <t>Microbial iron-reduction; Marine sediments; Organic matter degradation; Climate change; Antarctica</t>
  </si>
  <si>
    <t>SOUTH SHETLAND ISLANDS; POTENTIALLY BIOAVAILABLE IRON; KING-GEORGE ISLAND; POTTER COVE; SP-NOV.; SULFATE REDUCTION; MARINE-SEDIMENTS; ORGANIC-MATTER; GEN. NOV.; MANGANESE</t>
  </si>
  <si>
    <t>Colonization of newly ice-free areas by marine benthic organisms intensifies burial of macroalgae detritus in Potter Cove coastal surface sediments (Western Antarctic Peninsula). Thus, fresh and labile macroalgal detritus serves as primary organic matter (OM) source for microbial degradation. Here, we investigated the effects on post-depositional microbial iron reduction in Potter Cove using sediment incubations amended with pulverized macroalgal detritus as OM source, acetate as primary product of OM degradation and lepidocrocite as reactive iron oxide to mimic in situ conditions. Humic substances analogue anthraquinone-2,6-disulfonic acid (AQDS) was also added to some treatments to simulate potential for electron shuttling. Microbial iron reduction was promoted by macroalgae and further enhanced by up to 30-folds with AQDS. Notably, while acetate amendment alone did not stimulate iron reduction, adding macroalgae alone did. Acetate, formate, lactate, butyrate and propionate were detected as fermentation products from macroalgae degradation. By combining 16S rRNA gene sequencing and RNA stable isotope probing, we reconstructed the potential microbial food chain from macroalgae degraders to iron reducers. Psychromonas, Marinifilum, Moritella, and Colwellia were detected as potential fermenters of macroalgae and fermentation products such as lactate. Members of class deltaproteobacteria including Sva1033, Desulfuromonas, and Desulfuromusa together with Arcobacter (former phylum Epsilonbacteraeota, now Campylobacterota) acted as dissimilatory iron reducers. Our findings demonstrate that increasing burial of macroalgal detritus in an Antarctic fjord affected by glacier retreat intensifies early diagenetic processes such as iron reduction. Under scenarios of global warming, the active microbial populations identified above will expand their environmental function, facilitate OM remineralisation, and contribute to an increased release of iron and CO2 from sediments. Such indirect consequences of glacial retreat are often overlooked but might, on a regional scale, be relevant for the assessment of future nutrient and carbon fluxes.</t>
  </si>
  <si>
    <t>[Aromokeye, David A.; Willis-Poratti, Graciana; Wunder, Lea C.; Yin, Xiuran; Richter-Heitmann, Tim; Friedrich, Michael W.] Univ Bremen, Fac Biol Chem, Microbial Ecophysiol Grp, Bremen, Germany; [Aromokeye, David A.; Yin, Xiuran; Wendt, Jenny; Richter-Heitmann, Tim; Henkel, Susann; Elvert, Marcus; Friedrich, Michael W.] Univ Bremen, MARUM Ctr Marine Environm Sci, Bremen, Germany; [Willis-Poratti, Graciana; Mac Cormack, Walter] Inst Antartico Argentino, San Martin, Buenos Aires, Argentina; [Willis-Poratti, Graciana] Univ Nacl La Plata, Fac Ciencias Exactas, La Plata, Buenos Aires, Argentina; [Wunder, Lea C.] Max Planck Inst Marine Microbiol, Bremen, Germany; [Henkel, Susann] Alfred Wegener Inst Helmholtz Ctr Polar &amp; Marine, Bremerhaven, Germany; [Elvert, Marcus] Univ Bremen, Fac Geosci, Bremen, Germany; [Mac Cormack, Walter] Univ Buenos Aires, CONICET, Fac Farm &amp; Bioquim, Inst Nanobiotecnol NANOBIOTEC, Buenos Aires, DF, Argentina</t>
  </si>
  <si>
    <t>University of Bremen; University of Bremen; Instituto Antartico Argentino; National University of La Plata; Max Planck Society; Helmholtz Association; Alfred Wegener Institute, Helmholtz Centre for Polar &amp; Marine Research; University of Bremen; Consejo Nacional de Investigaciones Cientificas y Tecnicas (CONICET); University of Buenos Aires</t>
  </si>
  <si>
    <t>Aromokeye, DA; Friedrich, MW (corresponding author), Univ Bremen, Fac Biol Chem, Microbial Ecophysiol Grp, Bremen, Germany.;Aromokeye, DA; Friedrich, MW (corresponding author), Univ Bremen, MARUM, Bremen, Germany.</t>
  </si>
  <si>
    <t>david.aromokeye@uni-bremen.de; willis.graciana@biotec.quimica.unlp.edu.ar; le_wu@uni-bremen.de; yin@uni-bremen.de; jwendt@marum.de; trichter@uni-bremen.de; susann.henkel@awi.de; svazquez@ffyb.uba.ar; melvert@marum.de; wmac@ffyb.uba.ar; michael.friedrich@uni-bremen.de</t>
  </si>
  <si>
    <t>Henkel, Susann/S-4924-2016; Henkel, Susann/AAR-3270-2021; Richter-Heitmann, Tim/AAO-9411-2020; Vazquez, Susana/AEP-5214-2022; Poratti, Graciana Willis/AAJ-1662-2020; Friedrich, Michael W./B-3151-2013</t>
  </si>
  <si>
    <t>Henkel, Susann/0000-0001-7490-0237; Richter-Heitmann, Tim/0000-0002-2791-7252; Vazquez, Susana/0000-0002-0760-6254; Poratti, Graciana Willis/0000-0002-1397-9778; Friedrich, Michael W./0000-0002-8055-3232; Elvert, Marcus/0000-0003-3863-0975; Yin, Xiuran/0000-0001-9234-6276; Wunder, Lea/0000-0001-8018-9867</t>
  </si>
  <si>
    <t>0160-4120</t>
  </si>
  <si>
    <t>1873-6750</t>
  </si>
  <si>
    <t>ENVIRON INT</t>
  </si>
  <si>
    <t>Environ. Int.</t>
  </si>
  <si>
    <t>10.1016/j.envint.2021.106602</t>
  </si>
  <si>
    <t>UB1ZL</t>
  </si>
  <si>
    <t>WOS:000685649300007</t>
  </si>
  <si>
    <t>DeMets, C; Merkouriev, S; Sauter, D</t>
  </si>
  <si>
    <t>DeMets, C.; Merkouriev, S.; Sauter, D.</t>
  </si>
  <si>
    <t>High resolution reconstructions of the Southwest Indian Ridge, 52 Ma to present: implications for the breakup and absolute motion of the Africa plate</t>
  </si>
  <si>
    <t>GEOPHYSICAL JOURNAL INTERNATIONAL</t>
  </si>
  <si>
    <t>Plate motions; Africa; Antarctica</t>
  </si>
  <si>
    <t>MIDDLE EOCENE; RED-SEA; ZONE; GULF; ANTARCTICA; TOPOGRAPHY; MAGMATISM; ULTRASLOW; EVOLUTION; ETHIOPIA</t>
  </si>
  <si>
    <t>We reconstruct the post-52 Ma seafloor spreading history of the Southwest Indian Ridge at 44 distinct times from inversions of approximate to 20000 magnetic reversal, fracture zone and transform fault crossings, spanning major regional tectonic events such as the Arabia-Eurasia continental collision, the Arabia Peninsula's detachment from Africa, the arrival of the Afar mantle plume below eastern Africa and the initiation of rifting in eastern Africa. Best-fitting and noise-reduced rotation sequences for the Nubia-Antarctic, Lwandle-Antarctic and Somalia-Antarctic Plate pairs indicate that spreading rates everywhere along the ridge declined gradually by approximate to 50 percent from approximate to 31 to 19-18 Ma. A concurrent similar-magnitude slowdown in the component of the Africa Plate's absolute motion parallel to Southwest Indian Ridge spreading suggests that both were caused by a 31-18 Ma change in the forces that drove and resisted Africa's absolute motion. Possible causes for this change include the effects of the Afar mantle plume on eastern Africa or the Arabia Peninsula's detachment from the Somalia Plate, which culminated at 20-18 Ma with the onset of seafloor spreading in the Gulf of Aden. At earlier times, an apparently robust but previously unknown approximate to 6-Myr-long period of rapid kinematic change occurred from 43 to 37 Ma, consisting of a approximate to 50 percent spreading rate slowdown from 43 to 40 Ma followed by a full spreading rate recovery and 30-40 degrees clockwise rotation of the plate slip direction from 40 to 37 Ma. Although these kinematic changes coincided with a reconfiguration of the palaeoridge geometry, their underlying cause is unknown. Southwest Indian Ridge abyssal hill azimuths are consistent with the slip directions estimated with our newly derived Somalia-Antarctic and Lwandle-Antarctic angular velocities, adding confidence in their reliability. Lwandle-Antarctica Plate motion has closely tracked Somalia-Antarctic Plate motion since 50 Ma, consistent with slow-to-no motion between the Lwandle and Somalia plates for much of that time. In contrast, Nubia-Somalia rotations estimated from our new Southwest Indian Ridge rotations indicate that 189 +/- 34 km of WNW-ESE divergence between Nubia and Somalia has occurred in northern Africa since 40 Ma, including 70-80 km of WNW-ESE divergence since 17-16 Ma, slow to no motion from 26 to 17 Ma, and 109 +/- 38 km of WNW-ESE divergence from 40 to approximate to 26 Ma absent any deformation within eastern Antarctica before 26 Ma.</t>
  </si>
  <si>
    <t>[DeMets, C.] Univ Wisconsin, Dept Geosci, Madison, WI 53706 USA; [Merkouriev, S.] Russian Acad Sci, Pushkov Inst Terr Magnetism, St Petersburg Filial, 1 Mendeleevskava Liniya, St Petersburg 199034, Russia; [Merkouriev, S.] St Petersburg State Univ, Inst Earth Sci, Univ Skaya Nab 7-9, St Petersburg 199034, Russia; [Sauter, D.] Univ Strasbourg, Inst Terre &amp; Environm Strasbourg, CNRS, UMR 7063, 5 Rue Descartes, F-67084 Strasbourg, France</t>
  </si>
  <si>
    <t>University of Wisconsin System; University of Wisconsin Madison; Russian Academy of Sciences; Saint Petersburg State University; Centre National de la Recherche Scientifique (CNRS); Universites de Strasbourg Etablissements Associes; Universite de Strasbourg</t>
  </si>
  <si>
    <t>DeMets, C (corresponding author), Univ Wisconsin, Dept Geosci, Madison, WI 53706 USA.</t>
  </si>
  <si>
    <t>dcdemets@wisc.edu</t>
  </si>
  <si>
    <t>sauter, daniel/K-6532-2014; Merkuryev, Sergey/K-1202-2015</t>
  </si>
  <si>
    <t>sauter, daniel/0000-0003-3651-8090; Merkuryev, Sergey/0000-0002-1520-110X</t>
  </si>
  <si>
    <t>National Science Foundation [1433323]; Directorate For Geosciences; Division Of Ocean Sciences [1433323] Funding Source: National Science Foundation</t>
  </si>
  <si>
    <t>National Science Foundation(National Science Foundation (NSF)); Directorate For Geosciences; Division Of Ocean Sciences(National Science Foundation (NSF)NSF - Directorate for Geosciences (GEO))</t>
  </si>
  <si>
    <t>The magnetic reversal and fracture zone identifications used for our analysis are available as through the Marine Geoscience Data System (marine-geo.org) under the following doi: 10.26022/IEDA/330177. We thank Peter Molnar and an anonymous reviewer for their constructive comments and also thank Peter for suggesting that the arrival of the Afar hotspot plume beneath northern Somalia may have been the primary reason for the slowdown in Somalia's northward motion at that time. This work was supported by grant 1433323 from the National Science Foundation (usa). Figures were drafted using Generic Mapping Tools software (Wessel &amp; Smith 1991).</t>
  </si>
  <si>
    <t>0956-540X</t>
  </si>
  <si>
    <t>1365-246X</t>
  </si>
  <si>
    <t>GEOPHYS J INT</t>
  </si>
  <si>
    <t>Geophys. J. Int.</t>
  </si>
  <si>
    <t>10.1093/gji/ggab107</t>
  </si>
  <si>
    <t>TY9SI</t>
  </si>
  <si>
    <t>WOS:000684117400001</t>
  </si>
  <si>
    <t>Grombacher, D; Auken, E; Foged, N; Bording, T; Foley, N; Doran, PT; Mikucki, J; Dugan, HA; Garza-Giron, R; Myers, K; Virginia, RA; Tulaczyk, S</t>
  </si>
  <si>
    <t>Grombacher, Denys; Auken, Esben; Foged, Nikolaj; Bording, Thue; Foley, Neil; Doran, Peter T.; Mikucki, Jill; Dugan, Hilary A.; Garza-Giron, Ricardo; Myers, Krista; Virginia, Ross A.; Tulaczyk, Slawek</t>
  </si>
  <si>
    <t>Induced polarization effects in airborne transient electromagnetic data collected in the McMurdo Dry Valleys, Antarctica</t>
  </si>
  <si>
    <t>Hydrogeophysics; Antarctica; Electromagnetic theory</t>
  </si>
  <si>
    <t>DON-JUAN POND; WRIGHT VALLEY; ELECTRICAL-PROPERTIES; ICE; PERMAFROST; INVERSION; CLIMATE; SYSTEMS</t>
  </si>
  <si>
    <t>Airborne electromagnetics (EM) is a geophysical tool well suited to mapping glacial and hydrogeological structures in polar environments. This non-invasive method offers significant spatial coverage without requiring access to the ground surface, enabling the mapping of geological units to hundreds of metres depth over highly varied terrain. This method shows great potential for large-scale surveys in polar environments, as common targets such as permafrost, ice and brine-rich groundwater systems in these settings can be easily differentiated because of their significant contrasts in electrical properties. This potential was highlighted in a 2011 airborne EM survey in the McMurdo Dry Valleys that mapped the existence of a large-scale regional groundwater system in Taylor Valley. A more comprehensive airborne EM survey was flown in November 2018 to broadly map potential groundwater systems throughout the region. Data collected in this survey displayed significant perturbations from a process called induced polarization (IP), an effect that can greatly limit or prevent traditional EM workflows from producing reliable geological interpretations. Here, we present several examples of observed IP signatures over a range of conditions and detail how workflows explicitly designed to handle IP effects can produce reliable geological interpretations and data fits in these situations. Future polar EM surveys can be expected to encounter strong IP effects given the likely presence of geological materials (e.g. ice and permafrost) that can accentuate the influence of IP.</t>
  </si>
  <si>
    <t>[Grombacher, Denys; Auken, Esben; Foged, Nikolaj; Bording, Thue] Aarhus Univ, Dept Geosci, DK-8000 Aarhus, Denmark; [Foley, Neil; Garza-Giron, Ricardo; Tulaczyk, Slawek] Univ Calif Santa Cruz, Dept Earth &amp; Planetary Sci, Santa Cruz, CA 95064 USA; [Doran, Peter T.; Myers, Krista] Louisiana State Univ, Dept Geol &amp; Geophys, Baton Rouge, LA 70802 USA; [Mikucki, Jill] Univ Tennessee, Dept Microbiol, Knoxville, TN 37996 USA; [Dugan, Hilary A.] Univ Wisconsin, Ctr Limnol, Madison, WI 53706 USA; [Virginia, Ross A.] Dartmouth Coll, Environm Studies Program, Hanover, NH 03755 USA</t>
  </si>
  <si>
    <t>Aarhus University; University of California System; University of California Santa Cruz; Louisiana State University System; Louisiana State University; University of Tennessee System; University of Tennessee Knoxville; University of Wisconsin System; University of Wisconsin Madison; Dartmouth College</t>
  </si>
  <si>
    <t>Grombacher, D (corresponding author), Aarhus Univ, Dept Geosci, DK-8000 Aarhus, Denmark.</t>
  </si>
  <si>
    <t>denys.grombacher@geo.au.dk</t>
  </si>
  <si>
    <t>Bording, Thue/ABA-4722-2021; Bording, Thue/A-8282-2016; Tulaczyk, Slawek/O-7375-2018; Auken, Esben/G-8036-2012</t>
  </si>
  <si>
    <t>Bording, Thue/0000-0003-1932-9466; Foged, Nikolaj/0000-0001-8029-6849; Dugan, Hilary/0000-0003-4674-1149; Auken, Esben/0000-0002-5397-4832; Grombacher, Denys/0000-0003-2447-0085</t>
  </si>
  <si>
    <t>NSF [1644187, 1643687]; Directorate For Geosciences [1644187] Funding Source: National Science Foundation; Directorate For Geosciences; Office of Polar Programs (OPP) [1643687] Funding Source: National Science Foundation; Office of Polar Programs (OPP) [1644187] Funding Source: National Science Foundation</t>
  </si>
  <si>
    <t>NSF(National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</si>
  <si>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This work was supported by funding from the NSF, Grant Nos. 1644187 to ST and 1643687 to JAM. We are thankful to SkyTEM SurveysApS for helping us with the system deployment and support and to Lars Jensen in particular for his invaluable help. Without Lars this would not have been possible. We are also thankful for the logistical field support from the United States Antarctic Program, which enabled collection of our data. In particular, we thank the helicopter crews from PHI Inc. as well as the McMurdo helicopter coordinator Lindsay Steinbauer and her team. Our remote field data collection would not be possible without the capable help of our field support leader, Robin Carroccia, and without the aid from operators of the Marble Point refuelling station.</t>
  </si>
  <si>
    <t>10.1093/gji/ggab148</t>
  </si>
  <si>
    <t>WOS:000684117400006</t>
  </si>
  <si>
    <t>Szopinska, M; Luczkiewicz, A; Jankowska, K; Fudala-Ksiazek, S; Potapowicz, J; Kalinowska, A; Bialik, RJ; Chmiel, S; Polkowska, Z</t>
  </si>
  <si>
    <t>Szopinska, Malgorzata; Luczkiewicz, Aneta; Jankowska, Katarzyna; Fudala-Ksiazek, Sylwia; Potapowicz, Joanna; Kalinowska, Agnieszka; Bialik, Robert Jozef; Chmiel, Stanislaw; Polkowska, Zaneta</t>
  </si>
  <si>
    <t>First evaluation of wastewater discharge influence on marine water contamination in the vicinity of Arctowski Station (Maritime Antarctica)</t>
  </si>
  <si>
    <t>Antarctica; Wastewater management; Surfactants; Trace metals</t>
  </si>
  <si>
    <t>KING GEORGE ISLAND; ADMIRALTY BAY; HEAVY-METALS; ELECTROCHEMICAL OXIDATION; MCMURDO-STATION; DAVIS STATION; SURFACTANTS; SEDIMENTS; ENVIRONMENT; EFFICIENT</t>
  </si>
  <si>
    <t>In Antarctica, waste is generated mainly during scientific research programmes and related logistics. In this study, the impact of wastewater on the western shore of Admiralty Bay was investigated during austral summer in 2017 and 2019. A range of physicochemical parameters and the presence of selected trace metals, formaldehyde and different groups of surfactants were determined in wastewater coming from Arctowski Station and in nearby coastal waters. The presence of selected trace metals (e.g., Cr: 2.7-4.4 mu g/L; Zn: 15.2-37.3 mu g/L; and Ni: 0.9-23.3 mu g/L) and the sums of cationic (0.3-1.5 mg/L), anionic (3.1-1.7 mg/L), and non-ionic (0.6-2.4 mg/L) surfactants in wastewater indicated the potential influence of anthropogenic factors on sea water. The determined surfactants are found in many hygiene products that end up in the waste water tank after human use and, if untreated, can be released into surface waters with discharge. In addition, the levels of some trace metals indicate that they cannot come only from natural sources, but are the result of human activity. The reported data show disturbances in the marine environment caused by non-treated wastewater discharge, e.g. by comparing the obtained results from the values of the no observed effect concentrations (NOECs) on selected Antarctic bioindicators, and provide information for the implementation of proper wastewater treatment at any Antarctic station in the future. (c) 2021 Elsevier B.V. All rights reserved.</t>
  </si>
  <si>
    <t>[Szopinska, Malgorzata; Luczkiewicz, Aneta; Jankowska, Katarzyna; Kalinowska, Agnieszka] Gdansk Univ Technol, Fac Civil &amp; Environm Engn, Dept Water &amp; Wastewater Technol, 11-12 Narutowicza St, PL-80233 Gdansk, Poland; [Fudala-Ksiazek, Sylwia] Gdansk Univ Technol, Fac Civil &amp; Environm Engn, Dept Sanit Engn, 11-12 Narutowicza St, PL-80233 Gdansk, Poland; [Potapowicz, Joanna; Polkowska, Zaneta] Gdansk Univ Technol, Analyt Chem Dept, Fac Chem, 11-12 Narutowicza St, PL-80233 Gdansk, Poland; [Bialik, Robert Jozef] Polish Acad Sci, Inst Biochem &amp; Biophys, Pawinskiego 5a, PL-02106 Warsaw, Poland; [Chmiel, Stanislaw] Marie Curie Sklodowska Univ, Fac Earth Sci &amp; Spatial Management, Dept Hydrol &amp; Climatol, 2 Cd Krasnicka Ave, PL-20718 Lublin, Poland</t>
  </si>
  <si>
    <t>Fahrenheit Universities; Gdansk University of Technology; Fahrenheit Universities; Gdansk University of Technology; Fahrenheit Universities; Gdansk University of Technology; Polish Academy of Sciences; Institute of Biochemistry &amp; Biophysics - Polish Academy of Sciences; Maria Curie-Sklodowska University</t>
  </si>
  <si>
    <t>Szopinska, M (corresponding author), Gdansk Univ Technol, Fac Civil &amp; Environm Engn, Dept Water &amp; Wastewater Technol, 11-12 Narutowicza St, PL-80233 Gdansk, Poland.</t>
  </si>
  <si>
    <t>malszopi@pg.edu.pl</t>
  </si>
  <si>
    <t>Kalinowska, Agnieszka/P-1496-2018; Luczkiewicz, Aneta/HGU-3312-2022; Polkowska, Zaneta/AAA-3578-2020; Szopińska, Małgorzata/AAX-9597-2021; Jankowska, Katarzyna/R-5226-2016</t>
  </si>
  <si>
    <t>Kalinowska, Agnieszka/0000-0003-3080-9057; Luczkiewicz, Aneta/0000-0002-4145-3036; Szopińska, Małgorzata/0000-0003-2186-7781; Bialik, Robert/0000-0002-0254-6352; Polkowska, Zaneta/0000-0002-2730-0068; Jankowska, Katarzyna/0000-0001-8042-6930</t>
  </si>
  <si>
    <t>National Science Centre Poland project task (MINIATURA2) entitled 'Recognition and selection of pollution markers introduced into Admiralty Bay [2018/02/X/ST10/01539]</t>
  </si>
  <si>
    <t>National Science Centre Poland project task (MINIATURA2) entitled 'Recognition and selection of pollution markers introduced into Admiralty Bay</t>
  </si>
  <si>
    <t>This research was supported by the National Science Centre Poland project task (MINIATURA2) entitled 'Recognition and selection of pollution markers introduced into Admiralty Bay via wastewater discharge: An example from Arctowski Polish Antarctic Station. King George Island. Maritime Antarctica', agreement no. 2018/02/X/ST10/01539. The authors would like to thank Prof. Danuta Szumiska and the staff of Arctowski Station for their invaluable help during the field campaign.</t>
  </si>
  <si>
    <t>10.1016/j.scitotenv.2021.147912</t>
  </si>
  <si>
    <t>TP4FG</t>
  </si>
  <si>
    <t>WOS:000677549900006</t>
  </si>
  <si>
    <t>Parkash, R; Lambhod, C</t>
  </si>
  <si>
    <t>Parkash, Ravi; Lambhod, Chanderkala</t>
  </si>
  <si>
    <t>Plastic changes in cold and drought tolerance of Drosophila nepalensis correlate with sex-specific differences in body melanization, cuticular lipid mass, proline accumulation, and seasonal abundance</t>
  </si>
  <si>
    <t>Sex-specific differences; Body melanization; Chill-coma recovery time; Cold-shock mortality; Rapid cold or drought hardening; Proline accumulation; Desiccation related traits; Drosophila nepalensis</t>
  </si>
  <si>
    <t>GOLDENROD GALL FLY; DESICCATION RESISTANCE; WATER-BALANCE; STRESS RESISTANCE; ANTARCTIC MIDGE; ACCLIMATION; TEMPERATURE; MECHANISMS; MOSQUITO; MELANISATION</t>
  </si>
  <si>
    <t>Autumn-collected flies of Himalayan Drosophila nepalensis differ in body color phenotypes (males more melanized relative to females) and in their behavior (males abundant in the open sites vs. shelters-seeking females). In contrast, winter-collected flies of both sexes are equally melanized and abundant in the open sites. We tested developmental and adult plasticity changes in cold or drought tolerance in D. nepalensis flies reared under winter or autumn simulated conditions. In D. nepalensis flies reared at 21 degrees C, male flies were more cold tolerant (as shown by shorter chill-coma recovery time and lower cold-shock mortality). Further, male flies also exhibited greater drought tolerance (increased levels of desiccation resistance, cuticular lipid mass, melanization, hydration level, and dehydration tolerance) as compared to females. We observed sex-specific differences in the adult plasticity responses due to rapid cold or drought hardening (RCH or RDH); and for the persistence of cold acclimation effects. RCH or RDH-induced changes in the level of proline accumulations are negatively correlated with a decrease in the chill-coma recovery time. Therefore, cold or drought hardening treatments are likely to influence cold tolerance through proline accumulation. Developmental acclimation and adult hardening responses revealed significant interaction effects between sexes and thermal treatments. Thus, sex-specific differences in morphological traits (body melanization and cuticular lipid mass) and physiological traits (adult plasticity changes in cold tolerance and proline accumulation) correlate with behavioral divergence (habitat usage) across sexes.</t>
  </si>
  <si>
    <t>[Parkash, Ravi; Lambhod, Chanderkala] Maharshi Dayanand Univ, Dept Genet, Rohtak 124001, Haryana, India</t>
  </si>
  <si>
    <t>Maharshi Dayanand University</t>
  </si>
  <si>
    <t>Parkash, R (corresponding author), Maharshi Dayanand Univ, Dept Genet, Rohtak 124001, Haryana, India.</t>
  </si>
  <si>
    <t>rpgenetics@gmail.com</t>
  </si>
  <si>
    <t>U.G.C. [PDFSS-2015-17-HAR-11910]</t>
  </si>
  <si>
    <t>U.G.C.(University Grants Commission, India)</t>
  </si>
  <si>
    <t>We are highly indebted to the reviewers for their helpful comments which improved the MS. C.L. worked as a Post-doctoral fellow of University Grants Commission, New Delhi, India. C.L. is grateful for award of P.D.F. by U.G.C. (PDFSS-2015-17-HAR-11910).</t>
  </si>
  <si>
    <t>10.1016/j.cbpa.2021.110985</t>
  </si>
  <si>
    <t>SR6BB</t>
  </si>
  <si>
    <t>WOS:000661126200004</t>
  </si>
  <si>
    <t>Gkinis, V; Vinther, BM; Popp, TJ; Quistgaard, T; Faber, AK; Holme, CT; Jensen, CM; Lanzky, M; Lütt, AM; Mandrakis, V; Orum, NO; Pedersen, AS; Vaxevani, N; Weng, YB; Capron, E; Dahl-Jensen, D; Hörhold, M; Jones, TR; Jouzel, J; Landais, A; Masson-Delmotte, V; Oerter, H; Rasmussen, SO; Steen-Larsen, HC; Steffensen, JP; Sveinbjörnsdóttir, AE; Svensson, A; Vaughn, B; White, JWC</t>
  </si>
  <si>
    <t>Gkinis, Vasileios; Vinther, Bo M.; Popp, Trevor J.; Quistgaard, Thea; Faber, Anne-Katrine; Holme, Christian T.; Jensen, Camilla-Marie; Lanzky, Mika; Luett, Anine-Maria; Mandrakis, Vasileios; Orum, Niels-Ole; Pedersen, Anna-Sofie; Vaxevani, Nikol; Weng, Yongbiao; Capron, Emilie; Dahl-Jensen, Dorthe; Hoerhold, Maria; Jones, Tyler R.; Jouzel, Jean; Landais, Amaelle; Masson-Delmotte, Valerie; Oerter, Hans; Rasmussen, Sune O.; Steen-Larsen, Hans Christian; Steffensen, Jorgen-Peder; Sveinbjornsdottir, Arny-Erla; Svensson, Anders; Vaughn, Bruce; White, James W. C.</t>
  </si>
  <si>
    <t>A 120,000-year long climate record from a NW-Greenland deep ice core at ultra-high resolution</t>
  </si>
  <si>
    <t>SCIENTIFIC DATA</t>
  </si>
  <si>
    <t>CONTINUOUS-FLOW ANALYSIS; STABLE WATER ISOTOPES; CHRONOLOGY AICC2012; ANTARCTIC ICE; VARIABILITY; DIFFUSION; DEUTERIUM; HYDROGEN; H-2/H-1; RATIOS</t>
  </si>
  <si>
    <t>We report high resolution measurements of the stable isotope ratios of ancient ice (delta O-18, delta D) from the North Greenland Eemian deep ice core (NEEM, 77.45 degrees N, 51.06 degrees E). The record covers the period 8-130 ky b2k (y before 2000) with a temporal resolution of approximate to 0.5 and 7 y at the top and the bottom of the core respectively and contains important climate events such as the 8.2 ky event, the last glacial termination and a series of glacial stadials and interstadials. At its bottom part the record contains ice from the Eemian interglacial. Isotope ratios are calibrated on the SMOW/SLAP scale and reported on the GICC05 (Greenland Ice Core Chronology 2005) and AICC2012 (Antarctic Ice Core Chronology 2012) time scales interpolated accordingly. We also provide estimates for measurement precision and accuracy for both delta O-18 and delta D.</t>
  </si>
  <si>
    <t>[Gkinis, Vasileios; Vinther, Bo M.; Popp, Trevor J.; Quistgaard, Thea; Faber, Anne-Katrine; Holme, Christian T.; Jensen, Camilla-Marie; Lanzky, Mika; Luett, Anine-Maria; Mandrakis, Vasileios; Orum, Niels-Ole; Pedersen, Anna-Sofie; Vaxevani, Nikol; Weng, Yongbiao; Capron, Emilie; Dahl-Jensen, Dorthe; Rasmussen, Sune O.; Steen-Larsen, Hans Christian; Steffensen, Jorgen-Peder; Svensson, Anders] Univ Copenhagen, Niels Bohr Inst, Phys Ice Climate &amp; Earth, Tagensvej 16, DK-2200 Copenhagen, Denmark; [Faber, Anne-Katrine; Weng, Yongbiao; Steen-Larsen, Hans Christian] Univ Bergen, Geophys Inst, Allegaten 70, N-5007 Bergen, Norway; [Faber, Anne-Katrine; Weng, Yongbiao; Steen-Larsen, Hans Christian] Univ Bergen, Bjerknes Ctr Climate Res, Allegaten 70, N-5007 Bergen, Norway; [Jensen, Camilla-Marie] Phys Inst, Climate &amp; Environm Phys, Sidlerdtrasse 5, CH-3012 Bern, Switzerland; [Lanzky, Mika] Univ Oslo, Dept Geosci, Sem Sae Lands Vei 1, N-0371 Oslo, Norway; [Capron, Emilie] Univ Grenoble Alpes, CNRS, Inst Geosci Environm, IRD,G INP, F-38000 Grenoble, France; [Dahl-Jensen, Dorthe] Univ Manitoba, Ctr Earth Observat Sci, 535 Wallace Bldg, Winnipeg, MB R3T 2N2, Canada; [Hoerhold, Maria; Oerter, Hans] Helmholtz Zentrum Polar &amp; Meeresforsch, Alfred Wegener Inst, Handelshafen 12, D-27570 Bremerhaven, Germany; [Jones, Tyler R.; Vaughn, Bruce; White, James W. C.] Univ Colorado, Inst Arctic &amp; Alpine Res, Boulder, CO 80309 USA; [Jouzel, Jean; Landais, Amaelle; Masson-Delmotte, Valerie] Univ Paris Saclay, CNRS, Lab Sci Climat &amp; Environm LSCE, Inst Pierre Simon Laplace,CEA,UVSQ,UMR 8212, Gif Sur Yvette, France; [Sveinbjornsdottir, Arny-Erla] Univ Iceland, Inst Earth Sci, Sturlugata 7, Reykjavik, Iceland</t>
  </si>
  <si>
    <t>University of Copenhagen; Niels Bohr Institute; University of Bergen; Bjerknes Centre for Climate Research; University of Bergen; University of Oslo; Communaute Universite Grenoble Alpes; Universite Grenoble Alpes (UGA); Centre National de la Recherche Scientifique (CNRS); Institut de Recherche pour le Developpement (IRD); University of Manitoba; Helmholtz Association; Alfred Wegener Institute, Helmholtz Centre for Polar &amp; Marine Research; University of Colorado System; University of Colorado Boulder; CEA; Centre National de la Recherche Scientifique (CNRS); Universite Paris Saclay; Universite Paris Cite; CNRS - National Institute for Earth Sciences &amp; Astronomy (INSU); University of Iceland</t>
  </si>
  <si>
    <t>Gkinis, V (corresponding author), Univ Copenhagen, Niels Bohr Inst, Phys Ice Climate &amp; Earth, Tagensvej 16, DK-2200 Copenhagen, Denmark.</t>
  </si>
  <si>
    <t>White, James W.C./A-7845-2009; Capron, Emilie/ITU-2672-2023; Gkinis, Vasileios/E-8185-2011; Dahl-Jensen, Dorthe/AAO-6951-2020; Steen-Larsen, Hans Christian/F-9927-2013; Rasmussen, Sune Olander/AAA-3190-2021; Steffensen, Jorgen Peder/JFS-7831-2023; Masson-Delmotte, Valerie L/G-1995-2011; Hörhold, Maria/IST-9483-2023; Rasmussen, Sune/B-5560-2008; Svensson, Anders/A-2643-2010; Holme, Christian/J-5051-2015</t>
  </si>
  <si>
    <t>Gkinis, Vasileios/0000-0002-5910-1549; Dahl-Jensen, Dorthe/0000-0002-1474-1948; Rasmussen, Sune Olander/0000-0002-4177-3611; Steffensen, Jorgen Peder/0000-0002-5516-1093; Masson-Delmotte, Valerie L/0000-0001-8296-381X; Svensson, Anders/0000-0002-4364-6085; Vinther, Bo/0000-0002-6078-771X; Holme, Christian/0000-0003-2155-489X; Lanzky, Mika/0000-0003-2849-0171; Faber, Anne-Katrine/0000-0002-2673-8690</t>
  </si>
  <si>
    <t>European Research Council under European Union's Seventh Framework Programme for research and innovation; FP7-ENVIRONMENT grant [243908]; FP7-IDEAS-ERC grant [246815, 610055]; Marie Sklodowska-Curie grant [600207]; Villum Foundation [00022995, 000280161, 16572]; US National Science Foundation [0806387]; French National Research Agency [ANR-07-VULN-0009, ANR-19-MPGA-0001]; Danish National Research Foundation; US NSF, Office of Polar Programs; institutions in Belgium (FNRS-CFB and FWO), Canada; NRCan/GSC, China (CAS); Denmark (FIST), France (IPEV, CNRS/INSU, CEA and ANR), Germany (AWI), Iceland (RannIs), Japan (NIPR), South Korea (KOPRI); Netherlands (NWO/ALW), Sweden (VR), Switzerland (SNF); United Kingdom (NERC); US (US NSF, Office of Polar Programs); EU Seventh Framework Programmes Past4Future and WaterundertheIce; European Research Council (ERC) [246815] Funding Source: European Research Council (ERC); Agence Nationale de la Recherche (ANR) [ANR-07-VULN-0009, ANR-19-MPGA-0001] Funding Source: Agence Nationale de la Recherche (ANR)</t>
  </si>
  <si>
    <t>European Research Council under European Union's Seventh Framework Programme for research and innovation; FP7-ENVIRONMENT grant; FP7-IDEAS-ERC grant(European Research Council (ERC)); Marie Sklodowska-Curie grant; Villum Foundation(Villum Fonden); US National Science Foundation(National Science Foundation (NSF)); French National Research Agency(Agence Nationale de la Recherche (ANR)); Danish National Research Foundation(Danmarks Grundforskningsfond); US NSF, Office of Polar Programs(National Science Foundation (NSF)); institutions in Belgium (FNRS-CFB and FWO), Canada; NRCan/GSC, China (CAS); Denmark (FIST), France (IPEV, CNRS/INSU, CEA and ANR), Germany (AWI), Iceland (RannIs), Japan (NIPR), South Korea (KOPRI)(Korea Polar Research Institute of Marine Research Placement (KOPRI)); Netherlands (NWO/ALW), Sweden (VR), Switzerland (SNF)(Swedish Research Council); United Kingdom (NERC)(UK Research &amp; Innovation (UKRI)Natural Environment Research Council (NERC)); US (US NSF, Office of Polar Programs); EU Seventh Framework Programmes Past4Future and WaterundertheIce(European Union (EU)); European Research Council (ERC)(European Research Council (ERC)Spanish Government); Agence Nationale de la Recherche (ANR)(Agence Nationale de la Recherche (ANR))</t>
  </si>
  <si>
    <t>We are grateful to the drilling engineers, operators and field assistants that made the retrieval, processing and distribution of the NEEM ice core possible. We would like to acknowledge financial support from the European Research Council under European Union's Seventh Framework Programme for research and innovation (FP7-ENVIRONMENT grant agreement ID: 243908; FP7-IDEAS-ERC grant agreement ID: 246815, 610055; Marie Sklodowska-Curie grant agreement ID: 600207), the Villum Foundation (Grant 00022995, 000280161, 16572), the US National Science Foundation (Award 0806387), the French National Research Agency (grants ANR-07-VULN-0009, ANR-19-MPGA-0001). NEEM is directed and organised by the Centre of Ice and Climate at the Niels Bohr Institute, funded by the Danish National Research Foundation and US NSF, Office of Polar Programs. It is supported by funding agencies and institutions in Belgium (FNRS-CFB and FWO), Canada (NRCan/GSC), China (CAS), Denmark (FIST), France (IPEV, CNRS/INSU, CEA and ANR), Germany (AWI), Iceland (RannIs), Japan (NIPR), South Korea (KOPRI), the Netherlands (NWO/ALW), Sweden (VR), Switzerland (SNF), the United Kingdom (NERC) and the US (US NSF, Office of Polar Programs) and the EU Seventh Framework Programmes Past4Future and WaterundertheIce.</t>
  </si>
  <si>
    <t>2052-4463</t>
  </si>
  <si>
    <t>SCI DATA</t>
  </si>
  <si>
    <t>Sci. Data</t>
  </si>
  <si>
    <t>MAY 26</t>
  </si>
  <si>
    <t>10.1038/s41597-021-00916-9</t>
  </si>
  <si>
    <t>SO1IL</t>
  </si>
  <si>
    <t>WOS:000658733200002</t>
  </si>
  <si>
    <t>Roberts, L; Kutay, C; Melbourne-Thomas, J; Petrou, K; Benson, TM; Fiore, D; Fletcher, P; Johnson, E; Silk, M; Taberner, S; Filgueira, VV; Constable, AJ</t>
  </si>
  <si>
    <t>Roberts, Lisa; Kutay, Cat; Melbourne-Thomas, Jess; Petrou, Katherina; Benson, Tracey M.; Fiore, Danae; Fletcher, Paul; Johnson, Ellery; Silk, Melissa; Taberner, Stephen; Filgueira, Victor Vargas; Constable, Andrew J.</t>
  </si>
  <si>
    <t>Enabling Enduring Evidence-Based Policy for the Southern Ocean Through Cultural Arts Practices</t>
  </si>
  <si>
    <t>Southern Ocean; Antarctic; Indigenous knowledge; climate science; interdisciplinary; cross-cultural</t>
  </si>
  <si>
    <t>KNOWLEDGE; ECOSYSTEM; ORIGIN</t>
  </si>
  <si>
    <t>This paper provides a perspective on how art and cross-cultural conversations can facilitate understanding of important scientific processes, outcomes and conclusions, using the Marine Ecosystem Assessment for the Southern Ocean (MEASO) as a case study. First, we reflect on our rationale and approach, describing the importance of deeper communication, such as through the arts, to the policy process; more enduring decisions are possible by engaging and obtaining perspectives through more than just a utilitarian lens. Second, we draw on the LivingData Website [http://www.livingdata.net.au] where art in all its forms is made to bridge differences in knowledge systems and their values, provide examples of how Indigenous knowledge and Western science can be complementary, and how Indigenous knowledge can show the difference between historical natural environmental phenomena and current unnatural phenomena, including how the Anthropocene is disrupting cultural connections with the environment that ultimately impact everyone. Lastly, we document the non-linear process of our experience and draw lessons from it that can guide deeper communication between disciples and cultures, to potentially benefit decision-making. Our perspective is derived as a collective from diverse backgrounds, histories, knowledge systems and values.</t>
  </si>
  <si>
    <t>[Roberts, Lisa; Petrou, Katherina; Johnson, Ellery] Univ Technol Sydney, Sch Life Sci, Fac Sci, Sydney, NSW, Australia; [Roberts, Lisa; Taberner, Stephen] Living Data, Sydney, NSW, Australia; [Kutay, Cat] Charles Darwin Univ, Darwin, NT, Australia; [Melbourne-Thomas, Jess] CSIRO Oceans &amp; Atmosphere, Castray Esplanade, Hobart, Tas, Australia; [Melbourne-Thomas, Jess; Constable, Andrew J.] Univ Tasmania, Ctr Marine Socioecol, Hobart, Tas, Australia; [Benson, Tracey M.] Univ Canberra, Inst Appl Ecol, Ctr Creat &amp; Cultural Res, Canberra, ACT, Australia; [Benson, Tracey M.] Victoria Univ, More Human Lab, Wellington, New Zealand; [Fiore, Danae] Consejo Nacl Invest Cient &amp; Tecn, Buenos Aires, DF, Argentina; [Fiore, Danae] Asociac Invest Antropol, Buenos Aires, DF, Argentina; [Fiore, Danae] UBA, Buenos Aires, DF, Argentina; [Fletcher, Paul] Univ Melbourne, Fac Fine Arts &amp; Mus, Victorian Coll Arts, Melbourne, Vic, Australia; [Silk, Melissa] Univ Technol Sydney, Sydney, NSW, Australia; [Taberner, Stephen] Spooky Mens Chorale, Blue, NSW, Australia; [Filgueira, Victor Vargas] Comunidad Indigena Yagan Paiakoala Tierra Fuego, Buenos Aires, DF, Argentina; [Constable, Andrew J.] Australian Antarctic Div, Kingston, Tas, Australia</t>
  </si>
  <si>
    <t>University of Technology Sydney; Charles Darwin University; Commonwealth Scientific &amp; Industrial Research Organisation (CSIRO); University of Tasmania; University of Canberra; Victoria University Wellington; Consejo Nacional de Investigaciones Cientificas y Tecnicas (CONICET); University of Buenos Aires; Melbourne Genomics Health Alliance; University of Melbourne; University of Technology Sydney; Australian Antarctic Division</t>
  </si>
  <si>
    <t>Constable, AJ (corresponding author), Univ Tasmania, Ctr Marine Socioecol, Hobart, Tas, Australia.;Constable, AJ (corresponding author), Australian Antarctic Div, Kingston, Tas, Australia.</t>
  </si>
  <si>
    <t>a.constable@utas.edu.au</t>
  </si>
  <si>
    <t>Melbourne-Thomas, Jess/N-2437-2019; Fletcher, Paul/HZK-7358-2023</t>
  </si>
  <si>
    <t>Melbourne-Thomas, Jess/0000-0001-6585-876X; Johnson, Ellery/0000-0002-8356-9782; Benson, Tracey/0000-0003-3640-5483; Kutay, Cat/0000-0002-6682-979X</t>
  </si>
  <si>
    <t>Pew Charitable Trusts</t>
  </si>
  <si>
    <t>Pew Charitable Trusts for the cost of publishing this manuscript.</t>
  </si>
  <si>
    <t>10.3389/fevo.2021.616089</t>
  </si>
  <si>
    <t>SO6LI</t>
  </si>
  <si>
    <t>WOS:000659081500001</t>
  </si>
  <si>
    <t>Richet, P</t>
  </si>
  <si>
    <t>Richet, Pascal</t>
  </si>
  <si>
    <t>RETRACTED: The temperature-CO2 climate connection: an epistemological reappraisal of ice-core messages (Retracted Article)</t>
  </si>
  <si>
    <t>HISTORY OF GEO- AND SPACE SCIENCES</t>
  </si>
  <si>
    <t>Article; Retracted Publication</t>
  </si>
  <si>
    <t>CARBON-DIOXIDE; ANTARCTIC TEMPERATURE; ATMOSPHERIC CO2; RECORD</t>
  </si>
  <si>
    <t>As simply based on fundamental logic and on the concepts of cause and effect, an epistemological examination of the geochemical analyses performed on the Vostok ice cores invalidates the marked greenhouse effect on past climate usually assigned to CO2 and CH4. In agreement with the determining role assigned to Milankovitch cycles, temperature has, instead, constantly remained the long-term controlling parameter during the past 423 kyr, which, in turn, determined both CO2 and CH4 concentrations, whose variations exerted, at most, a minor feedback on temperature itself. If not refuted, the demonstration indicates that the greenhouse effect of CO2 on 20th century and today's climate remains to be documented, as already concluded from other evidence. The epistemological weakness of current simulations originates from the fact that they do not rely on any independent evidence for the influence of greenhouse gases on climate over long enough periods of time. The validity of models will, in particular, not be demonstrated as long as at least the most important features of climate changes, namely the glacial-interglacial transitions and the differing durations of interglacial periods, remain unaccounted for. Similarly, the constant 7 kyr time lag between temperature and CO2 decreases following deglaciation is another important feature that needs to be understood. Considered in this light, the current climate debate should be considered as being the latest of the great controversies that have punctuated the march of the Earth sciences, although its markedly differs from the preceding ones by its most varied social, environmental, economical and political ramifications.</t>
  </si>
  <si>
    <t>[Richet, Pascal] Inst Phys Globe Paris, 1 Rue Jussieu, F-75005 Paris, France</t>
  </si>
  <si>
    <t>Universite Paris Cite</t>
  </si>
  <si>
    <t>Richet, P (corresponding author), Inst Phys Globe Paris, 1 Rue Jussieu, F-75005 Paris, France.</t>
  </si>
  <si>
    <t>richet@ipgp.fr</t>
  </si>
  <si>
    <t>2190-5010</t>
  </si>
  <si>
    <t>2190-5029</t>
  </si>
  <si>
    <t>HIST GEO- SPACE SCI</t>
  </si>
  <si>
    <t>Hist. Geo- Space Sci.</t>
  </si>
  <si>
    <t>10.5194/hgss-12-97-2021</t>
  </si>
  <si>
    <t>Geosciences, Multidisciplinary; History &amp; Philosophy Of Science</t>
  </si>
  <si>
    <t>Geology; History &amp; Philosophy of Science</t>
  </si>
  <si>
    <t>SL8DE</t>
  </si>
  <si>
    <t>WOS:000657142800001</t>
  </si>
  <si>
    <t>Borowicz, A; Lynch, HJ; Estro, T; Foley, C; Gonçalves, B; Herman, KB; Adamczak, SK; Stirling, I; Thorne, L</t>
  </si>
  <si>
    <t>Borowicz, Alex; Lynch, Heather J.; Estro, Tyler; Foley, Catherine; Goncalves, Bento; Herman, Katelyn B.; Adamczak, Stephanie K.; Stirling, Ian; Thorne, Lesley</t>
  </si>
  <si>
    <t>Social Sensors for Wildlife : Ecological Opportunities in the Era of Camera Ubiquity</t>
  </si>
  <si>
    <t>tourism; IAATO; Antarctic Peninsula; Weddell seal; social media; citizen science; community science; citizen sensors</t>
  </si>
  <si>
    <t>WEDDELL SEALS; MCMURDO SOUND; POPULATION; PHENOLOGY; MOVEMENTS; ABUNDANCE; SURVIVAL</t>
  </si>
  <si>
    <t>Expansive study areas, such as those used by highly-mobile species, provide numerous logistical challenges for researchers. Community science initiatives have been proposed as a means of overcoming some of these challenges but often suffer from low uptake or limited long-term participation rates. Nevertheless, there are many places where the public has a much higher visitation rate than do field researchers. Here we demonstrate a passive means of collecting community science data by sourcing ecological image data from the digital public, who act as eco-social sensors, via a public photo-sharing platform-Flickr. To achieve this, we use freely-available Python packages and simple applications of convolutional neural networks. Using the Weddell seal (Leptonychotes weddellii) on the Antarctic Peninsula as an example, we use these data with field survey data to demonstrate the viability of photo-identification for this species, supplement traditional field studies to better understand patterns of habitat use, describe spatial and sex-specific signals in molt phenology, and examine behavioral differences between the Antarctic Peninsula's Weddell seal population and better-studied populations in the species' more southerly fast-ice habitat. While our analyses are unavoidably limited by the relatively small volume of imagery currently available, this pilot study demonstrates the utility an eco-social sensors approach, the value of ad hoc wildlife photography, the role of geographic metadata for the incorporation of such imagery into ecological analyses, the remaining challenges of computer vision for ecological applications, and the viability of pelage patterns for use in individual recognition for this species.</t>
  </si>
  <si>
    <t>[Borowicz, Alex; Lynch, Heather J.; Goncalves, Bento] SUNY Stony Brook, Dept Ecol &amp; Evolut, Stony Brook, NY 11794 USA; [Lynch, Heather J.] SUNY Stony Brook, Inst Adv Computat Sci, Stony Brook, NY 11794 USA; [Estro, Tyler] SUNY Stony Brook, Dept Comp Sci, Stony Brook, NY 11794 USA; [Foley, Catherine] Univ Hawaii, Hawai Inst Marine Biol, Kaneohe, HI USA; [Herman, Katelyn B.] Georgia Aquarium, Atlanta, GA USA; [Adamczak, Stephanie K.] Univ Calif Santa Cruz, Dept Ecol &amp; Evolutionary Biol, Santa Cruz, CA 95064 USA; [Stirling, Ian] Univ Alberta, Dept Biol Sci, Edmonton, AB, Canada; [Thorne, Lesley] SUNY Stony Brook, Sch Marine &amp; Atmospher Sci, Stony Brook, NY 11794 USA</t>
  </si>
  <si>
    <t>State University of New York (SUNY) System; State University of New York (SUNY) Stony Brook; State University of New York (SUNY) System; State University of New York (SUNY) Stony Brook; State University of New York (SUNY) System; State University of New York (SUNY) Stony Brook; University of Hawaii System; University of California System; University of California Santa Cruz; University of Alberta; State University of New York (SUNY) System; State University of New York (SUNY) Stony Brook</t>
  </si>
  <si>
    <t>Borowicz, A (corresponding author), SUNY Stony Brook, Dept Ecol &amp; Evolut, Stony Brook, NY 11794 USA.</t>
  </si>
  <si>
    <t>alex.j.borowicz@gmail.com</t>
  </si>
  <si>
    <t>Borowicz, Alex/AAW-9390-2021; Estro, Tyler/KEJ-6201-2024</t>
  </si>
  <si>
    <t>Borowicz, Alex/0000-0001-5888-5137; Estro, Tyler/0000-0002-5851-8801; Herman, Katelyn/0000-0003-4654-3644; Adamczak, Stephanie/0000-0002-6496-2300</t>
  </si>
  <si>
    <t>[1531492]</t>
  </si>
  <si>
    <t>We gratefully acknowledge the assistance of members of the Oceanites field team for collecting photographs; numerous expedition guides for submitting photographs; Nicole Cassale, Emily Enzinger, and Yanbing Gu for matching assistance; Ted Cheeseman for gathering photographs in the runup to HappyWhale; and computational time from the SeaWulf cluster at the Institute of Advanced Computational Science (NSF award #1531492) .</t>
  </si>
  <si>
    <t>10.3389/fmars.2021.645288</t>
  </si>
  <si>
    <t>SM7GG</t>
  </si>
  <si>
    <t>WOS:000657768500001</t>
  </si>
  <si>
    <t>Bhushan, B; Upadhyay, D; Sharma, U; Jagannathan, N; Singh, SB; Ganju, L</t>
  </si>
  <si>
    <t>Bhushan, Brij; Upadhyay, Deepti; Sharma, Uma; Jagannathan, Naranamangalam; Singh, Shashi Bala; Ganju, Lilly</t>
  </si>
  <si>
    <t>Urine metabolite profiling of Indian Antarctic Expedition members: NMR spectroscopy-based metabolomic investigation</t>
  </si>
  <si>
    <t>Expedition; Antarctic stress; Metabolite; NMR spectroscopy; Metabolism</t>
  </si>
  <si>
    <t>MAGNETIC-RESONANCE METABOLOMICS; H-1-NMR SPECTROSCOPY; COLD STRESS; QUANTIFICATION; EPIDEMIOLOGY; ADIPOCYTES; MICROBIOTA; EXCRETION; RECEPTOR; SPECTRA</t>
  </si>
  <si>
    <t>The southernmost region of earth, Antarctica, has world's most challenging environments. Those who live for long time and work in Antarctic stations are subjected to environmental stresses such as cold weather, photoperiod variations leading to disrupted sleep cycles, constrained living spaces, dry air, non-availability of fresh food items, and high electromagnetic radiations, psychological factors, such as geographical and social isolation, etc. All these factors have a significant impact on the human body. The present study investigated the impact of Antarctica harsh environment on human physiology and its metabolic processes by evaluating urine metabolome, using 1H NMR spectroscopy and analyzing certain physiological and clinical parameters for correlation with physiological expression data and metabolite results. Two study groups - before Antarctic exposure (B) and after Antarctic exposure (E), consisting of 11 subjects, exposed to one-month summer expedition, were compared. 35 metabolites in urine samples were identified from the 700 MHz 1H NMR spectra from where integral intensity of 22 important metabolites was determined. Univariate analysis indicated significant decrease in the levels of citrate and creatinine in samples collected post-expedition. Multivariate analysis was also performed using 1H NMR spectroscopy, because independent metabolite abundances may complement each other in predicting the dependent variables. 10 metabolites were identified among the groups; the OPLS-DA and VIP score indicated variation in appearance of metabolites over different time periods with insignificant change in the intensities. Metabolite results illustrate the impact of environmental stress or altered life style including the diet with absence of fresh fruits and vegetables, on the pathophysiology of the human health. Metabolic adaptation to Antarctic environmental stressors may help to highlight the effect of short-term physiological status and provide important information during Antarctic expeditions to formulate management programmes.</t>
  </si>
  <si>
    <t>[Bhushan, Brij; Ganju, Lilly] DRDO, Def Inst Physiol &amp; Allied Sci DIPAS, Lucknow Rd, New Delhi 110054, India; [Upadhyay, Deepti; Sharma, Uma; Jagannathan, Naranamangalam] All India Inst Med Sci, New Delhi 110029, India; [Singh, Shashi Bala] Natl Inst Pharmaceut Educ &amp; Res NIPER, NH 9,Kukatpally Ind Estate, Hyderabad 500037, Telangana, India</t>
  </si>
  <si>
    <t>Defence Research &amp; Development Organisation (DRDO); Defence Institute of Physiology &amp; Allied Sciences (DIPAS); All India Institute of Medical Sciences (AIIMS) New Delhi; National Institute of Pharmaceutical Education &amp; Research (NIPER); National Institute of Pharmaceutical Education &amp; Research, Hyderabad</t>
  </si>
  <si>
    <t>Ganju, L (corresponding author), DRDO, Def Inst Physiol &amp; Allied Sci DIPAS, Lucknow Rd, New Delhi 110054, India.</t>
  </si>
  <si>
    <t>lilly.ganju65@gmail.com</t>
  </si>
  <si>
    <t>Bhushan, Brij/GNP-7700-2022; Jagannathan, Naranamagalam R/J-1424-2012</t>
  </si>
  <si>
    <t>Bhushan, Brij/0000-0003-4036-5816; Jagannathan, Naranamagalam R/0000-0002-7781-2037</t>
  </si>
  <si>
    <t>e07114</t>
  </si>
  <si>
    <t>10.1016/j.heliyon.2021.e07114</t>
  </si>
  <si>
    <t>UD5PQ</t>
  </si>
  <si>
    <t>WOS:000687258800001</t>
  </si>
  <si>
    <t>Cavanagh, RD; Trathan, PN; Hill, SL; Melbourne-Thomas, J; Meredith, MP; Hollyman, P; Krafft, BA; Mc Muelbert, M; Murphy, EJ; Sommerkorn, M; Turner, J; Grant, SM</t>
  </si>
  <si>
    <t>Cavanagh, Rachel D.; Trathan, Philip N.; Hill, Simeon L.; Melbourne-Thomas, Jess; Meredith, Michael P.; Hollyman, Philip; Krafft, Bjorn A.; Mc Muelbert, Monica; Murphy, Eugene J.; Sommerkorn, Martin; Turner, John; Grant, Susie M.</t>
  </si>
  <si>
    <t>Utilising IPCC assessments to support the ecosystem approach to fisheries management within a warming Southern Ocean</t>
  </si>
  <si>
    <t>IPCC; Southern Ocean; CCAMLR; Climate change; Antarctic krill; Ecosystem approach to management</t>
  </si>
  <si>
    <t>CLIMATE-CHANGE; MARINE ECOSYSTEM; LIFE-HISTORY; ECOLOGY; CCAMLR; VULNERABILITY; PROTECTION; HABITATS; BIOLOGY; LINKS</t>
  </si>
  <si>
    <t>Southern Ocean marine ecosystems are highly vulnerable to climate-driven change, the impacts of which must be factored into conservation and management. The Commission for the Conservation of Antarctic Marine Living Resources (CCAMLR) is aware of the urgent need to develop climate-responsive options within its ecosystem approach to management. However, limited capacity as well as political differences have meant that little progress has been made. Strengthening scientific information flow to inform CCAMLR's decision-making on climate change may help to remove some of these barriers. On this basis, this study encourages the utilisation of outputs from the United Nations' Intergovernmental Panel on Climate Change (IPCC). The IPCC's 2019 Special Report on the Ocean and Cryosphere in a Changing Climate (SROCC) constitutes the most rigorous and up-todate assessment of how oceans and the cryosphere are changing, how they are projected to change, and the consequences of those changes, together with a range of response options. To assist CCAMLR to focus on what is most useful from this extensive global report, SROCC findings that have specific relevance to the management of Southern Ocean ecosystems are extracted and summarised here. These findings are translated into recommendations to CCAMLR, emphasising the need to reduce and manage the risks that climate change presents to harvested species and the wider ecosystem of which they are part. Improved linkages between IPCC, CCAMLR and other relevant bodies may help overcome existing impediments to progress, enabling climate change to become fully integrated into CCAMLR's policy and decision-making.</t>
  </si>
  <si>
    <t>[Cavanagh, Rachel D.; Trathan, Philip N.; Hill, Simeon L.; Meredith, Michael P.; Hollyman, Philip; Murphy, Eugene J.; Turner, John; Grant, Susie M.] British Antarctic Survey, Madingley Rd, Cambridge CB3 0ET, England; [Krafft, Bjorn A.] Inst Marine Res, POB 1870 Nordnes, NO-5817 Bergen, Norway; [Melbourne-Thomas, Jess] CSIRO Oceans &amp; Atmosphere, Hobart, Tas 7004, Australia; [Melbourne-Thomas, Jess] Univ Tasmania, Ctr Marine Socioecol, Battery Point, Tas 7004, Australia; [Mc Muelbert, Monica] Univ Fed Sao Paulo, Inst Mar, Rua Carvalho de Mendonca 144, BR-11070100 Santos, SP, Brazil; [Mc Muelbert, Monica] Inst Marine &amp; Antarctic Studies, 20 Castray Esplanade, Battery Point, Tas 7004, Australia; [Sommerkorn, Martin] WWF Arctic Programme, POB 6784,St Olays Plass, N-0130 Oslo, Norway</t>
  </si>
  <si>
    <t>UK Research &amp; Innovation (UKRI); Natural Environment Research Council (NERC); NERC British Antarctic Survey; Institute of Marine Research - Norway; Commonwealth Scientific &amp; Industrial Research Organisation (CSIRO); University of Tasmania; Universidade Federal de Sao Paulo (UNIFESP); University of Tasmania</t>
  </si>
  <si>
    <t>Cavanagh, RD (corresponding author), British Antarctic Survey, Madingley Rd, Cambridge CB3 0ET, England.</t>
  </si>
  <si>
    <t>rcav@bas.ac.uk; pnt@bas.ac.uk; sih@bas.ac.uk; Jess.Melbourne-Thomas@csiro.au; mmm@bas.ac.uk; phyman@bas.ac.uk; bjorn.krafft@hi.no; monica.muelbert@unifesp.br; ejmu@bas.ac.uk; msommerkorn@wwf.no; jtu@bas.ac.uk; suan@bas.ac.uk</t>
  </si>
  <si>
    <t>Melbourne-Thomas, Jess/N-2437-2019; Simeon, Hill L/B-2307-2008; murphy, eugene/GZL-1620-2022</t>
  </si>
  <si>
    <t>Melbourne-Thomas, Jess/0000-0001-6585-876X; Hollyman, Philip/0000-0003-2665-5075; Grant, Susie/0000-0001-7941-3948</t>
  </si>
  <si>
    <t>Natural Environment Research Council (NERC) : NERC/BAS Ecosystems ALI-Science funding; NERC [NE/N018095/1]; NERC via EU [821001]; NERC [NE/N018095/1] Funding Source: UKRI</t>
  </si>
  <si>
    <t>Natural Environment Research Council (NERC) : NERC/BAS Ecosystems ALI-Science funding(UK Research &amp; Innovation (UKRI)Natural Environment Research Council (NERC)); NERC(UK Research &amp; Innovation (UKRI)Natural Environment Research Council (NERC)); NERC via EU; NERC(UK Research &amp; Innovation (UKRI)Natural Environment Research Council (NERC))</t>
  </si>
  <si>
    <t>The British Antarctic Survey authors (RC, SG, PH, SH, EM, JT and PT) are supported by Natural Environment Research Council (NERC) : NERC/BAS Ecosystems ALI-Science funding. The participation of MM was funded by NERC via award NE/N018095/1 and via the EU under grant agreement 821001.</t>
  </si>
  <si>
    <t>10.1016/j.marpol.2021.104589</t>
  </si>
  <si>
    <t>TY0GQ</t>
  </si>
  <si>
    <t>WOS:000683462900017</t>
  </si>
  <si>
    <t>Satish-Kumar, M; Shirakawa, M; Imura, A; Otsuji-Makino, N; Imanaka-Nohara, R; Malaviarachchi, SPK; Fitzsimons, ICW; Sajeev, K; Grantham, GH; Windley, BF; Hokada, T; Takahashi, T; Shimoda, G; Goto, KT</t>
  </si>
  <si>
    <t>Satish-Kumar, M.; Shirakawa, M.; Imura, A.; Otsuji-Makino, N.; Imanaka-Nohara, R.; Malaviarachchi, S. P. K.; Fitzsimons, I. C. W.; Sajeev, K.; Grantham, G. H.; Windley, B. F.; Hokada, T.; Takahashi, T.; Shimoda, G.; Goto, K. T.</t>
  </si>
  <si>
    <t>A geochemical and isotopic perspective on tectonic setting and depositional environment of Precambrian meta-carbonate rocks in collisional orogenic belts</t>
  </si>
  <si>
    <t>Meta-carbonate rocks; Trace and rare earth elements; C-O isotopes; Sr-Nd isotopes; EastAfrican-Antarctic Orogen</t>
  </si>
  <si>
    <t>RARE-EARTH-ELEMENTS; DRONNING MAUD LAND; EAST-AFRICAN OROGEN; U-PB GEOCHRONOLOGY; ULTRAHIGH-TEMPERATURE METAMORPHISM; HIGH-GRADE ROCKS; UPPER PROTEROZOIC SUCCESSIONS; KERALA KHONDALITE BELT; BANDED IRON-FORMATIONS; GA PONGOLA SUPERGROUP</t>
  </si>
  <si>
    <t>In this contribution we review the possibility of establishing the depositional age and tectonic settings of metamorphosed carbonate rocks from continental collision zones in the East African-Antarctic Orogen. The geochemical characteristics of regionally distributed meta-carbonate rocks from the Highland Complex (HC) in Sri Lanka are considered in detail and compared with similar occurrences in East Antarctica, India, Madagascar and Africa. The variations seen in the Highland Complex of Sri Lanka imply that carbonate deposition was younging from west to east, spanning apparent ages from Mesoproterozoic to Neoproterozoic. In the case of East Antarctica, such variations are within the Neoproterozoic, whereas in southern India, Madagascar and Mozambique they have a broader age range possibly from the Paleoproterozoic to Mesoproterozoic. There is also clear evidence that some carbonates were deposited in an open ocean surrounding volcanic islands in the Mesoproterozoic. Shale-normalized REE patterns have typical signatures of open ocean deposition in a passive continental margin with variable continental input in platforms nearby to island arcs. In comparison to Phanerozoic equivalents, the absence of a Ce anomaly is most significant, whereas other parameters such as (Pr/Yb)(SN) , (Pr/Tb)(SN), and (Tb/Yb)(SN) were used to evaluate relative enrichments of the LREE, MREE and HREE fractions that are characteristic of ambient seawater. Pronounced La, and Y anomalies with minor Eu and Gd anomalies and correlations of REE parameters and anomalies with carbon and oxygen isotopes, Sr-87/Sr-86 initial ratios and epsilon Nd values are evaluated for meta-carbonate rocks in the Proterozoic collision zone. The epsilon Nd values and Sr initial ratios suggest that basins in the western Mozambique Ocean that separated the East Gondwana from West Gondwana received contributions from Archean continental crust and ambient seawater, whereas the eastern Mozambique Ocean had REE contributions from specific cratonic continents in passive margins or from continental/volcanic island arcs in active margins. (C) 2021 The Author(s). Published by Elsevier B.V. on behalf of International Association for Gondwana Research.</t>
  </si>
  <si>
    <t>[Satish-Kumar, M.; Imura, A.; Imanaka-Nohara, R.; Malaviarachchi, S. P. K.; Takahashi, T.] Niigata Univ, Dept Geol, Fac Sci, Nishi Ku, 2-8050 Ikarashi, Niigata 9502181, Japan; [Shirakawa, M.; Otsuji-Makino, N.] Niigata Univ, Grad Sch Sci &amp; Technol, Nishi Ku, 2-8050 Ikarashi, Niigata 9502181, Japan; [Malaviarachchi, S. P. K.] Univ Peradeniya, Dept Geol, Fac Sci, Peradeniya 20400, Sri Lanka; [Fitzsimons, I. C. W.] Curtin Univ, Sch Earth &amp; Planetary Sci, GPO Box U1987, Perth, WA 6845, Australia; [Sajeev, K.] Indian Inst Sci, Ctr Earth Sci, Bengaluru 560012, India; [Grantham, G. H.] Univ Johannesburg, Dept Geol, POB 524, ZA-2006 Auckland Pk, South Africa; [Windley, B. F.] Univ Leicester, Sch Geog Geol &amp; Environm, Leicester LE1 7RH, Leics, England; [Hokada, T.] Natl Inst Polar Res, Tokyo 1908518, Japan; [Shimoda, G.; Goto, K. T.] Geol Survey Japan AIST, Tsukuba, Ibaraki, Japan</t>
  </si>
  <si>
    <t>Niigata University; Niigata University; University of Peradeniya; Curtin University; Indian Institute of Science (IISC) - Bangalore; University of Johannesburg; University of Leicester; Research Organization of Information &amp; Systems (ROIS); National Institute of Polar Research (NIPR) - Japan; National Institute of Advanced Industrial Science &amp; Technology (AIST)</t>
  </si>
  <si>
    <t>Satish-Kumar, M (corresponding author), Niigata Univ, Dept Geol, Fac Sci, Nishi Ku, 2-8050 Ikarashi, Niigata 9502181, Japan.</t>
  </si>
  <si>
    <t>satish@geo.sc.niigata-u.ac.jp</t>
  </si>
  <si>
    <t>Shimoda/M-8151-2018; Fitzsimons, Ian/A-3707-2012; Sajeev, K/B-8023-2018; Satish-Kumar, M./AAN-4420-2021; Malaviarachchi, Sanjeewa Prabhath Kumara/AAV-1125-2021; Grantham, Geoffrey/M-8637-2014</t>
  </si>
  <si>
    <t>Fitzsimons, Ian/0000-0002-8907-7455; Malaviarachchi, Sanjeewa Prabhath Kumara/0000-0001-9835-850X; Satish-Kumar, Madhusoodhan/0000-0003-3604-7399; Grantham, Geoffrey/0000-0001-9862-0547</t>
  </si>
  <si>
    <t>JSPS KAKENHI [21H01182, MSTR/TRD/AGR/03/02/20, JP23340155, JP25302008, JP15H05831]; JSPS; DST [201920, 201314]; Ministry of Science, Technology and Research, Govt. of Sri Lanka [MSTR/TRD/AGR/03/02/20]; NRF in the South African National Antarctic Program [93079, 110739]; Grants-in-Aid for Scientific Research [20H02005, 20H01994, 20KK0081, 21H01182] Funding Source: KAKEN</t>
  </si>
  <si>
    <t>JSPS KAKENHI(Ministry of Education, Culture, Sports, Science and Technology, Japan (MEXT)Japan Society for the Promotion of ScienceGrants-in-Aid for Scientific Research (KAKENHI)); JSPS(Ministry of Education, Culture, Sports, Science and Technology, Japan (MEXT)Japan Society for the Promotion of Science); DST(Department of Science &amp; Technology (India)); Ministry of Science, Technology and Research, Govt. of Sri Lanka; NRF in the South African National Antarctic Program; Grants-in-Aid for Scientific Research(Ministry of Education, Culture, Sports, Science and Technology, Japan (MEXT)Japan Society for the Promotion of ScienceGrants-in-Aid for Scientific Research (KAKENHI))</t>
  </si>
  <si>
    <t>MS-K thanks to A. Pitawala, L. Dharmapriya, N. Madugalla, C. Karunaratne, A. Bandara, G. Wijeratne, P. Abewardana, and Y. Nakamura for their kind assistance and support during field work in Sri Lanka. MS-K acknowledges the active engagement during the JARE expeditions and stimulating discussions with Japanese Antarctic scientists at various forums, which helped in developing many ideas in this study. MSK. acknowledges the partial support through JSPS KAKENHI Grant Numbers JP23340155, JP25302008 and JP15H05831 and support by JSPS and DST under the JapanIndia Science Cooperative Programs (lead by T. Toyoshima 201920, and T. Hokada 201314) . TH acknowledges the partial support through JSPS KAKENHI grant number 21H01182. SPKM acknowledges partial supports for field works from the IndiaSri Lanka bilateral corporation grant no. MSTR/TRD/AGR/03/02/20, Ministry of Science, Technology and Research, Govt. of Sri Lanka. Niel Jons and Kagashima Shinichi kindly provided additional samples from Madagascar and Lutzow Holm Complex in Antarctica. GHG acknowledges research funding from the NRF via grant numbers 93079 and 110739 in the South African National Antarctic Program.</t>
  </si>
  <si>
    <t>10.1016/j.gr.2021.03.013</t>
  </si>
  <si>
    <t>SQ7OR</t>
  </si>
  <si>
    <t>WOS:000660541500001</t>
  </si>
  <si>
    <t>Maeda, R; Goderis, S; Debaille, V; Pourkhorsandi, H; Hublet, G; Claeys, P</t>
  </si>
  <si>
    <t>Maeda, Ryoga; Goderis, Steven; Debaille, Vinciane; Pourkhorsandi, Hamed; Hublet, Genevieve; Claeys, Philippe</t>
  </si>
  <si>
    <t>The effects of Antarctic alteration and sample heterogeneity on Sm-Nd and Lu-Hf systematics in H chondrites</t>
  </si>
  <si>
    <t>Sm-Nd; Lu-Hf; H chondrite; Chondrite; Antarctic alteration; Sample heterogeneity; Rare earth element</t>
  </si>
  <si>
    <t>RARE-EARTH-ELEMENTS; TRACE-ELEMENTS; CARBONACEOUS CHONDRITES; ENSTATITE CHONDRITES; ISOTOPIC EVOLUTION; TERRESTRIAL AGES; ROCK SAMPLES; METEORITES; PHOSPHATES; ABUNDANCES</t>
  </si>
  <si>
    <t>Long-lived radioactive isotope systematics, such as Sm-Nd and Lu-Hf, are useful tools as important chronometers and tracers for chemical differentiation processes. Even though Antarctic meteorites include rare meteorites such as ungrouped meteorites, the effects of Antarctic alteration on the Sm-Nd and Lu-Hf systems in chondrites have not yet been evaluated in detail. Moreover, the heterogeneity of Sm-Nd and Lu-Hf data in bulk chondrites prevents the determination of precise average Sm-Nd and Lu-Hf values (e.g., for individual chondrite groups). To examine the effects of Antarctic alteration and sample heterogeneity on the Sm-Nd and Lu-Hf isotope systematics, ten Antarctic H chondrites (HCs) and three HCs from hot deserts were characterized for their modal abundances, elemental abundances, and Sm-Nd and Lu-Hf isotopic compositions. Regardless of the classical weathering index for Antarctic meteorites and the normalized Rb abundance used as a chemical alteration indicator in this study, the modal and elemental abundances in Antarctic HCs appear to be in good agreement with those in non-Antarctic HCs. The Sm-Nd and Lu-Hf isotopic compositions of the characterized H chondrites fall within the range measured for both HC falls and for falls of other chondrite groups, except in the case of the most heavily altered sample. Consequently, the effects of Antarctic alteration processes on the Sm-Nd and Lu-Hf systematics in HCs appear to be limited, except in the case of Asuka 09516. The latter meteorite exhibits severe mineralogical and chemical alteration, with considerable losses of even the rare earth elements (REEs), which are considered relatively immobile. The (147)sm/Nd-144, N-143/Nd-1(44), Lu-176/Hf-177, and Hf-176/Hf-177 of bulk HCs correlate with their P/Mg and Y/Mg. Furthermore, the Lu-Hf ratios correlate strongly with their P/Ca and Y/Ca as well as their P/Mg and Y/Mg. Thus, the distribution of the elements between constituent minerals in ordinary chondrites (OCs) may control the heterogeneity observed for the bulk Sm-Nd and Lu-Hf data. In this context, the weight ratio of Ca-phosphates to Ca-pyroxene, or at least that of Ca-phosphates to silicates, may be a key factor leading to the observed elemental and isotopic variations. This observation indicates that the nugget effect of Ca-phosphates in OCs as the result of insufficient homogenization or terrestrial alteration leads to the heterogeneities displayed by the Sm-Nd and Lu-Hf data. Moreover, it also indicates that the use of equilibrated OCs for the determination of Sm-Nd and Lu-Hf data is affected more by sample heterogeneity, especially with respect to Ca-phosphates, than is the case for unequilibrated OCs, based on the re-distribution of REEs during thermal metamorphism on their parent bodies. This study demonstrates that Antarctic meteorites commonly preserve their original Sm-Nd and Lu-Hf isotopic compositions as much as chondrite falls, although exceptions are possible in the case of severe alteration. Similar to previous studies, we recommend the use of unequilibrated chondrites, for which the re-distribution of REEs is less extensive, for the determination of well-constrained average Sm-Nd and Lu-Hf isotopic compositions for individual chondrite groups as well as their robust Chondritic Uniform Reservoir values. (C) 2021 Elsevier Ltd. All rights reserved.</t>
  </si>
  <si>
    <t>[Maeda, Ryoga; Goderis, Steven; Claeys, Philippe] Vrije Univ Brussel, Analyt Environm &amp; Geo Chem, Pl Laan 2, BE-1050 Brussels, Belgium; [Maeda, Ryoga; Debaille, Vinciane; Pourkhorsandi, Hamed; Hublet, Genevieve] Univ Libre Bruxelles, Lab G Time, CP 160-02,50,Av FD Roosevelt, BE-1050 Brussels, Belgium</t>
  </si>
  <si>
    <t>Vrije Universiteit Brussel; Universite Libre de Bruxelles</t>
  </si>
  <si>
    <t>Maeda, R (corresponding author), Vrije Univ Brussel, Analyt Environm &amp; Geo Chem, Pl Laan 2, BE-1050 Brussels, Belgium.</t>
  </si>
  <si>
    <t>Ryoga.Maeda@vub.be</t>
  </si>
  <si>
    <t>(VUB), VRIJE UNIVERSITEIT BRUSSEL/B-4895-2008; Goderis, Steven/F-9908-2011</t>
  </si>
  <si>
    <t>(VUB), VRIJE UNIVERSITEIT BRUSSEL/0000-0002-4585-7687; Goderis, Steven/0000-0002-6666-7153; Maeda, Ryoga/0000-0003-4791-630X; POURKHORSANDI, Hamed/0000-0002-5261-0180</t>
  </si>
  <si>
    <t>Excellence of Science (EoS) project ETHoME; ERC StG ISoSyC; FRS-FNRS; European Union's Horizon 2020 research and innovation program under the Marie Skodowska-Curie grant [801505]</t>
  </si>
  <si>
    <t>Excellence of Science (EoS) project ETHoME; ERC StG ISoSyC(European Research Council (ERC)); FRS-FNRS(Fonds de la Recherche Scientifique - FNRS); European Union's Horizon 2020 research and innovation program under the Marie Skodowska-Curie grant</t>
  </si>
  <si>
    <t>We would like to thank S. Cauchies and W. Debouge for assistance in the lab, J. De Jong for helping with the isotope analysis, and N. J. de Winter for guidance with the lXRF. We also thank the Royal Belgian Institute of Natural Sciences, Belgium, and the National Institute of Polar Research, Japan, for the loan of the Antarctic meteorites and meteorites collected from hot deserts used in this study. RM, SG, VD, and PhC acknowledge support from the Excellence of Science (EoS) project ETHoME. SG, VD, and GH thank the BRAINBe Belgian Science Policy (BELSPO) project BAMM. VD thanks the ERC StG ISoSyC and FRS-FNRS for support. HP acknowledges receiving funding from the European Union's Horizon 2020 research and innovation program under the Marie Skodowska-Curie grant agreement No 801505. PhC acknowledges support from the VUB Strategic Research Program and the Research Foundation Flanders (FWO Hercules grant) for the purchase of the mXRF instrument. Finally, we are grateful to Audrey Bouvier for her editorial work and insightful comments during the review process. We also thank Erik Scherer, Minako Righter, and an anonymous reviewer for their constructive and detailed reviews.</t>
  </si>
  <si>
    <t>10.1016/j.gca.2021.05.005</t>
  </si>
  <si>
    <t>SQ1LJ</t>
  </si>
  <si>
    <t>WOS:000660120900007</t>
  </si>
  <si>
    <t>Richter, A; Ekaykin, AA; Willen, MO; Lipenkov, VY; Groh, A; Popov, SV; Scheinert, M; Horwath, M; Dietrich, R</t>
  </si>
  <si>
    <t>Richter, Andreas; Ekaykin, Alexey A.; Willen, Matthias O.; Lipenkov, Vladimir Ya.; Groh, Andreas; Popov, Sergey V.; Scheinert, Mirko; Horwath, Martin; Dietrich, Reinhard</t>
  </si>
  <si>
    <t>Surface Mass Balance Models Vs. Stake Observations: A Comparison in the Lake Vostok Region, Central East Antarctica</t>
  </si>
  <si>
    <t>surface mass balance; stake observations; regional climate models; Antarctica; Vostok</t>
  </si>
  <si>
    <t>ELEVATION MODEL; CLIMATE; ACCUMULATION; SNOW; STATION; GAINS; GNSS</t>
  </si>
  <si>
    <t>The surface mass balance (SMB) is very low over the vast East Antarctic Plateau, for example in the Vostok region, where the mean SMB is on the order of 20-35 kg m(-2) a(-1). The observation and modeling of spatio-temporal SMB variations are equally challenging in this environment. Stake measurements carried out in the Vostok region provide SMB observations over half a century (1970-2019). This unique data set is compared with SMB estimations of the regional climate models RACMO2.3p2 (RACMO) and MAR3.11 (MAR). We focus on the SMB variations over time scales from months to decades. The comparison requires a rigorous assessment of the uncertainty in the stake observations and the spatial scale dependence of the temporal SMB variations. Our results show that RACMO estimates of annual and multi-year SMB agree well with the observations. The regression slope between modelled and observed temporal variations is close to 1.0 for this model. SMB simulations by MAR are affected by a positive bias which amounts to 6 kg m(-2) a(-1) at Vostok station and 2 kg m(-2) a(-1) along two stake profiles between Lake Vostok and Ridge B. None of the models is capable to reproduce the seasonal distributions of SMB and precipitation. Model SMB estimates are used in assessing the ice-mass balance and sea-level contribution of the Antarctic Ice Sheet by the input-output method. Our results provide insights into the uncertainty contribution of the SMB models to such assessments.</t>
  </si>
  <si>
    <t>[Richter, Andreas; Willen, Matthias O.; Groh, Andreas; Scheinert, Mirko; Horwath, Martin; Dietrich, Reinhard] Tech Univ Dresden, Inst Planetare Geodasie, Dresden, Germany; [Richter, Andreas] Univ Nacl La Plata, Lab MAGGIA, La Plata, Argentina; [Richter, Andreas] Consejo Nacl Invest Cient &amp; Tecn, Buenos Aires, DF, Argentina; [Ekaykin, Alexey A.; Lipenkov, Vladimir Ya.] Arctic &amp; Antarct Res Inst, St Petersburg, Russia; [Ekaykin, Alexey A.; Popov, Sergey V.] St Petersburg State Univ, Inst Earth Sci, St Petersburg, Russia; [Popov, Sergey V.] Polar Marine Geosurvey Expedit, St Petersburg, Russia</t>
  </si>
  <si>
    <t>Technische Universitat Dresden; National University of La Plata; Consejo Nacional de Investigaciones Cientificas y Tecnicas (CONICET); Saint Petersburg State University</t>
  </si>
  <si>
    <t>Richter, A (corresponding author), Tech Univ Dresden, Inst Planetare Geodasie, Dresden, Germany.;Richter, A (corresponding author), Univ Nacl La Plata, Lab MAGGIA, La Plata, Argentina.;Richter, A (corresponding author), Consejo Nacl Invest Cient &amp; Tecn, Buenos Aires, DF, Argentina.</t>
  </si>
  <si>
    <t>andreas.richter@tu-dresden.de</t>
  </si>
  <si>
    <t>Ekaykin, Alexey A./K-9894-2015; Richter, Andreas/ABD-6833-2020; Popov, Sergey/IYJ-2371-2023; Popov, Sergey V./I-2319-2013; Horwath, Martin/ABH-4320-2020</t>
  </si>
  <si>
    <t>Richter, Andreas/0000-0002-7900-4893; Popov, Sergey/0000-0002-1830-8658; Popov, Sergey V./0000-0002-1830-8658; Scheinert, Mirko/0000-0002-0892-8941; Willen, Matthias/0000-0001-5226-7231</t>
  </si>
  <si>
    <t>German Research Foundation (DFG) [SCHE 1426/20-1]; Russian Foundation for Basic Research (RFBR) [17-55-12003 NNIO]; DFG [HO 4232/4-1, (SPP) 1889]; Russian Foundation for Basic Research [10-05-93106, 17-05-01168]; Russian Geographical Society</t>
  </si>
  <si>
    <t>German Research Foundation (DFG)(German Research Foundation (DFG)); Russian Foundation for Basic Research (RFBR)(Russian Foundation for Basic Research (RFBR)); DFG(German Research Foundation (DFG)); Russian Foundation for Basic Research(Russian Foundation for Basic Research (RFBR)Spanish Government); Russian Geographical Society</t>
  </si>
  <si>
    <t>This work was jointly funded by the German Research Foundation (DFG, grant SCHE 1426/20-1) and the Russian Foundation for Basic Research (RFBR, grant no. 17-55-12003 NNIO). The work of MW was funded by DFG through grant HO 4232/4-1 Reconciling ocean mass change and GIA from satellite gravity and altimetry (OMCG) in the Special Priority Program (SPP) 1889  Regional Sea Level Change and Society. The glaciological fieldwork was supported by the Russian Foundation for Basic Research (grants 10-0593106 and 17-05-01168) and by the Russian Geographical Society.</t>
  </si>
  <si>
    <t>MAY 25</t>
  </si>
  <si>
    <t>10.3389/feart.2021.669977</t>
  </si>
  <si>
    <t>SO1WN</t>
  </si>
  <si>
    <t>WOS:000658769800001</t>
  </si>
  <si>
    <t>Koppers, AAP; Becker, TW; Jackson, MG; Konrad, K; Müller, RD; Romanowicz, B; Steinberger, B; Whittaker, JM</t>
  </si>
  <si>
    <t>Koppers, Anthony A. P.; Becker, Thorsten W.; Jackson, Matthew G.; Konrad, Kevin; Muller, R. Dietmar; Romanowicz, Barbara; Steinberger, Bernhard; Whittaker, Joanne M.</t>
  </si>
  <si>
    <t>Mantle plumes and their role in Earth processes</t>
  </si>
  <si>
    <t>NATURE REVIEWS EARTH &amp; ENVIRONMENT</t>
  </si>
  <si>
    <t>LARGE IGNEOUS PROVINCES; OCEAN ISLAND BASALTS; TELESEISMIC TRAVEL-TIME; LEAD ISOTOPES REVEAL; SHEAR-VELOCITY MODEL; CONTINENTAL BREAK-UP; TRUE POLAR WANDER; DEEP-MANTLE; HAWAIIAN MANTLE; FLOOD BASALTS</t>
  </si>
  <si>
    <t>The existence of mantle plumes was first proposed in the 1970s to explain intra-plate, hotspot volcanism, yet owing to difficulties in resolving mantle upwellings with geophysical images and discrepancies in interpretations of geochemical and geochronological data, the origin, dynamics and composition of plumes and their links to plate tectonics are still contested. In this Review, we discuss progress in seismic imaging, mantle flow modelling, plate tectonic reconstructions and geochemical analyses that have led to a more detailed understanding of mantle plumes. Observations suggest plumes could be both thermal and chemical in nature, can attain complex and broad shapes, and that more than 18 plumes might be rooted in regions of the lowermost mantle. The case for a deep mantle origin is strengthened by the geochemistry of hotspot volcanoes that provide evidence for entrainment of deeply recycled subducted components, primordial mantle domains and, potentially, materials from Earth's core. Deep mantle plumes often appear deflected by large-scale mantle flow, resulting in hotspot motions required to resolve past tectonic plate motions. Future research requires improvements in resolution of seismic tomography to better visualize deep mantle plume structures at smaller than 100-km scales. Concerted multi-proxy geochemical and dating efforts are also needed to better resolve spatiotemporal and chemical evolutions of long-lived mantle plumes. Mantle plumes are an integral aspect of Earth's convection system, yet, difficulty in imaging mantle upwellings led to controversies surrounding their origin, dynamics and composition. This Review synthesizes geophysical, geodynamic and geochemical constraints on mantle plumes and their importance in the Earth system.</t>
  </si>
  <si>
    <t>[Koppers, Anthony A. P.; Konrad, Kevin] Univ Texas Austin, Jackson Sch Geosci, Inst Geophys, Austin, TX 78712 USA; [Becker, Thorsten W.] Univ Texas Austin, Jackson Sch Geosci, Dept Geol Sci, Austin, TX 78712 USA; [Jackson, Matthew G.] Univ Calif Santa Barbara, Dept Earth Sci, Santa Barbara, CA 93106 USA; [Konrad, Kevin] Univ Nevada, Dept Geosci, Las Vegas, NV 89154 USA; [Muller, R. Dietmar] Univ Sydney, Sch Geosci, EarthByte Grp, Sydney, NSW, Australia; [Romanowicz, Barbara] Univ Calif Berkeley, Dept Earth &amp; Planetary Sci, Berkeley, CA 94720 USA; [Romanowicz, Barbara] Coll France, Paris, France; [Romanowicz, Barbara] Inst Phys Globe Paris, Paris, France; [Steinberger, Bernhard] Helmholtz Ctr Potsdam, GFZ German Res Ctr Geosci, Potsdam, Germany; [Steinberger, Bernhard] Univ Oslo, Ctr Earth Evolut &amp; Dynam CEED, Oslo, Norway; [Whittaker, Joanne M.] Univ Tasmania, Inst Marine &amp; Antarctic Studies, Hobart, Tas, Australia</t>
  </si>
  <si>
    <t>University of Texas System; University of Texas Austin; University of Texas System; University of Texas Austin; University of California System; University of California Santa Barbara; Nevada System of Higher Education (NSHE); University of Nevada Las Vegas; University of Sydney; University of California System; University of California Berkeley; Universite PSL; College de France; Universite Paris Cite; Helmholtz Association; Helmholtz-Center Potsdam GFZ German Research Center for Geosciences; University of Oslo; University of Tasmania</t>
  </si>
  <si>
    <t>Koppers, AAP (corresponding author), Univ Texas Austin, Jackson Sch Geosci, Inst Geophys, Austin, TX 78712 USA.</t>
  </si>
  <si>
    <t>anthony.koppers@oregonstate.edu</t>
  </si>
  <si>
    <t>Romanowicz, barbara A/H-6726-2017; Steinberger, Bernhard/AAG-7148-2019; Steinberger, Bernhard/ABB-9204-2021; Becker, Thorsten W/A-6665-2010; Jackson, Matthew/KFR-2958-2024; Whittaker, Joanne/B-3695-2010; Muller, Dietmar/P-8164-2018</t>
  </si>
  <si>
    <t>Steinberger, Bernhard/0000-0002-3643-3049; Becker, Thorsten W/0000-0002-5656-4564; Jackson, Matthew/0000-0001-5392-845X; Konrad, Kevin/0000-0002-4349-1618; Koppers, Anthony/0000-0002-8136-5372; Whittaker, Joanne/0000-0002-3170-3935; Jackson, Matthew/0000-0002-4557-6578; Muller, Dietmar/0000-0002-3334-5764</t>
  </si>
  <si>
    <t>National Science Foundation (NSF) [OCE-1912932, EAR-1900652, EAR-1758198]; National Aeronautics and Space Administration (NASA) [OSP 201601412-001]; Research Council of Norway (RCN) [223272]; innovation pool of the Helmholtz Association via an Advanced Earth System Modelling Capacity (ESM) activity; Australian Research Council (ARC) [IH130200012]</t>
  </si>
  <si>
    <t>National Science Foundation (NSF)(National Science Foundation (NSF)); National Aeronautics and Space Administration (NASA)(National Aeronautics &amp; Space Administration (NASA)); Research Council of Norway (RCN)(Research Council of Norway); innovation pool of the Helmholtz Association via an Advanced Earth System Modelling Capacity (ESM) activity; Australian Research Council (ARC)(Australian Research Council)</t>
  </si>
  <si>
    <t>The authors are supported by the National Science Foundation (NSF) grants OCE-1912932 (A.A.P.K., K.K.), EAR-1900652 (M.G.J.) and EAR-1758198 (B.R.); National Aeronautics and Space Administration (NASA) grant OSP 201601412-001 (T. W. B.); Centre of Excellence project 223272 through the Research Council of Norway (RCN) and the innovation pool of the Helmholtz Association via an Advanced Earth System Modelling Capacity (ESM) activity (B. S.); and Australian Research Council (ARC) grant IH130200012 (R.D.M.). We thank E. Garnero and T. Jones for informal discussions that improved the manuscript.</t>
  </si>
  <si>
    <t>2662-138X</t>
  </si>
  <si>
    <t>NAT REV EARTH ENV</t>
  </si>
  <si>
    <t>Nat. Rev. Earth Environ.</t>
  </si>
  <si>
    <t>10.1038/s43017-021-00168-6</t>
  </si>
  <si>
    <t>SV2UR</t>
  </si>
  <si>
    <t>WOS:000656934800001</t>
  </si>
  <si>
    <t>Owsianowski, N; Richter, C</t>
  </si>
  <si>
    <t>Owsianowski, Nils; Richter, Claudio</t>
  </si>
  <si>
    <t>Exploration of an ice-cliff grounding zone in Antarctica reveals frozen-on meltwater and high productivity</t>
  </si>
  <si>
    <t>SEA-FLOOR; PHYTOPLANKTON BLOOMS; WEDDELL SEA; GLACIER; SHELF; COMMUNITIES; SEDIMENTS; BENEATH; IMPACT; ISLAND</t>
  </si>
  <si>
    <t>Ice fluxes across the grounding zone affect global ice-sheet mass loss and sea level rise. Although recent changes in ice fluxes are well constrained by remote sensing, future projections remain uncertain, because key environments affecting ice-sheet dynamics - the ice-sheet bed and grounding zone - are largely unknown. Here, we used a remotely operated vehicle to explore the grounding zone of a Weddell Sea tidewater ice cliff. At 148 m we found a 0.3-0.5 m gap between the ice and the seafloor and a 0.4 m clear facies of debris- and bubble-free basal ice, suggesting freeze-on of meltwater in the distal marine portion of the ice sheet over the last 400 yr. Ploughmarks and low epifauna cover reveal recent grounding line retreat, as corroborated by satellite remote sensing. We found dense algal tufts on the ice cliff and high phytoplankton pigment concentrations, suggesting high productivity fuelled by nutrients from ice melt. As grounded tidewater ice cliffs rim 38% of the Antarctic continent, sinking and downwelling of organic matter along with low benthic turnover may contribute to enhanced carbon sequestration, providing a potentially important feedback to climate. Direct observations at the grounding zone of a tidewater glacier ice cliff in the Weddell Sea, obtained by remotely operated vehicle, reveal evidence for a freeze-on of meltwater above the seafloor, grounding line retreat and high productivity.</t>
  </si>
  <si>
    <t>[Owsianowski, Nils; Richter, Claudio] Alfred WegenerInst Helmholtz Zentrum Polar &amp; Meer, Bremerhaven, Germany; [Richter, Claudio] Univ Bremen, Bremen, Germany</t>
  </si>
  <si>
    <t>University of Bremen</t>
  </si>
  <si>
    <t>Owsianowski, N (corresponding author), Alfred WegenerInst Helmholtz Zentrum Polar &amp; Meer, Bremerhaven, Germany.</t>
  </si>
  <si>
    <t>nils.owsianowski@awi.de</t>
  </si>
  <si>
    <t>Richter, Claudio/0000-0002-8182-6896</t>
  </si>
  <si>
    <t>Open Access funding enabled and organized by Projekt DEAL.</t>
  </si>
  <si>
    <t>10.1038/s43247-021-00166-y</t>
  </si>
  <si>
    <t>SK7EI</t>
  </si>
  <si>
    <t>WOS:000656379000001</t>
  </si>
  <si>
    <t>Amin, OM; Heckmann, RA; Dallarés, S; Constenla, M; Rubtsova, NY; Kuzmina, T</t>
  </si>
  <si>
    <t>Amin, O. M.; Heckmann, R. A.; Dallares, S.; Constenla, M.; Rubtsova, N. Yu.; Kuzmina, T.</t>
  </si>
  <si>
    <t>New perspectives on Aspersentis Megarhynchus (Acanthocephala: Heteracanthocephalidae) from Notothenia Coriiceps Richardson (Nototheniidae) in the West Antarctic, with emended generic diagnosis</t>
  </si>
  <si>
    <t>JOURNAL OF HELMINTHOLOGY</t>
  </si>
  <si>
    <t>Acanthocephala; Aspersentis megarhynchus; Nothothenia coriiceps; EDXA; molecular profile; West Antarctic</t>
  </si>
  <si>
    <t>RAY-ANALYSIS EDXA; PHYLOGENETIC-RELATIONSHIPS; MOLECULAR CHARACTERIZATION; RHADINORHYNCHUS-ORNATUS; POLYMORPHIDAE; MORPHOLOGY; NUCLEAR; REDESCRIPTION; POPULATION; INFERENCE</t>
  </si>
  <si>
    <t>A number of variable descriptive accounts of Aspersentis megarhynchus (von Linstow, 1892) Golvan, 1960 have been reported from specimens collected from many species of fish in various locations off Antarctic islands. We have described a new population from Notothenia coriiceps Richardson (Nototheniidae) off Galindez Island, West Antarctica, and features not previously reported, resolved the taxonomic controversies and nomenclature, and emended and updated the generic diagnosis taking into account the newly observed structures. These are depicted in microscopic images and include the outer spiral wall of the proboscis receptacle, the thicker dorsal wall of the receptacle compared to the ventral wall, parts of the female reproductive system, the separate cement gland ducts, the dorsal position of the male gonopore and more detail of proboscis hooks and trunk spines. It is surprising that the newly observed features were missed from the many descriptions of A. megarhynchus created since the original description. The variability in A. megarhynchus is noted with a comparison of the morphometrics of our specimens vs. those in six other descriptions. We also analysed the metal composition of hooks and spines using energy-dispersive X-ray analysis and concluded a molecular characterization of the species based on 18S DNA gene, with related phylogenetic analyses.</t>
  </si>
  <si>
    <t>[Amin, O. M.; Rubtsova, N. Yu.] Inst Parasit Dis, 11445 E Via Linda 2-419, Scottsdale, AZ 85259 USA; [Heckmann, R. A.] Brigham Young Univ, Dept Biol, 1114 MLBM, Provo, UT 84602 USA; [Dallares, S.; Constenla, M.] Univ Autonoma Barcelona, Dept Anim Biol Vegetal Biol &amp; Ecol, Barcelona, Spain; [Kuzmina, T.] II Schmalhausen Inst Zool, Bohdana Khmelnytskoho St,15, UA-02000 Kiev, Ukraine</t>
  </si>
  <si>
    <t>Brigham Young University; Autonomous University of Barcelona; National Academy of Sciences Ukraine; Schmalhausen Institute of Zoology of NASU</t>
  </si>
  <si>
    <t>Amin, OM (corresponding author), Inst Parasit Dis, 11445 E Via Linda 2-419, Scottsdale, AZ 85259 USA.</t>
  </si>
  <si>
    <t>omaramin@aol.com</t>
  </si>
  <si>
    <t>Dallarés, Sara/AAH-6010-2019; Kuzmina, Tetiana/A-5457-2019; Constenla, Maria/D-2738-2016</t>
  </si>
  <si>
    <t>Dallarés, Sara/0000-0003-2030-811X; Kuzmina, Tetiana/0000-0002-5054-4757; Constenla, Maria/0000-0002-7672-123X</t>
  </si>
  <si>
    <t>Department of Biology, BYU, Provo, Utah; Parasitology Center, Inc., Scottsdale, Arizona</t>
  </si>
  <si>
    <t>This project was supported by the Department of Biology, BYU, Provo, Utah, and by an Institutional Grant from the Parasitology Center, Inc., Scottsdale, Arizona.</t>
  </si>
  <si>
    <t>0022-149X</t>
  </si>
  <si>
    <t>1475-2697</t>
  </si>
  <si>
    <t>J HELMINTHOL</t>
  </si>
  <si>
    <t>J. Helminthol.</t>
  </si>
  <si>
    <t>e27</t>
  </si>
  <si>
    <t>10.1017/S0022149X2100016X</t>
  </si>
  <si>
    <t>Parasitology; Zoology</t>
  </si>
  <si>
    <t>SG8DZ</t>
  </si>
  <si>
    <t>WOS:000653670700001</t>
  </si>
  <si>
    <t>Oliva-Urcia, B; López-Martínez, J; Maestro, A; Gil, A; Schmid, T; Lambán, LJ; Galé, C; Ubide, T; Lago, M</t>
  </si>
  <si>
    <t>Oliva-Urcia, B.; Lopez-Martinez, J.; Maestro, A.; Gil, A.; Schmid, T.; Lamban, L. J.; Gale, C.; Ubide, T.; Lago, M.</t>
  </si>
  <si>
    <t>Magnetic fabric from Quaternary volcanic edifices in the extensional Bransfield Basin: internal structure of Penguin and Bridgeman islands (South Shetlands archipelago, Antarctica)</t>
  </si>
  <si>
    <t>Magnetic properties; Antarctica; Magnetic fabrics and anisotropy; Lava rheology and morphology</t>
  </si>
  <si>
    <t>DECEPTION ISLAND; TECTONIC EVOLUTION; LAVA FLOWS; CRYSTALLOGRAPHIC FABRICS; PACIFIC MARGIN; AMS; PENINSULA; SUSCEPTIBILITY; ANISOTROPY; INSIGHTS</t>
  </si>
  <si>
    <t>Studying the magnetic fabric in volcanic edifices, particularly lava flows from recent eruptions, allows us to understand the orientation distribution of the minerals related to the flow direction and properly characterize older and/or eroded flows. In this work, the magnetic fabric from recent (Quaternary) lava flows (slightly inclined in seven sites and plateau lavas in two sites), pyroclastic deposits (two sites from a scoria cone) and volcanic cones, domes and plugs (three sites) from Penguin and Bridgeman islands, located in the Bransfield backarc basin, are presented. The volcanism in the two islands is related to rifting occurring due to the opening of the Bransfield Strait, between the South Shetlands archipelago and the Antarctic Peninsula. The direction of flow of magmatic material is unknown. Rock magnetic analyses, low temperature measurements and electron microscope observations (back-scattered electron imaging and Energy Dispersive X-ray analyses) reveal a Ti-poor magnetite (and maghemite) as the main carrier of the magnetic fabric. Hematite may be present in some samples. Samples from the centre of the lavas reveal a magnetic lineation either parallel or imbricated with respect to the flow plane, whereas in the plateau lavas the magnetic lineation is contained within the subhorizontal plane except in vesicle-rich samples, where imbrication occurs. The magnetic lineation indicates a varied flow direction in Bridgeman Island with respect to the spreading Bransfield Basin axis. The flow direction in the plateau lavas on Penguin Island is deduced from the imbrication of the magnetic fabric in the more vesicular parts, suggesting a SE-NW flow. The volcanic domes are also imbricated with respect to an upward flow, and the bombs show scattered distribution.</t>
  </si>
  <si>
    <t>[Oliva-Urcia, B.; Lopez-Martinez, J.; Maestro, A.] Univ Autonoma Madrid, Fac Sci, Dept Geol &amp; Geochem, Madrid 28049, Spain; [Maestro, A.] Inst Geol &amp; Minero Espana, 28760 Tres Cantos, Madrid 28003, Spain; [Gil, A.; Gale, C.; Lago, M.] Univ Zaragoza, Earth Sci Dept, Geotransfer IUCA, E-50009 Zaragoza, Spain; [Schmid, T.] Ctr Invest Energet Medioambientales &amp; Tecnol CIEM, Madrid 28040, Spain; [Lamban, L. J.] Oficina Zaragoza, Inst Geol &amp; Minero Espana, Zaragoza 50006, Spain; [Ubide, T.] Univ Queensland, Sch Earth &amp; Environm Sci, St Lucia, Qld 4072, Australia</t>
  </si>
  <si>
    <t>Autonomous University of Madrid; University of Zaragoza; Centro de Investigaciones Energeticas, Medioambientales Tecnologicas; University of Queensland</t>
  </si>
  <si>
    <t>Oliva-Urcia, B (corresponding author), Univ Autonoma Madrid, Fac Sci, Dept Geol &amp; Geochem, Madrid 28049, Spain.</t>
  </si>
  <si>
    <t>belen.oliva@uam.es</t>
  </si>
  <si>
    <t>Oliva-Urcia, Belén/K-4485-2014; Galé, Carlos/K-9151-2014; Lopez-Martinez, Jeronimo/C-5744-2011; Maestro, Adolfo/ABG-7268-2021; Schmid, Thomas/L-3397-2014; Jiménez, Luis Javier L.J Lambán/L-8462-2014; Gale, Carlos/GPX-1067-2022; Ubide, Teresa/L-8225-2016; Maestro Gonzalez, Adolfo/K-2434-2014</t>
  </si>
  <si>
    <t>Oliva-Urcia, Belén/0000-0003-1563-6434; Galé, Carlos/0000-0002-2745-0357; Lopez-Martinez, Jeronimo/0000-0002-1750-8287; Schmid, Thomas/0000-0002-2849-4730; Gale, Carlos/0000-0002-2745-0357; Ubide, Teresa/0000-0002-2944-8736; Maestro Gonzalez, Adolfo/0000-0002-7474-725X</t>
  </si>
  <si>
    <t>Spanish RD National Plan [CTM2014-57119-R, RTI2018-098099-B-I00]</t>
  </si>
  <si>
    <t>Spanish RD National Plan(Spanish Government)</t>
  </si>
  <si>
    <t>This work is supported by the Projects CTM2014-57119-R and RTI2018-098099-B-I00 of the Spanish R&amp;D National Plan. The authors acknowledge the facilities and logistic support of the Spanish Antarctic Program, particularly the Oceanographic Research Vessel Hesperides 2017 captain and crew. The AMS laboratory use and discussions at the University of Zaragoza (UZ) and at the University of Burgos were very useful. The Servicio General de Apoyo a la Investigaci ' on-SAI (UZ) is also acknowledged, together with E. Salvador from the SIdI of the Universidad Aut ' onoma de Madrid. We are indebted to comments of reviewer A. Hirt, an anonymous reviewer and editor A. Biggin which contributed to improve the first version of the manuscript.</t>
  </si>
  <si>
    <t>10.1093/gji/ggab177</t>
  </si>
  <si>
    <t>US8IG</t>
  </si>
  <si>
    <t>WOS:000697667900025</t>
  </si>
  <si>
    <t>Roux, S; Paul, BG; Bagby, SC; Nayfach, S; Allen, MA; Attwood, G; Cavicchioli, R; Chistoserdova, L; Gruninger, RJ; Hallam, SJ; Hernandez, ME; Hess, M; Liu, WT; McAllister, TA; O'Malley, MA; Peng, XF; Rich, VI; Saleska, SR; Eloe-Fadrosh, EA</t>
  </si>
  <si>
    <t>Roux, Simon; Paul, Blair G.; Bagby, Sarah C.; Nayfach, Stephen; Allen, Michelle A.; Attwood, Graeme; Cavicchioli, Ricardo; Chistoserdova, Ludmila; Gruninger, Robert J.; Hallam, Steven J.; Hernandez, Maria E.; Hess, Matthias; Liu, Wen-Tso; McAllister, Tim A.; O'Malley, Michelle A.; Peng, Xuefeng; Rich, Virginia, I; Saleska, Scott R.; Eloe-Fadrosh, Emiley A.</t>
  </si>
  <si>
    <t>Ecology and molecular targets of hypermutation in the global microbiome</t>
  </si>
  <si>
    <t>DIVERSITY-GENERATING RETROELEMENTS; LECTIN FOLD; BACTERIA; ALGORITHM; ALIGNMENT; DISCOVERY; DYNAMICS; SYSTEM; TREE</t>
  </si>
  <si>
    <t>Changes in the sequence of an organism's genome, i.e., mutations, are the raw material of evolution. The frequency and location of mutations can be constrained by specific molecular mechanisms, such as diversity-generating retroelements (DGRs). DGRs have been characterized from cultivated bacteria and bacteriophages, and perform error-prone reverse transcription leading to mutations being introduced in specific target genes. DGR loci were also identified in several metagenomes, but the ecological roles and evolutionary drivers of these DGRs remain poorly understood. Here, we analyze a dataset of &gt;30,000 DGRs from public metagenomes, establish six major lineages of DGRs including three primarily encoded by phages and seemingly used to diversify host attachment proteins, and demonstrate that DGRs are broadly active and responsible for &gt;10% of all amino acid changes in some organisms. Overall, these results highlight the constraints under which DGRs evolve, and elucidate several distinct roles these elements play in natural communities.</t>
  </si>
  <si>
    <t>[Roux, Simon; Nayfach, Stephen; Eloe-Fadrosh, Emiley A.] Lawrence Berkeley Natl Lab, DOE Joint Genome Inst, Berkeley, CA 94720 USA; [Paul, Blair G.] Marine Biol Lab, Woods Hole, MA 02543 USA; [Bagby, Sarah C.] Case Western Reserve Univ, Dept Biol, Cleveland, OH 44106 USA; [Allen, Michelle A.; Cavicchioli, Ricardo] Univ New South Wales, Sydney, NSW, Australia; [Attwood, Graeme] AgResearch Ltd, Grasslands Res Ctr, Palmerston North, New Zealand; [Chistoserdova, Ludmila] Univ Washington, Seattle, WA 98195 USA; [Gruninger, Robert J.; McAllister, Tim A.] Agr &amp; Agri Food Canada, Lethbridge Res &amp; Dev Ctr, Lethbridge, AB, Canada; [Hallam, Steven J.] Univ British Columbia, Dept Microbiol &amp; Immunol, Vancouver, BC, Canada; [Hallam, Steven J.] Univ British Columbia, Genome Sci Ctr, Grad Program Bioinformat, Vancouver, BC, Canada; [Hallam, Steven J.] Univ British Columbia, Genome Sci &amp; Technol Program, Vancouver, BC, Canada; [Hallam, Steven J.] Univ British Columbia, Life Sci Inst, Vancouver, BC, Canada; [Hallam, Steven J.] Univ British Columbia, ECOSCOPE Training Program, Vancouver, BC, Canada; [Hernandez, Maria E.] Inst Ecol AC Red Manejo Biotechnol Recursos, Xalapa, Veracruz, Mexico; [Hess, Matthias] Univ Calif Davis, Davis, CA USA; [Liu, Wen-Tso] Univ Illinois, Urbana, IL USA; [O'Malley, Michelle A.] Univ Calif Santa Barbara, Dept Chem Engn, Santa Barbara, CA 93106 USA; [Peng, Xuefeng] Univ Calif Santa Barbara, Inst Marine Sci, Santa Barbara, CA 93106 USA; [Rich, Virginia, I] Ohio State Univ, Columbus, OH 43210 USA; [Saleska, Scott R.] Univ Arizona, Tucson, AZ USA</t>
  </si>
  <si>
    <t>United States Department of Energy (DOE); Lawrence Berkeley National Laboratory; Marine Biological Laboratory - Woods Hole; University System of Ohio; Case Western Reserve University; University of New South Wales Sydney; AgResearch - New Zealand; University of Washington; University of Washington Seattle; Agriculture &amp; Agri Food Canada; University of British Columbia; University of British Columbia; University of British Columbia; University of British Columbia; University of British Columbia; University of California System; University of California Davis; University of Illinois System; University of Illinois Urbana-Champaign; University of California System; University of California Santa Barbara; University of California System; University of California Santa Barbara; University System of Ohio; Ohio State University; University of Arizona</t>
  </si>
  <si>
    <t>Roux, S; Eloe-Fadrosh, EA (corresponding author), Lawrence Berkeley Natl Lab, DOE Joint Genome Inst, Berkeley, CA 94720 USA.</t>
  </si>
  <si>
    <t>sroux@lbl.gov; eaeloefadrosh@lbl.gov</t>
  </si>
  <si>
    <t>Roux, Simon/ABE-6255-2020; McAllister, Tim A/R-9201-2017; Chistoserdova, Ludmila/K-2364-2017; Hess, Matthias/R-3006-2017; Saleska, Scott/K-1733-2016; Cavicchioli, Ricardo/D-4341-2013</t>
  </si>
  <si>
    <t>Roux, Simon/0000-0002-5831-5895; Hess, Matthias/0000-0003-0321-0380; Allen, Michelle/0000-0002-8852-1454; Paul, Blair/0000-0002-5738-5568; Nayfach, Stephen/0000-0003-4625-4164; Eloe-Fadrosh, Emiley/0000-0002-8162-1276; Saleska, Scott/0000-0002-4974-3628; Hallam, Steven/0000-0002-4889-6876; Peng, Xuefeng/0000-0001-8696-1934; Bagby, Sarah/0000-0002-1795-3161; Cavicchioli, Ricardo/0000-0001-8989-6402</t>
  </si>
  <si>
    <t>Office of Science of the U.S. Department of Energy [DE-AC02-05CH11231]; U.S. Department of Energy Office of Science User Facility [DE-AC02-05CH11231]; Marine Biological Laboratory; National Science Foundation [DEB170007]; California NanoSystems Institute at the University of California Santa Barbara; U.S. Department of Energy [DE-AC02-05CH11231, SC0020173]; National Science Foundation (NSF) [MCB-1553721]; Camille Dreyfus Teacher-Scholar Awards Program; California NanoSystems Institute (CNSI) Challenge Grant Program - University of California, Santa Barbara; Office of Biological and Environmental Research of the DOE Office of Science [DE-AC02-05CH11231]; Australian Research Council [DP150100244]; Australian Antarctic Science program [4031]; University of California, Office of the President; US Department of Energy (DOE) Joint Genome Institute, an Office of Science User Facility - Office of Science of the U.S. Department of Energy under Community Science Program (CSP) [DE-AC02-05CH11231]; Ambrose Monell Foundation; Natural Sciences and Engineering Research Council of Canada; Canada Foundation for Innovation; Agriculture and Agri-Food Canada; Beef Cattle Research Council; Genomic Science Program of the United States Department of Energy Office of Biological and Environmental Research [DE-SC0004632, DE-SC0010580, DE-SC0016440]; EMERGE Institute (NSF) [2022070]; Alberta Beef Producers; G. Unger Vetlesen Foundation; Genome British Columbia; Genome Canada; Compute Canada</t>
  </si>
  <si>
    <t>Office of Science of the U.S. Department of Energy(United States Department of Energy (DOE)); U.S. Department of Energy Office of Science User Facility(United States Department of Energy (DOE)); Marine Biological Laboratory; National Science Foundation(National Science Foundation (NSF)); California NanoSystems Institute at the University of California Santa Barbara; U.S. Department of Energy(United States Department of Energy (DOE)); National Science Foundation (NSF)(National Science Foundation (NSF)); Camille Dreyfus Teacher-Scholar Awards Program; California NanoSystems Institute (CNSI) Challenge Grant Program - University of California, Santa Barbara; Office of Biological and Environmental Research of the DOE Office of Science; Australian Research Council(Australian Research Council); Australian Antarctic Science program; University of California, Office of the President(University of California System); US Department of Energy (DOE) Joint Genome Institute, an Office of Science User Facility - Office of Science of the U.S. Department of Energy under Community Science Program (CSP)(United States Department of Energy (DOE)); Ambrose Monell Foundation; Natural Sciences and Engineering Research Council of Canada(Natural Sciences and Engineering Research Council of Canada (NSERC)CGIAR); Canada Foundation for Innovation(Canada Foundation for InnovationCGIARSpanish Government); Agriculture and Agri-Food Canada(Agriculture &amp; Agri Food Canada); Beef Cattle Research Council; Genomic Science Program of the United States Department of Energy Office of Biological and Environmental Research(United States Department of Energy (DOE)); EMERGE Institute (NSF); Alberta Beef Producers; G. Unger Vetlesen Foundation; Genome British Columbia; Genome Canada(Genome Canada); Compute Canada</t>
  </si>
  <si>
    <t>We thank Sean Crowe, Laura A. Hug, Kelly C. Wrighton, Stuart E. Denman, Gonzalo Martinez-Fernandez, Christopher S. McSweeney, and Katherine D. McMahon for providing detailed information on unpublished metagenomes. The work conducted by the U.S. Department of Energy Joint Genome Institute is supported by the Office of Science of the U.S. Department of Energy under contract no. DE-AC02-05CH11231. This research used resources of the National Energy Research Scientific Computing Center (NERSC), a U.S. Department of Energy Office of Science User Facility operated under Contract No. DE-AC02-05CH11231. B.G.P. was supported by the Marine Biological Laboratory, by the National Science Foundation's XSEDE computing resource (award DEB170007), and through a Challenge Grant from the California NanoSystems Institute at the University of California Santa Barbara. S.C.B. was partially supported by the U.S. Department of Energy under award DE-SC0020173. M.A.O. acknowledges funding support from the National Science Foundation (NSF) (MCB-1553721), the Camille Dreyfus Teacher-Scholar Awards Program, and the California NanoSystems Institute (CNSI) Challenge Grant Program, supported by the University of California, Santa Barbara and the University of California, Office of the President. This work was part of the DOE Joint BioEnergy Institute supported by the Office of Biological and Environmental Research of the DOE Office of Science through contract DE-AC02-05CH11231 between Lawrence Berkeley National Laboratory and the DOE. R.C. was supported by the Australian Research Council (DP150100244) and the Australian Antarctic Science program (project 4031). The work in the Hallam Lab was performed under the auspices of the US Department of Energy (DOE) Joint Genome Institute, an Office of Science User Facility, supported by the Office of Science of the U.S. Department of Energy under Contract DE-AC02-05CH11231 through the Community Science Program (CSP), the G. Unger Vetlesen and Ambrose Monell Foundations, the Natural Sciences and Engineering Research Council of Canada, Genome British Columbia, Genome Canada, and Compute Canada and the Canada Foundation for Innovation through grants awarded to S.J.H., R.J.G. and T.A.M. acknowledge funding from Agriculture and Agri-Food Canada, the Beef Cattle Research Council and the Alberta Beef Producers. V.I.R. and S.R.S. acknowledge support for the IsoGenie Project (samples and metadata from Stordalen Mire, Sweden) by the Genomic Science Program of the United States Department of Energy Office of Biological and Environmental Research (DE-SC0004632, DE-SC0010580, DE-SC0016440), and acknowledge the IsoGenie Project Team. S.R., S.C.B., V.I.R., S.R.S. and E.A.E.-F. acknowledge support from the EMERGE Institute (NSF #2022070). Sequencing of the Stordalen Mire samples used herein was performed under BER Support Science Proposal 503530, conducted by the U.S. Department of Energy Joint Genome Institute, which is supported as described above. This manuscript has been authored by authors at Lawrence Berkeley National Laboratory under Contract No. DE-AC02-05CH11231 with the U.S. Department of Energy. The U.S. Government retains, and the publisher, by accepting the article for publication, acknowledges, that the U.S. Government retains a non-exclusive, paid-up, irrevocable, worldwide license to publish or reproduce the published form of this manuscript, or allow others to do so, for U.S.; Government purposes.</t>
  </si>
  <si>
    <t>MAY 24</t>
  </si>
  <si>
    <t>10.1038/s41467-021-23402-7</t>
  </si>
  <si>
    <t>SO1WO</t>
  </si>
  <si>
    <t>WOS:000658769900028</t>
  </si>
  <si>
    <t>Fragao, J; Bessa, F; Otero, V; Barbosa, A; Sobral, P; Waluda, CM; Guímaro, HR; Xavier, JC</t>
  </si>
  <si>
    <t>Fragao, Joana; Bessa, Filipa; Otero, Vanessa; Barbosa, Andres; Sobral, Paula; Waluda, Claire M.; Guimaro, Hugo R.; Xavier, Jose C.</t>
  </si>
  <si>
    <t>Microplastics and other anthropogenic particles in Antarctica: Using penguins as biological samplers</t>
  </si>
  <si>
    <t>Antarctic Peninsula; Scotia Sea; Plastic pollution; Microplastics; Cellulose; Antarctic top predators</t>
  </si>
  <si>
    <t>MARINE-ENVIRONMENT; PLASTIC PARTICLES; COMMERCIAL FISH; CLIMATE-CHANGE; ROSS SEA; KRILL; INGESTION; ECOSYSTEM; SEABIRDS; DIET</t>
  </si>
  <si>
    <t>Microplastics (&lt; 5 mm in size) are known to be widespread in the marine environment but are still poorly studied in Polar Regions, particularly in the Antarctic. As penguins have a wide distribution around Antarctica, three congeneric species: Adelie (Pygoscelis adeliae), chinstrap (Pygoscelis antarcticus) and gentoo penguins (Pygoscelis papua) were selected to evaluate the occurrence of microplastics across the Antarctic Peninsula and Scotia Sea. Scat samples (used as a proxy of ingestion), were collected from breeding colonies over seven seasons between 2006 and 2016. Antarctic krill (Euphausia superba), present in scat samples, contributed 85%, 66% and 54% of the diet in terms of frequency of occurrence to the diet of Adelie, gentoo and chinstrap penguins, respectively. Microplastics were found in 15%, 28% and 29% scats of Adelie, chinstrap and gentoo penguin respectively. A total of 92 particles were extracted from the scats (n = 317) and 32% (n = 29) were chemically identified via micro-Fourier Transform Infrared Spectroscopy (mu-FTIR). From all the particles extracted, 35% were identified as microplastics, particularly polyethylene (80%) and polyester (10%). It was not possible to ascertain the identification of the remaining 10% of samples. Other anthropogenic particles were identified in 55% of samples, identified as cellulose fibres. The results show a similar frequency of occurrence of particles across all colonies, suggesting there is no particular point source for microplastic pollution in the Scotia Sea. Additionally, no clear temporal variation in the number of microplastics in penguins was observed. Overall, this study reveals the presence of microplastics across Antarctica, in three penguin species and offers evidence of other anthropogenic particles in high numbers. Further research is needed to better understand the spatio-temporal dynamics, fate and effect of microplastics on these ecosystems, and improve plastic pollution policies in Antarctica. (c) 2021 Elsevier B.V. All rights reserved.</t>
  </si>
  <si>
    <t>[Fragao, Joana; Bessa, Filipa; Guimaro, Hugo R.; Xavier, Jose C.] Univ Coimbra, Mare Marine &amp; Environm Sci Ctr, Dept Life Sci, P-3000456 Coimbra, Portugal; [Otero, Vanessa] NOVA Univ Lisbon, NOVA Sch Sci &amp; Technol, Dept Conservat &amp; Restorat, LAQV REQUIMTE, P-2829516 Monte De Caparica, Portugal; [Otero, Vanessa] NOVA Univ Lisbon, NOVA Sch Sci &amp; Technol, Dept Conservat &amp; Restorat, VICARTE, P-2829516 Monte De Caparica, Portugal; [Barbosa, Andres] CSIC, Dept Ecol Evolut, Museo Nacl Ciencias Nat, Madrid 28006, Spain; [Sobral, Paula] NOVA Univ Lisbon, Marine &amp; Environm Sci Ctr, NOVA Sch Sci &amp; Technol, P-2829516 Monte De Caparica, Portugal; [Waluda, Claire M.; Xavier, Jose C.] British Antarctic Survey, Nat Environm Res Council, Madingley Rd, Cambridge CB3 0ET, England</t>
  </si>
  <si>
    <t>Universidade de Coimbra; Universidade Nova de Lisboa; Universidade Nova de Lisboa; Consejo Superior de Investigaciones Cientificas (CSIC); CSIC - Museo Nacional de Ciencias Naturales (MNCN); Universidade Nova de Lisboa; UK Research &amp; Innovation (UKRI); Natural Environment Research Council (NERC); NERC British Antarctic Survey</t>
  </si>
  <si>
    <t>Fragao, J (corresponding author), Univ Coimbra, Mare Marine &amp; Environm Sci Ctr, Dept Life Sci, P-3000456 Coimbra, Portugal.</t>
  </si>
  <si>
    <t>joanacfragao@gmail.com</t>
  </si>
  <si>
    <t>Otero, Vanessa/M-1934-2017; Bessa, Filipa/E-4941-2014; Guímaro, Hugo/JNE-7768-2023; Xavier, José/KFB-6739-2024; Sobral, Paula/E-7187-2013</t>
  </si>
  <si>
    <t>Otero, Vanessa/0000-0003-2336-0773; Bessa, Filipa/0000-0002-6602-3710; /0000-0002-9621-6660; Guimaro, Hugo/0000-0002-9418-3439; Fragao, Joana/0000-0003-3368-5002; Sobral, Paula/0000-0003-0834-6789</t>
  </si>
  <si>
    <t>University of Coimbra; MARE-UC facilities; FCT [UIDB/04292/2020]; Spanish Research Agency [CGL2004-01348, CTM2015-64720]; University of Coimbra [IT057-18-7252]</t>
  </si>
  <si>
    <t>University of Coimbra; MARE-UC facilities; FCT(Fundacao para a Ciencia e a Tecnologia (FCT)); Spanish Research Agency(Spanish Government); University of Coimbra</t>
  </si>
  <si>
    <t>The work was supported by the University of Coimbra and MARE-UC facilities. The study benefited from the strategic program of MARE, financed by FCT (UIDB/04292/2020). The work of F.B. was supported by the University of Coimbra through contract IT057-18-7252. Sample collection was supported by the projects CGL2004-01348 and CTM2015-64720 funded by the Spanish Research Agency. We thank staff at Bird Island Research Station for providing the samples collected at Landing Beach.</t>
  </si>
  <si>
    <t>10.1016/j.scitotenv.2021.147698</t>
  </si>
  <si>
    <t>ST7UV</t>
  </si>
  <si>
    <t>WOS:000662645700012</t>
  </si>
  <si>
    <t>Jokat, W; Altenbernd, T; Eagles, G; Geissler, WH</t>
  </si>
  <si>
    <t>Jokat, Wilfried; Altenbernd, Tabea; Eagles, Graeme; Geissler, Wolfram H.</t>
  </si>
  <si>
    <t>The early drift of the Indian plate</t>
  </si>
  <si>
    <t>REGIONAL TECTONIC FRAMEWORK; 40AR/39AR GEOCHRONOLOGY; KERGUELEN PLATEAU; CAUVERY BASIN; ELAN BANK; BREAKUP; ORIGIN; OCEAN; CONSTRAINTS; EVOLUTION</t>
  </si>
  <si>
    <t>Plate kinematic models propose that India and Sri Lanka (INDSRI) separated from Antarctica by extremely slow seafloor spreading that started in early Cretaceous times, and that a long-distance ridge jump left a continental fragment stranded off the Antarctic margin under the Southern Kerguelen Plateau (1-3). Here, we present newly acquired magnetic and deep wide-angle seismic data that require a fundamental re-evaluation of these concepts. The new data clearly define the onset of oceanic crust in the Enderby Basin and off southern Sri Lanka, and date its formation with unprecedented confidence. The revised timing indicates that India and Sri Lanka detached from Antarctica earlier in the east than in the west. Furthermore, no compelling evidence for an extinct spreading axis is found in the Enderby Basin. A refined plate motion model indicates that India and Sri Lanka departed from Antarctica without major rift jumps, but by the action of three spreading ridges with different timings and velocities that must have been accommodated by significant intracontinental deformation.</t>
  </si>
  <si>
    <t>[Jokat, Wilfried; Altenbernd, Tabea; Eagles, Graeme; Geissler, Wolfram H.] Helmholtz Ctr Polar &amp; Marine Res, Alfred Wegener Inst, Alten Hafen 26, D-27568 Bremerhaven, Germany; [Jokat, Wilfried] Univ Bremen, Geosci Dept, Klagenfurter Str 4, D-28359 Bremen, Germany</t>
  </si>
  <si>
    <t>Helmholtz Association; Alfred Wegener Institute, Helmholtz Centre for Polar &amp; Marine Research; University of Bremen</t>
  </si>
  <si>
    <t>Jokat, W (corresponding author), Helmholtz Ctr Polar &amp; Marine Res, Alfred Wegener Inst, Alten Hafen 26, D-27568 Bremerhaven, Germany.;Jokat, W (corresponding author), Univ Bremen, Geosci Dept, Klagenfurter Str 4, D-28359 Bremen, Germany.</t>
  </si>
  <si>
    <t>Wilfried.Jokat@awi.de</t>
  </si>
  <si>
    <t>Eagles, Graeme/0000-0001-5325-0810; Geissler, Wolfram/0000-0001-6807-555X; Altenbernd-Lang, Tabea/0000-0002-2295-9250</t>
  </si>
  <si>
    <t>German Ministry of Research [03G0258A]; Alfred Wegener Institute Bremerhaven; Geological Survey of Sri Lanka; Geoforschungzentrum, Potsdam (Germany)</t>
  </si>
  <si>
    <t>German Ministry of Research; Alfred Wegener Institute Bremerhaven; Geological Survey of Sri Lanka; Geoforschungzentrum, Potsdam (Germany)</t>
  </si>
  <si>
    <t>This work was supported by the German Ministry of Research grant 03G0258A. Additional support was provided by the Alfred Wegener Institute Bremerhaven. We thank the captains and crews of the research vessels Akademik Alexandr Karpinskiy, Polarstern and Sonne and the Scientific Parties of three cruises as well as the Geoforschungzentrum, Potsdam (Germany) and the Geological Survey of Sri Lanka for their support.</t>
  </si>
  <si>
    <t>10.1038/s41598-021-90172-z</t>
  </si>
  <si>
    <t>SO6WF</t>
  </si>
  <si>
    <t>WOS:000659114900019</t>
  </si>
  <si>
    <t>Krisch, S; Hopwood, MJ; Schaffer, J; Al-Hashem, A; Höfer, J; van der Loeff, MMR; Conway, TM; Summers, BA; Lodeiro, P; Ardiningsih, I; Steffens, T; Achterberg, EP</t>
  </si>
  <si>
    <t>Krisch, Stephan; Hopwood, Mark James; Schaffer, Janin; Al-Hashem, Ali; Hofer, Juan; van der Loeff, Michiel M. Rutgers; Conway, Tim M.; Summers, Brent A.; Lodeiro, Pablo; Ardiningsih, Indah; Steffens, Tim; Achterberg, Eric Pieter</t>
  </si>
  <si>
    <t>The 79°N Glacier cavity modulates subglacial iron export to the NE Greenland Shelf</t>
  </si>
  <si>
    <t>DISSOLVED IRON; ICE-SHEET; ORGANIC COMPLEXATION; WATER EXCHANGE; NORTHERN GULF; FRAM STRAIT; ISOTOPE; OCEAN; MELTWATER; SVALBARD</t>
  </si>
  <si>
    <t>Approximately half of the freshwater discharged from the Greenland and Antarctic Ice Sheets enters the ocean subsurface as a result of basal ice melt, or runoff draining via the grounding line of a deep ice shelf or marine-terminating glacier. Around Antarctica and parts of northern Greenland, this freshwater then experiences prolonged residence times in large cavities beneath floating ice tongues. Due to the inaccessibility of these cavities, it is unclear how they moderate the freshwater associated supply of nutrients such as iron (Fe) to the ocean. Here, we show that subglacial dissolved Fe export from Nioghalvfjerdsbrae (the '79 degrees N Glacier') is decoupled from particulate inputs including freshwater Fe supply, likely due to the prolonged similar to 162-day residence time of Atlantic water beneath Greenland's largest floating ice-tongue. Our findings indicate that the overturning rate and particle-dissolved phase exchanges in ice cavities exert a dominant control on subglacial nutrient supply to shelf regions.</t>
  </si>
  <si>
    <t>[Krisch, Stephan; Hopwood, Mark James; Al-Hashem, Ali; Lodeiro, Pablo; Steffens, Tim; Achterberg, Eric Pieter] GEOMAR Helmholtz Ctr Ocean Res Kiel, Kiel, Germany; [Schaffer, Janin; van der Loeff, Michiel M. Rutgers] Alfred Wegener Inst, Helmholtz Ctr Polar &amp; Marine Res, Bremerhaven, Germany; [Hofer, Juan] Pontificia Univ Catolica Valparaiso, Escuela Ciencias Mar, Valparaiso, Chile; [Conway, Tim M.; Summers, Brent A.] Univ S Florida, Coll Marine Sci, St Petersburg, FL USA; [Lodeiro, Pablo] Univ Lleida, Agrotecnio, Cerca Ctr, Dept Chem, Lleida, Spain; [Ardiningsih, Indah] Univ Utrecht, NIOZ Royal Netherlands Inst Sea Res, Den Burg, Texel, Netherlands</t>
  </si>
  <si>
    <t>Helmholtz Association; GEOMAR Helmholtz Center for Ocean Research Kiel; Helmholtz Association; Alfred Wegener Institute, Helmholtz Centre for Polar &amp; Marine Research; Pontificia Universidad Catolica de Valparaiso; State University System of Florida; University of South Florida; Universitat de Lleida; Utrecht University; Royal Netherlands Institute for Sea Research (NIOZ)</t>
  </si>
  <si>
    <t>Achterberg, EP (corresponding author), GEOMAR Helmholtz Ctr Ocean Res Kiel, Kiel, Germany.</t>
  </si>
  <si>
    <t>eachterberg@geomar.de</t>
  </si>
  <si>
    <t>Achterberg, Eric P/C-5820-2009; Hopwood, Mark/E-2187-2019; Lodeiro, Pablo/H-8395-2019</t>
  </si>
  <si>
    <t>Lodeiro, Pablo/0000-0002-2557-5391; Krisch, Stephan/0000-0002-7842-0676; Ardiningsih, Indah/0000-0002-3537-6927; Al-Hashem, Ali/0000-0001-8241-5717</t>
  </si>
  <si>
    <t>GEOMAR; German Research Foundation (DFG) [AC 217/1-1, HO 6321/1-1]; GLACE project by the Swiss Polar Institute; Swiss Polar Foundation; German Federal Ministry of Education and Research (BMBF) within the GROCE project [03F0778A]</t>
  </si>
  <si>
    <t>GEOMAR; German Research Foundation (DFG)(German Research Foundation (DFG)); GLACE project by the Swiss Polar Institute; Swiss Polar Foundation; German Federal Ministry of Education and Research (BMBF) within the GROCE project(Federal Ministry of Education &amp; Research (BMBF))</t>
  </si>
  <si>
    <t>The authors thank Captain Schwarze and the crew of the RV Polarstern (GN05 cruise); chief scientist Torsten Kanzow (AWI); Nicola Herzberg and Jaw Chuen Yong (GEOMAR) for assistance with sample collection; Takamasa Tsubouchi (AWI), Eike Kohn (GEOMAR) and Nat Wilson (Woods Hole Oceanographic Institution) for CTD handling; Gerd Rohardt (AWI) for CTD data processing; Christian Schlosser and Shao-Min Chen (GEOMAR) for assistance during trace element analyses; Martin Graeve and Kai-Uwe Ludwichowski (AWI) for macronutrient analysis; and Hanno Meyer (AWI) for the analyses of oxygen isotopes. S.K. was financed by GEOMAR and the German Research Foundation (DFG award number AC 217/1-1 to E.A.). M.H. received support from the DFG (award number HO 6321/1-1) and the GLACE project, organized by the Swiss Polar Institute and supported by the Swiss Polar Foundation. J.S. acknowledges support from the German Federal Ministry of Education and Research (BMBF) within the GROCE project (grant 03F0778A).</t>
  </si>
  <si>
    <t>10.1038/s41467-021-23093-0</t>
  </si>
  <si>
    <t>SO1WB</t>
  </si>
  <si>
    <t>WOS:000658768600002</t>
  </si>
  <si>
    <t>Transforming Antarctic management and policy with an Indigenous Maori lens</t>
  </si>
  <si>
    <t>KNOWLEDGE; AREA</t>
  </si>
  <si>
    <t>Global conceptions of Antarctica are dominated by colonial narratives despite an ostensibly collaborative paradigm. We argue that an Indigenous Maori framework centring relational thinking and connectedness, humans and non-human kin, and drawing on concepts of both reciprocity and responsibility, offers transformational insight into true collective management and conservation of Antarctica.</t>
  </si>
  <si>
    <t>[Wehi, Priscilla M.] Manaaki Whenua Landcare Res, Dunedin, Aotearoa, New Zealand; [Wehi, Priscilla M.] Univ Otago, Ctr Sustainabil, Dunedin, Aotearoa, New Zealand; [van Uitregt, Vincent; Watene, Krushil] Massey Univ, Sch Humanities, Auckland, Aotearoa, New Zealand; [Scott, Nigel J.; Gillies, Tasman; Rodgers, Rata Pryor] Te Runanga o Ngai Tahu, Te Whare o Te Waipounamu, Christchurch, Aotearoa, New Zealand; [Beckwith, Jacinta] Univ Otago, Hocken Collect, Dunedin, Aotearoa, New Zealand</t>
  </si>
  <si>
    <t>Landcare Research - New Zealand; University of Otago; Massey University; University of Otago</t>
  </si>
  <si>
    <t>Wehi, PM (corresponding author), Manaaki Whenua Landcare Res, Dunedin, Aotearoa, New Zealand.;Wehi, PM (corresponding author), Univ Otago, Ctr Sustainabil, Dunedin, Aotearoa, New Zealand.</t>
  </si>
  <si>
    <t>MBIE grant [C01x1710]; RDF [LCR-14-001, MAU-18-001]; Te Runanga o Ngai Tahu; New Zealand Ministry of Business, Innovation &amp; Employment (MBIE) [C01X1710] Funding Source: New Zealand Ministry of Business, Innovation &amp; Employment (MBIE)</t>
  </si>
  <si>
    <t>MBIE grant(New Zealand Ministry of Business, Innovation and Employment (MBIE)); RDF; Te Runanga o Ngai Tahu; New Zealand Ministry of Business, Innovation &amp; Employment (MBIE)(New Zealand Ministry of Business, Innovation and Employment (MBIE))</t>
  </si>
  <si>
    <t>This work was funded by MBIE grant C01x1710; RDF LCR-14-001 to P.M.W. and MAU-18-001 to K.W.; and Te Runanga o Ngai Tahu.</t>
  </si>
  <si>
    <t>10.1038/s41559-021-01466-4</t>
  </si>
  <si>
    <t>WOS:000653692400003</t>
  </si>
  <si>
    <t>Testor, P; de Young, B; Rudnick, DL; Glenn, S; Hayes, D; Lee, CM; Pattiaratchi, C; Hill, K; Heslop, E; Turpin, V; Alenius, P; Barrera, C; Barth, JA; Beaird, N; Bécu, G; Bosse, A; Bourrin, F; Brearley, JA; Chao, Y; Chen, S; Chiggiato, J; Coppola, L; Crout, R; Cummings, J; Curry, B; Curry, R; Davis, R; Desai, K; DiMarco, S; Edwards, C; Fielding, S; Fer, I; Frajka-Williams, E; Gildor, H; Goni, G; Gutierrez, D; Haugan, P; Hebert, D; Heiderich, J; Henson, S; Heywood, K; Hogan, P; Houpert, L; Huh, S; Inall, ME; Ishii, M; Ito, SI; Itoh, S; Jan, S; Kaiser, J; Karstensen, J; Kirkpatrick, B; Klymak, J; Kohut, J; Krahmann, G; Krug, M; McClatchie, S; Marin, F; Mauri, E; Mehra, A; Meredith, MP; Meunier, T; Miles, T; Morell, JM; Mortier, L; Nicholson, S; O'Callaghan, J; O'Conchubhair, D; Oke, P; Pallàs-Sanz, E; Palmer, M; Park, J; Perivoliotis, L; Poulain, PM; Perry, R; Queste, B; Rainville, L; Rehm, E; Roughan, M; Rome, N; Ross, T; Ruiz, S; Saba, G; Schaeffer, A; Schönau, M; Schroeder, K; Shimizu, Y; Sloyan, BM; Smeed, D; Snowden, D; Song, Y; Swart, S; Tenreiro, M; Thompson, A; Tintore, J; Todd, RE; Toro, C; Venables, H; Wagawa, T; Waterman, S; Watlington, RA; Wilson, D</t>
  </si>
  <si>
    <t>Testor, Pierre; de Young, Brad; Rudnick, Daniel L.; Glenn, Scott; Hayes, Daniel; Lee, Craig M.; Pattiaratchi, Charitha; Hill, Katherine; Heslop, Emma; Turpin, Victor; Alenius, Pekka; Barrera, Carlos; Barth, John A.; Beaird, Nicholas; Becu, Guislain; Bosse, Anthony; Bourrin, Francois; Brearley, J. Alexander; Chao, Yi; Chen, Sue; Chiggiato, Jacopo; Coppola, Laurent; Crout, Richard; Cummings, James; Curry, Beth; Curry, Ruth; Davis, Richard; Desai, Kruti; DiMarco, Steve; Edwards, Catherine; Fielding, Sophie; Fer, Ilker; Frajka-Williams, Eleanor; Gildor, Hezi; Goni, Gustavo; Gutierrez, Dimitri; Haugan, Peter; Hebert, David; Heiderich, Joleen; Henson, Stephanie; Heywood, Karen; Hogan, Patrick; Houpert, Loic; Huh, Sik; Inall, Mark E.; Ishii, Masso; Ito, Shin-ichi; Itoh, Sachihiko; Jan, Sen; Kaiser, Jan; Karstensen, Johannes; Kirkpatrick, Barbara; Klymak, Jody; Kohut, Josh; Krahmann, Gerd; Krug, Marjolaine; McClatchie, Sam; Marin, Frederic; Mauri, Elena; Mehra, Avichal; Meredith, Michael P.; Meunier, Thomas; Miles, Travis; Morell, Julio M.; Mortier, Laurent; Nicholson, Sarah; O'Callaghan, Joanne; O'Conchubhair, Diarmuid; Oke, Peter; Pallas-Sanz, Enric; Palmer, Matthew; Park, JongJin; Perivoliotis, Leonidas; Poulain, Pierre-Marie; Perry, Ruth; Queste, Bastien; Rainville, Luc; Rehm, Eric; Roughan, Moninya; Rome, Nicholas; Ross, Tetjana; Ruiz, Simon; Saba, Grace; Schaeffer, Amandine; Schonau, Martha; Schroeder, Katrin; Shimizu, Yugo; Sloyan, Bernadette M.; Smeed, David; Snowden, Derrick; Song, Yumi; Swart, Sebastian; Tenreiro, Miguel; Thompson, Andrew; Tintore, Joaquin; Todd, Robert E.; Toro, Cesar; Venables, Hugh; Wagawa, Taku; Waterman, Stephanie; Watlington, Roy A.; Wilson, Doug</t>
  </si>
  <si>
    <t>OceanGliders: A Component of the Integrated GOOS (vol 6, 422, 2019)</t>
  </si>
  <si>
    <t>in situ ocean observing systems; gliders; boundary currents; storms; water transformation; ocean data management; autonomous oceanic platforms; GOOS</t>
  </si>
  <si>
    <t>[Testor, Pierre; Turpin, Victor] UPMC Univ Pierre &amp; Marie Curie, Lab Oceanog &amp; Climatol LOCEAN, Inst Pierre Simon Laplace IPSL,Observ Ecce Terra, Sorbonne Univ,Paris 06,CNRS,IRD,MNHN,UMR 7159, Paris, France; [de Young, Brad] Mem Univ Newfoundland, Mem Univ, Dept Phys &amp; Phys Oceanog, St John, NF, Canada; [Rudnick, Daniel L.] Scripps Inst Oceanog, San Diego, CA USA; [Glenn, Scott; Beaird, Nicholas; Kohut, Josh; Miles, Travis; Saba, Grace] Rutgers State Univ, Dept Marine &amp; Coastal Sci, New Brunswick, NJ USA; [Hayes, Daniel] Univ Cyprus OC UCY, Oceanog Ctr, Nicosia, Cyprus; [Lee, Craig M.; Curry, Beth; Rainville, Luc] Univ Washington, Appl Phys Lab, Seattle, WA 98105 USA; [Pattiaratchi, Charitha] Univ Western Australia, Oceans Grad Sch, Perth, WA, Australia; [Hill, Katherine] World Meteorol Org, Geneva, Switzerland; [Heslop, Emma] UNESCO, Paris, France; [Alenius, Pekka] Finnish Meteorol Inst, Helsinki, Finland; [Barrera, Carlos] Ocean Platform Canary Isl, Telde, Spain; [Barth, John A.] Oregon State Univ, Coll Earth Ocean &amp; Atmospher Sci, Corvallis, OR 97331 USA; [Becu, Guislain; Rehm, Eric] Takuvik, Quebec City, PQ, Canada; [Bosse, Anthony; Fer, Ilker; Haugan, Peter] Univ Bergen, Geophys Inst, Bergen, Norway; [Bourrin, Francois] CEFREM, Perpignan, France; [Brearley, J. Alexander; Fielding, Sophie; Meredith, Michael P.; Venables, Hugh] British Antarctic Survey, Cambridge, England; [Chao, Yi] Seatrec, Monrovia, CA USA; [Chen, Sue; Cummings, James] Naval Res Lab, Monterey, CA USA; [Chiggiato, Jacopo; Schroeder, Katrin] CNR, Inst Marine Sci ISMAR, Venice, Italy; [Coppola, Laurent] Sorbonne Univ, Inst Mer Villefranche IMEV, Lab Oceanog Villefranche LOV, CNRS,Inst Mer Villefranche IMEV,UMR7093, Villefranche Sur Mer, France; [Crout, Richard] Naval Res Lab, Stennis, MS USA; [Curry, Ruth] Bermuda Inst Ocean Sci, St George, Bermuda; [Davis, Richard] Dalhousie Univ, Dept Oceanog, Halifax, NS, Canada; [Desai, Kruti; Rome, Nicholas] OceanLeadership, Washington, DC USA; [DiMarco, Steve] Texas A&amp;M Univ, Dept Oceanog, College Stn, TX 77843 USA; [Edwards, Catherine] Univ Georgia, Skidaway Inst Oceanog, Athens, GA 30602 USA; [Frajka-Williams, Eleanor; Henson, Stephanie; Houpert, Loic; Palmer, Matthew; Smeed, David] Natl Oceanog Ctr, Southampton, Hants, England; [Gildor, Hezi] Hebrew Univ Jerusalem, Inst Earth Sci, Jerusalem, Israel; [Goni, Gustavo] NOAA, Atlantic Oceanog &amp; Meteorol Lab, Miami, FL 33149 USA; [Gutierrez, Dimitri] Inst Sea Peru, Callao, Peru; [Haugan, Peter] Inst Marine Res, Bergen, Norway; [Hebert, David] Bedford Inst Oceanog, Dept Fisheries &amp; Oceans, Dartmouth, NS, Canada; [Heiderich, Joleen] MIT, 77 Massachusetts Ave, Cambridge, MA 02139 USA; [Heiderich, Joleen; Todd, Robert E.] Woods Hole Oceanog Inst, Woods Hole, MA 02543 USA; [Heywood, Karen; Kaiser, Jan; Queste, Bastien] Univ East Anglia, Sch Environm Sci, Ctr Ocean &amp; Atmospher Sci, Norwich, Norfolk, England; [Hogan, Patrick] United States Naval Res Lab, Washington, DC USA; [Houpert, Loic; Inall, Mark E.] Scottish Assoc Marine Sci, Oban, Argyll, Scotland; [Huh, Sik] Korea Inst Ocean Sci &amp; Technol, Ansan, South Korea; [Ishii, Masso] Meteorol Res Inst, Tsukuba, Ibaraki, Japan; [Ito, Shin-ichi; Itoh, Sachihiko] Univ Tokyo, Atmosphere &amp; Ocean Res Inst, Chiba, Japan; [Jan, Sen] Natl Taiwan Univ, Inst Oceanog, Taipei, Taiwan; [Karstensen, Johannes; Krahmann, Gerd] GEOMAR Helmholtz Ctr Ocean Res Kiel, Kiel, Germany; [Kirkpatrick, Barbara] Gulf Mexico Coastal Ocean Observing Syst, College Stn, TX USA; [Klymak, Jody] Univ Victoria, Ocean Phys Grp, Victoria, BC, Canada; [Krug, Marjolaine] CSIR, Cape Town, South Africa; [McClatchie, Sam; Nicholson, Sarah] FishOcean Enterprises, Auckland, New Zealand; [Marin, Frederic] LEGOS IRD, Toulouse, France; [Mauri, Elena] Ist Nazl Oceanog &amp; Geofis Sperimentale, Trieste, Italy; [Mehra, Avichal] NOAA, Natl Ctr Environm Predict, College Pk, MD USA; [Meunier, Thomas; Pallas-Sanz, Enric; Tenreiro, Miguel] Ensenada Ctr Sci Res &amp; Higher Educ, Ensenada, Baja California, Mexico; [Morell, Julio M.] Univ Puerto Rico, Dept Marine Sci, Mayaguez, PR 00709 USA; [Mortier, Laurent] ENSTA LOCEAN, Palaiseau, France; [O'Callaghan, Joanne] Natl Inst Water &amp; Atmospher Res, Wellington, New Zealand; [O'Conchubhair, Diarmuid] Marine Inst, Galway, Ireland; [Oke, Peter; Sloyan, Bernadette M.] CSIRO, Oceans &amp; Atmosphere, Hobart, Tas, Australia; [Park, JongJin; Song, Yumi] Kyungpook Natl Univ, Sch Earth Syst Sci, Daegu, South Korea; [Perivoliotis, Leonidas] Hellenic Ctr Marine Res, Iraklion, Greece; [Poulain, Pierre-Marie] Ctr Maritime Res &amp; Experimentat, La Spezia, Italy; [Perry, Ruth] Shell, Houston, TX USA; [Roughan, Moninya; Schaeffer, Amandine] Univ New South Wales, Sch Math &amp; Stat, Sydney, NSW, Australia; [Ross, Tetjana] Inst Ocean Sci, Dept Fisheries &amp; Oceans, Sidney, BC, Canada; [Ruiz, Simon] CSIC UIB, Inst Mediterraneo Estudios Avanzados, Esporles, Spain; [Schonau, Martha; Shimizu, Yugo] Appl Ocean Sci, Fairfax Stn, VA USA; [Snowden, Derrick] NOAA, Washington, DC USA; [Swart, Sebastian] Univ Gothenburg, Dept Marine Sci, Gothenburg, Sweden; [Swart, Sebastian] Univ Cape Town, Dept Oceanog, Cape Town, South Africa; [Thompson, Andrew] CALTECH, Pasadena, CA 91125 USA; [Tintore, Joaquin] SOCIB, Palma De Mallorca, Spain; [Tintore, Joaquin] IMEDEA CSIC UIB, Palma De Mallorca, Spain; [Toro, Cesar] IOCARIBE, IOC UNESCO, Paris, France; [Wagawa, Taku] Japan Fisheries Res &amp; Educ Agcy, Yokohama, Kanagawa, Japan; [Waterman, Stephanie] Univ British Columbia, Dept Earth Ocean &amp; Atmospher Sci, Vancouver, BC, Canada; [Watlington, Roy A.; Wilson, Doug] Caribbean Coastal Ocean Observing Syst, Mayaguez, PR USA</t>
  </si>
  <si>
    <t>Centre National de la Recherche Scientifique (CNRS); CNRS - National Institute for Earth Sciences &amp; Astronomy (INSU); Institut de Recherche pour le Developpement (IRD); Museum National d'Histoire Naturelle (MNHN); Sorbonne Universite; Memorial University Newfoundland; University of California System; University of California San Diego; Scripps Institution of Oceanography; Rutgers University System; Rutgers University New Brunswick; University of Washington; University of Washington Seattle; University of Western Australia; Finnish Meteorological Institute; Oregon State University; University of Bergen; Centre National de la Recherche Scientifique (CNRS); Universite Perpignan Via Domitia; UK Research &amp; Innovation (UKRI); Natural Environment Research Council (NERC); NERC British Antarctic Survey; United States Department of Defense; United States Navy; Naval Research Laboratory; Consiglio Nazionale delle Ricerche (CNR); Istituto di Scienze Marine (ISMAR-CNR); Sorbonne Universite; Centre National de la Recherche Scientifique (CNRS); CNRS - National Institute for Earth Sciences &amp; Astronomy (INSU); United States Department of Defense; United States Navy; Naval Research Laboratory; Bermuda Institute of Ocean Sciences; Dalhousie University; Texas A&amp;M University System; Texas A&amp;M University College Station; University System of Georgia; University of Georgia; Skidaway Institute of Oceanography; NERC National Oceanography Centre; Hebrew University of Jerusalem; National Oceanic Atmospheric Admin (NOAA) - USA; Atlantic Oceanographic &amp; Meteorological Laboratory (AOML); Instituto del Mar del Peru; Institute of Marine Research - Norway; Fisheries &amp; Oceans Canada; Bedford Institute of Oceanography; Massachusetts Institute of Technology (MIT); Woods Hole Oceanographic Institution; University of East Anglia; UHI Millennium Institute; Korea Institute of Ocean Science &amp; Technology (KIOST); Meteorological Research Institute - Japan; University of Tokyo; National Taiwan University; Helmholtz Association; GEOMAR Helmholtz Center for Ocean Research Kiel; University of Victoria; Council for Scientific &amp; Industrial Research (CSIR) - South Africa; Universite de Toulouse; Universite Toulouse III - Paul Sabatier; Centre National de la Recherche Scientifique (CNRS); Institut de Recherche pour le Developpement (IRD); Laboratoire d'Etudes en Geophysique et oceanographie spatiales; Istituto Nazionale di Oceanografia e di Geofisica Sperimentale; National Oceanic Atmospheric Admin (NOAA) - USA; University of Puerto Rico; University of Puerto Rico Mayaguez; National Institute of Water &amp; Atmospheric Research (NIWA) - New Zealand; Marine Institute Ireland; Commonwealth Scientific &amp; Industrial Research Organisation (CSIRO); Kyungpook National University; Hellenic Centre for Marine Research; Royal Dutch Shell; University of New South Wales Sydney; Fisheries &amp; Oceans Canada; University of Barcelona; Universitat de les Illes Balears; Consejo Superior de Investigaciones Cientificas (CSIC); National Oceanic Atmospheric Admin (NOAA) - USA; University of Gothenburg; University of Cape Town; California Institute of Technology; Universitat de les Illes Balears; Consejo Superior de Investigaciones Cientificas (CSIC); ATTITUS Educacao; Japan Fisheries Research &amp; Education Agency (FRA); University of British Columbia</t>
  </si>
  <si>
    <t>Testor, P (corresponding author), UPMC Univ Pierre &amp; Marie Curie, Lab Oceanog &amp; Climatol LOCEAN, Inst Pierre Simon Laplace IPSL,Observ Ecce Terra, Sorbonne Univ,Paris 06,CNRS,IRD,MNHN,UMR 7159, Paris, France.</t>
  </si>
  <si>
    <t>testor@locean-ipsl.upmc.fr</t>
  </si>
  <si>
    <t>Karstensen, Johannes/A-8534-2013; Sanz, Enric Pallàs/I-1451-2015; Coppola, Laurent/F-7880-2017; Inall, Mark E/I-4835-2014; Fer, Ilker/C-7820-2012; Ito, Shin-ichi/E-2981-2012; Roughan, Moninya/B-5563-2009; Ross, Tetjana/E-4073-2010; Pattiaratchi, Charitha B/E-6916-2011; François, Bourrin/F-4909-2010; Smeed, David/B-4726-2012; Goni, Gustavo J/D-2017-2012; Waterman, Stephanie/AAY-6033-2020; Oke, Peter R/C-5127-2011; Gildor, Hezi/AAZ-6602-2021; Fielding, Sophie/E-5137-2012; Schaeffer, Amandine/AAW-5476-2021; Kaiser, Jan/D-3327-2009; Schroeder, Katrin/C-7490-2009; Rudnick, Daniel L/J-8948-2016; Sloyan, Bernadette/N-8989-2014; Ruiz, Simon/N-9164-2019; Todd, Robert E/T-3536-2018</t>
  </si>
  <si>
    <t>Karstensen, Johannes/0000-0001-5044-7079; Coppola, Laurent/0000-0003-0473-1129; Fer, Ilker/0000-0002-2427-2532; Ito, Shin-ichi/0000-0002-3635-2580; Smeed, David/0000-0003-1740-1778; Waterman, Stephanie/0000-0001-5797-1092; Gildor, Hezi/0000-0003-0898-6292; Schaeffer, Amandine/0000-0002-8320-4951; Kaiser, Jan/0000-0002-1553-4043; Schroeder, Katrin/0000-0001-7991-9121; Rudnick, Daniel L/0000-0002-2624-7074; Sloyan, Bernadette/0000-0003-0250-0167; Ruiz, Simon/0000-0002-9395-9370; Todd, Robert E/0000-0002-6854-7729</t>
  </si>
  <si>
    <t>NERC [noc010009] Funding Source: UKRI</t>
  </si>
  <si>
    <t>10.3389/fmars.2021.696100</t>
  </si>
  <si>
    <t>SQ9SF</t>
  </si>
  <si>
    <t>WOS:000660686900001</t>
  </si>
  <si>
    <t>López-Farrán, Z; Guillaumot, C; Vargas-Chacoff, L; Paschke, K; Dulière, V; Danis, B; Poulin, E; Saucède, T; Waters, J; Gérard, K</t>
  </si>
  <si>
    <t>Lopez-Farran, Zambra; Guillaumot, Charlene; Vargas-Chacoff, Luis; Paschke, Kurt; Duliere, Valerie; Danis, Bruno; Poulin, Elie; Saucede, Thomas; Waters, Jonathan; Gerard, Karin</t>
  </si>
  <si>
    <t>Is the southern crab Halicarcinus planatus (Fabricius, 1775) the next invader of Antarctica?</t>
  </si>
  <si>
    <t>climate change; establishment; niche modelling; non-native species; reptant crab; Southern Ocean; survival; thermotolerance</t>
  </si>
  <si>
    <t>SPECIES DISTRIBUTION MODELS; DESEADO RIVER ESTUARY; CLIMATE-CHANGE; PERUMYTILUS-PURPURATUS; OCEAN; CRUSTACEA; HYMENOSOMATIDAE; DECAPODA; POPULATION; BRACHYURA</t>
  </si>
  <si>
    <t>The potential for biological colonization of Antarctic shores is an increasingly important topic in the context of anthropogenic warming. Successful Antarctic invasions to date have been recorded exclusively from terrestrial habitats. While non-native marine species such as crabs, mussels and tunicates have already been reported from Antarctic coasts, none have as yet established there. Among the potential marine invaders of Antarctic shallow waters is Halicarcinus planatus (Fabricius, 1775), a crab with a circum-Subantarctic distribution and substantial larval dispersal capacity. An ovigerous female of this species was found in shallow waters of Deception Island, South Shetland Islands in 2010. A combination of physiological experiments and ecological modelling was used to assess the potential niche of H. planatus and estimate its future southward boundaries under climate change scenarios. We show that H. planatus has a minimum thermal limit of 1 degrees C, and that its current distribution (assessed by sampling and niche modelling) is physiologically restricted to the Subantarctic region. While this species is presently unable to survive in Antarctica, future warming under both 'strong mitigation' and 'no mitigation' greenhouse gas emission scenarios will favour its niche expansion to the Western Antarctic Peninsula (WAP) by 2100. Future human activity also has potential to increase the probability of anthropogenic translocation of this species into Antarctic ecosystems.</t>
  </si>
  <si>
    <t>[Lopez-Farran, Zambra; Poulin, Elie] Univ Chile, Fac Ciencias, Inst Ecol &amp; Biodiversidad, Dept Ciencias Ecol,LEM Lab Ecol Mol, Santiago, Chile; [Lopez-Farran, Zambra; Vargas-Chacoff, Luis; Paschke, Kurt] Univ Austral Chile, Res Ctr Dynam High Latitude Marine Ecosyst Fondap, Valdivia, Chile; [Lopez-Farran, Zambra; Gerard, Karin] Univ Magallanes, LEMAS Lab Ecol Macroalgas Antarticas &amp; Sub Antart, Punta Arenas, Chile; [Guillaumot, Charlene; Danis, Bruno] Univ Libre Bruxelles, Lab Biol Marine CP160 15, Brussels, Belgium; [Guillaumot, Charlene; Saucede, Thomas] Univ Bourgogne Franche Comte, UMR 6282 CNRS, Biogeosci, Dijon, France; [Vargas-Chacoff, Luis] Univ Austral Chile, Lab Fisiol Peces, Inst Ciencias Marinas &amp; Limnol, Valdivia, Chile; [Paschke, Kurt] Univ Austral Chile, Inst Acuicultura, Puerto Montt, Chile; [Duliere, Valerie] Royal Belgian Inst Nat Sci, Brussels, Belgium; [Waters, Jonathan] Univ Otago, Dept Zool, Otago Palaeogenet Lab, Dunedin, New Zealand; [Gerard, Karin] Univ Magallanes, Ctr Invest Gaia Antartica, Punta Arenas, Chile</t>
  </si>
  <si>
    <t>Universidad de Chile; Universidad Austral de Chile; Universidad de Magallanes; Universite Libre de Bruxelles; Universite de Bourgogne; Universidad Austral de Chile; Universidad Austral de Chile; Royal Belgian Institute of Natural Sciences; University of Otago; Universidad de Magallanes</t>
  </si>
  <si>
    <t>Gérard, K (corresponding author), Univ Magallanes, Inst Patagonia, Lab Ecol Macroalgas Antarticas &amp; Subantarticas LE, Ave Bulnes 01890, Punta Arenas, Chile.</t>
  </si>
  <si>
    <t>karin.gerard@umag.cl</t>
  </si>
  <si>
    <t>Waters, Jonathan/B-4983-2009; Poulin, Elie/C-2654-2012; Danis, Bruno/AAS-8444-2021</t>
  </si>
  <si>
    <t>Waters, Jonathan/0000-0002-1514-7916; Poulin, Elie/0000-0001-7736-0969; Danis, Bruno/0000-0002-9037-7623; Gerard, Karin/0000-0003-0596-1348; Vargas-Chacoff, Luis/0000-0002-0497-2582</t>
  </si>
  <si>
    <t>FONDECYT Regular [1161358]; INACh [DG 14-17]; Chilean national doctoral scholarship CONICYT [21151192]; Fonds pour la Formation a la Recherche dans l'Industrie et l'Agriculture (FRIA); Fondap-IDEAL [15150003]; PIA CONICYT [ACT172065]; FONDECYT [1160877]; Bourse Fondation de la Mer; Belgian Science Policy Office (BELSPO) [BR/154/A1/RECTO]; IPEV [1044]; BELSPO [BR/132/A1/vERSO]</t>
  </si>
  <si>
    <t>FONDECYT Regular(Comision Nacional de Investigacion Cientifica y Tecnologica (CONICYT)CONICYT FONDECYT); INACh; Chilean national doctoral scholarship CONICYT; Fonds pour la Formation a la Recherche dans l'Industrie et l'Agriculture (FRIA)(Fonds de la Recherche Scientifique - FNRS); Fondap-IDEAL; PIA CONICYT(Comision Nacional de Investigacion Cientifica y Tecnologica (CONICYT)); FONDECYT(Comision Nacional de Investigacion Cientifica y Tecnologica (CONICYT)CONICYT FONDECYT); Bourse Fondation de la Mer; Belgian Science Policy Office (BELSPO)(Belgian Federal Science Policy Office); IPEV; BELSPO(Belgian Federal Science Policy Office)</t>
  </si>
  <si>
    <t>FONDECYT Regular 1161358; INACh DG 14-17; Chilean national doctoral scholarship CONICYT 21151192; Fondap-IDEAL 15150003; PIA CONICYT ACT172065; FONDECYT 1160877; `Fonds pour la Formation a la Recherche dans l'Industrie et l'Agriculture' (FRIA); 'Bourse Fondation de la Mer'; Contribution No 23 to the `Refugia and Ecosystem Tolerance in the Southern Ocean' project (RECTO; BR/154/A1/RECTO) funded by the Belgian Science Policy Office (BELSPO); IPEV program No 1044 Proteker; Contribution No 48 to the vERSO project (BELSPO, contract noBR/132/A1/vERSO).</t>
  </si>
  <si>
    <t>10.1111/gcb.15674</t>
  </si>
  <si>
    <t>TD0LG</t>
  </si>
  <si>
    <t>WOS:000653105600001</t>
  </si>
  <si>
    <t>van der Does, M; Wengler, M; Lamy, F; Martínez-García, A; Jaccard, SL; Kuhn, G; Lanny, V; Stuut, JBW; Winckler, G</t>
  </si>
  <si>
    <t>van der Does, Michelle; Wengler, Marc; Lamy, Frank; Martinez-Garcia, Alfredo; Jaccard, Samuel L.; Kuhn, Gerhard; Lanny, Verena; Stuut, Jan-Berend W.; Winckler, Gisela</t>
  </si>
  <si>
    <t>Opposite dust grain-size patterns in the Pacific and Atlantic sectors of the Southern Ocean during the last 260,000 years</t>
  </si>
  <si>
    <t>Mineral dust; Dust grain size; Southern ocean; Southern westerly winds; Glacial; Interglacial dust variability</t>
  </si>
  <si>
    <t>CENTRAL EAST ANTARCTICA; ICE CORE; AEOLIAN DUST; DOME-C; ATMOSPHERIC TRANSPORT; CHRONOLOGY AICC2012; GLACIAL MAXIMUM; VARIABILITY; CLIMATE; CIRCULATION</t>
  </si>
  <si>
    <t>Downcore sediment grain-size records of mineral dust (2-10 mu m) can provide key insights into changes in wind strength and source-area characteristics over glacial-interglacial timescales. However, so far, little is known about glacial-interglacial changes of dust grain size in the open Southern Ocean, which are potentially associated with changes in the strength and position of the southern westerly winds. Here, we analyzed the grain-size distributions of subantarctic deep-sea sediments from the Pacific (PS75/056-1) and Atlantic (ODP Site 1090) sectors of the Southern Ocean, downwind of the major Southern Hemisphere dust source regions. Dust mean grain sizes show opposite trends in the two Southern Ocean sectors. Larger glacial grain sizes are observed in the Pacific sector, while finer glacial grain sizes are observed in the Atlantic sector. In the South Pacific, larger mean dust grain sizes parallel higher Fe fluxes during glacials. In contrast, in the South Atlantic record increased glacial Fe fluxes coincide with a decrease in glacial mean dust grain sizes consistent with some Antarctic ice core records. Our results suggest that the opposing grain-size trends are the result of different responses to glacial conditions in the sources and of changing wind and transport patterns. For the South Pacific, a possible explanation of our results could be an intensification of wind strength over Australia enabling emission of larger dust particles. This strengthening would imply a northward shift of the westerlies which facilitated the transport of dust from enhanced and/or more Australian and New Zealand sources. For the Atlantic, the decreased glacial dust grain size could be the consequence of increased glacial activity in the Patagonian Andes, generating and supplying more and finer-grained dust from the exposed continental shelf to the South Atlantic. These findings indicate that more extensive studies of wind-blown sediment properties in the Southern Ocean can provide important insights on the timing and latitudinal extent of climatic changes in the sources and variations of transport to the Southern Ocean by the westerly winds. (C) 2021 The Author(s). Published by Elsevier Ltd.</t>
  </si>
  <si>
    <t>[van der Does, Michelle; Wengler, Marc; Lamy, Frank; Kuhn, Gerhard] Helmholtz Ctr Polar &amp; Marine Res, Alfred Wegener Inst, Dept Marine Geol, Bremerhaven, Germany; [Wengler, Marc; Lamy, Frank; Kuhn, Gerhard] Univ Bremen, MARUM Ctr Marine Environm Sci, Bremen, Germany; [Martinez-Garcia, Alfredo] Max Planck Inst Chem, Climate Geochem Dept, Mainz, Germany; [Jaccard, Samuel L.] Univ Lausanne, Inst Earth Sci, Lausanne, Switzerland; [Jaccard, Samuel L.] Univ Bern, Inst Geol Sci, Bern, Switzerland; [Jaccard, Samuel L.] Univ Bern, Oeschger Ctr Climate Change Res, Bern, Switzerland; [Lanny, Verena] Swiss Fed Inst Technol, Dept Earth Sci, Zurich, Switzerland; [Stuut, Jan-Berend W.] NIOZ Royal Netherlands Inst Sea Res, Dept Ocean Syst, Texel, Netherlands; [Stuut, Jan-Berend W.] Vrije Univ Amsterdam, Dept Earth Sci, Fac Sci, Amsterdam, Netherlands; [Winckler, Gisela] Columbia Univ, Lamont Doherty Earth Observ, Palisades, NY USA</t>
  </si>
  <si>
    <t>Helmholtz Association; Alfred Wegener Institute, Helmholtz Centre for Polar &amp; Marine Research; University of Bremen; Max Planck Society; University of Lausanne; University of Bern; University of Bern; Swiss Federal Institutes of Technology Domain; ETH Zurich; Utrecht University; Royal Netherlands Institute for Sea Research (NIOZ); Vrije Universiteit Amsterdam; Columbia University</t>
  </si>
  <si>
    <t>van der Does, M (corresponding author), Helmholtz Ctr Polar &amp; Marine Res, Alfred Wegener Inst, Dept Marine Geol, Bremerhaven, Germany.</t>
  </si>
  <si>
    <t>michelle.van.der.does@awi.de</t>
  </si>
  <si>
    <t>Martinez-Garcia, Alfredo/A-6244-2010; Stuut, Jan-Berend/K-2073-2013; Jaccard, Samuel/G-3447-2014</t>
  </si>
  <si>
    <t>Martinez-Garcia, Alfredo/0000-0002-7206-5079; Stuut, Jan-Berend/0000-0002-5348-2512; Jaccard, Samuel/0000-0002-5793-0896</t>
  </si>
  <si>
    <t>AWI Strategy Fund Project DustIron; AWI; MARUM, Center for Marine Environmental Sciences; Swiss National Science Foundation (SNSF) [PP00P2144811]</t>
  </si>
  <si>
    <t>AWI Strategy Fund Project DustIron; AWI; MARUM, Center for Marine Environmental Sciences; Swiss National Science Foundation (SNSF)(Swiss National Science Foundation (SNSF))</t>
  </si>
  <si>
    <t>The captains, crew and scientists of R/V Polarstern (ANT-XXVI/2, PS75) and JOIDES Resolution (ODP Leg 177) are thanked for sample collection and logistical efforts. We are grateful to R. FroEurohlkingTeichert and S. Wiebe for technical assistance. This study is part of the project Polar Regions and Coasts in the changing Earth System (PACES II)  of the Alfred Wegener Institute (AWI) Helmholtz Center for Polar and Marine Research, and the AWI Strategy Fund Project DustIron. We acknowledge financial support for this work through AWI and MARUM, Center for Marine Environmental Sciences. SLJ acknowledges support from the Swiss National Science Foundation (SNSF- grant PP00P2144811) .</t>
  </si>
  <si>
    <t>10.1016/j.quascirev.2021.106978</t>
  </si>
  <si>
    <t>SW8CC</t>
  </si>
  <si>
    <t>WOS:000664741500002</t>
  </si>
  <si>
    <t>Xie, HR; Fischer, AM; Strutton, PG</t>
  </si>
  <si>
    <t>Xie, Hongrui; Fischer, Andrew M.; Strutton, Peter G.</t>
  </si>
  <si>
    <t>Generalized linear models to assess environmental drivers of paralytic shellfish toxin blooms (Southeast Tasmania, Australia)</t>
  </si>
  <si>
    <t>CONTINENTAL SHELF RESEARCH</t>
  </si>
  <si>
    <t>Paralytic shellfish toxins; Sea surface temperature; Chlorophyll-a; Upwelling relaxation; Generalized linear models</t>
  </si>
  <si>
    <t>HARMFUL ALGAL BLOOMS; ALEXANDRIUM-CATENELLA; PHYTOPLANKTON BLOOMS; SHELF CIRCULATION; CLIMATE-CHANGE; SEA; TEMPERATURE; VARIABILITY; MUSSELS; GROWTH</t>
  </si>
  <si>
    <t>Paralytic shellfish toxin (PST) events are often difficult to predict because synergistic processes, involving multiple temporal and spatial scales, are responsible for their development. In this study, we consider a suite of factors, from local to regional processes, driving paralytic shellfish toxin (PST) events associated with Alexandrium catenella on the east coast of Tasmania (Australia). PST concentrations in shellfish were compared against environmental variables, including daily wind speed and direction, satellite chlorophyll-a, sea surface temperature and river discharge. Relationships were tested using generalized linear models (GLMs). GLM coefficients confirm that high PST events were significantly favored by cooler temperatures and higher chlorophyll-a concentrations. PST events were seasonal, occurring between August and November and showed a significant relationship with sustained coastal upwelling and wind transition events after one to three months of predominantly upwelling winds. Satellite imagery shows evidence of cross shelf transport moderating PST events. Overall, the results suggest that a combination of factors (currents, upwelling conditions and changes in sea surface temperature) work together to initiate and moderate PST events. The use of GLMs provides a useful tool for understanding synergistic relationships. These techniques are of value for developing reliable predictive models to forecast and manage the effects of harmful and costly PST events.</t>
  </si>
  <si>
    <t>[Xie, Hongrui; Strutton, Peter G.] Univ Tasmania, Inst Marine &amp; Antarctic Studies, Hobart, Tas 7001, Australia; [Fischer, Andrew M.] Univ Tasmania, Inst Marine &amp; Antarctic Studies, Launceston, Tas 7250, Australia; [Strutton, Peter G.] Univ Tasmania, Australian Res Council Ctr Excellence Climate Ext, Hobart, Tas 7001, Australia</t>
  </si>
  <si>
    <t>University of Tasmania; University of Tasmania; University of Tasmania</t>
  </si>
  <si>
    <t>Xie, HR (corresponding author), Univ Tasmania, Inst Marine &amp; Antarctic Studies, Hobart, Tas 7001, Australia.</t>
  </si>
  <si>
    <t>Hongrui.Xie@utas.edu.au</t>
  </si>
  <si>
    <t>Strutton, Peter/C-4466-2011</t>
  </si>
  <si>
    <t>Strutton, Peter/0000-0002-2395-9471; Xie, Hongrui/0000-0002-3561-8543</t>
  </si>
  <si>
    <t>Institute for Marine and Antarctic Studies at the University of Tasmania</t>
  </si>
  <si>
    <t>This research was conducted with support from the Institute for Marine and Antarctic Studies at the University of Tasmania. Comments from the two reviewers greatly increased the quality of the manuscript.</t>
  </si>
  <si>
    <t>0278-4343</t>
  </si>
  <si>
    <t>1873-6955</t>
  </si>
  <si>
    <t>CONT SHELF RES</t>
  </si>
  <si>
    <t>Cont. Shelf Res.</t>
  </si>
  <si>
    <t>10.1016/j.csr.2021.104439</t>
  </si>
  <si>
    <t>SJ4OQ</t>
  </si>
  <si>
    <t>WOS:000655514800002</t>
  </si>
  <si>
    <t>Nsangue, BTN; Tang, H; Xu, LX; Hu, FX; Dong, SC; Achille, NP; Zou, BQ</t>
  </si>
  <si>
    <t>Nsangue, Bruno Thierry Nyatchouba; Tang, Hao; Xu, Liuxiong; Hu, Fuxiang; Dong, Shuchuang; Achille, Njomoue Pandong; Zou, Baiqiang</t>
  </si>
  <si>
    <t>Comparison between physical model testing and numerical simulation using two-way fluid-structure interaction approach of new trawl design for coastal bottom trawl net</t>
  </si>
  <si>
    <t>Bottom trawl; k-omega shear stress turbulent (SST) model; Acoustic Doppler velocimeter; Large deformation non-linear structural finite; element model; Velocity reduction; Hydrodynamic forces</t>
  </si>
  <si>
    <t>DYNAMIC SIMULATION; CURRENT LOADS; FLOW; PERFORMANCE; RESISTANCE; DRAG</t>
  </si>
  <si>
    <t>In this work, the hydrodynamic performance of a scaled bottom trawl model in current was investigated by using numerical simulations based on the fluid structure interaction (FSI) method in two-way coupling and the flume tank test based on modified Tauti's law. In this numerical model, a finite volume approach was used for solving the Navier-Stokes equations combined with a k-omega shear stress turbulent (SST) model for describing the flow. A finite element approach was used for solving the large deformation nonlinear structural dynamic equation to describe the trawl net configuration and the nodal displacement. A series of flume tank tests was conducted on three scaled bottom trawl models with different twine diameters, twine materials, and mesh sizes. In addition, three-dimensional (3D) Acoustic Doppler Velocimeter (ADV) measurements were performed to experimentally investigate the effect of turbulent flow on the bottom trawl net performance. The comparisons showed that the numerical results were in good agreement with the experimental data. Both the numerical and experimental results indicated that the increase in mesh size using Dyneema multifilament and the decrease in twine diameter using nylon monofilament led to decrease in the drag force by about 2.1 times and 2.2 times, respectively (p &lt; 0.002 ANCOVA test). It was found that there was spatial development of turbulent boundary layer flow around the trawl net and the vortex shedding in the trawl wake. In addition, the equivalent stress, elastic strain, and total deformation increased with the increase in flow velocity and, mesh size, and the decrease in twine diameter.</t>
  </si>
  <si>
    <t>[Nsangue, Bruno Thierry Nyatchouba; Tang, Hao; Xu, Liuxiong; Zou, Baiqiang] Shanghai Ocean Univ, Coll Marine Sci, 999 Huchenghuan Rd, Shanghai 201306, Peoples R China; [Tang, Hao; Xu, Liuxiong] Natl Engn Res Ctr Ocean Fisheries, Shanghai 201306, Peoples R China; [Tang, Hao; Xu, Liuxiong] Minist Agr &amp; Rural Affairs, Key Lab Ocean Fisheries Explorat, Shanghai 201306, Peoples R China; [Tang, Hao; Xu, Liuxiong] Shanghai Ocean Univ, Key Lab Sustainable Exploitat Ocean Fisheries Res, Minist Educ, Shanghai 201306, Peoples R China; [Tang, Hao; Xu, Liuxiong] Minist Agr &amp; Rural Affairs, Sci Observing &amp; Expt Stn Ocean Fishery Resources, Shanghai 201306, Peoples R China; [Hu, Fuxiang] Tokyo Univ Marine Sci &amp; Technol, Fac Marine Sci, Minato Ku, Tokyo 1088477, Japan; [Dong, Shuchuang] Univ Tokyo, Inst Ind Sci, 5-1-5 Kashiwanoha, Kashiwa, Chiba 2778574, Japan; [Achille, Njomoue Pandong] Univ Douala, Fac Ind Engn, Lab E3M, Douala, Cameroon</t>
  </si>
  <si>
    <t>Shanghai Ocean University; National Engineering Research Center for Oceanic Fisheries; Ministry of Agriculture &amp; Rural Affairs; Shanghai Ocean University; Ministry of Agriculture &amp; Rural Affairs; Tokyo University of Marine Science &amp; Technology; University of Tokyo</t>
  </si>
  <si>
    <t>Tang, H (corresponding author), Shanghai Ocean Univ, Coll Marine Sci, 999 Huchenghuan Rd, Shanghai 201306, Peoples R China.</t>
  </si>
  <si>
    <t>htang@shou.edu.cn</t>
  </si>
  <si>
    <t>Tang, Hao/GXH-6097-2022; wang, yue/KDO-9209-2024; Dong, Shuchuang/HSI-4481-2023; xu, liu/KCL-1154-2024; Bruno, Nyatchouba Nsangue Thierry/AAZ-5386-2021</t>
  </si>
  <si>
    <t>Tang, Hao/0000-0002-3393-1683;</t>
  </si>
  <si>
    <t>National Natural Science Foundation of China [31902426]; Shanghai Sailing Program [19YF1419800]; China Postdoctoral Science Foundation [2018M630471]; Luo Zhaorao Science and Innovation Fund [A1-2004-20-201302]; Ministry of Agriculture and Rural Affairs [D-8002-18-0097]</t>
  </si>
  <si>
    <t>National Natural Science Foundation of China(National Natural Science Foundation of China (NSFC)); Shanghai Sailing Program; China Postdoctoral Science Foundation(China Postdoctoral Science Foundation); Luo Zhaorao Science and Innovation Fund; Ministry of Agriculture and Rural Affairs(Gida Tarim Ve Hayvancilik Bakanligi)</t>
  </si>
  <si>
    <t>This study was financially sponsored by the National Natural Science Foundation of China (Grant No. 31902426), Shanghai Sailing Program (19YF1419800), China Postdoctoral Science Foundation funded project (2018M630471), Luo Zhaorao Science and Innovation Fund (A1-2004-20-201302) and Special project for the exploitation and utilization of Antarctic biological resources of Ministry of Agriculture and Rural Affairs (D-8002-18-0097).</t>
  </si>
  <si>
    <t>10.1016/j.oceaneng.2021.109112</t>
  </si>
  <si>
    <t>SR6DV</t>
  </si>
  <si>
    <t>WOS:000661134200029</t>
  </si>
  <si>
    <t>García-Huidobro, MR; Poupin, MJ; Urrutia, C; Rodriguez-Navarro, AB; Grenier, C; Vivanco, JF; Ramajo, L; Benjumeda, I; Lagos, NA; Lardies, MA</t>
  </si>
  <si>
    <t>Garcia-Huidobro, M. Roberto; Josefina Poupin, Maria; Urrutia, Cristobal; Rodriguez-Navarro, Alejandro B.; Grenier, Christian; Vivanco, Juan F.; Ramajo, Laura; Benjumeda, Isabel; Lagos, Nelson A.; Lardies, Marco A.</t>
  </si>
  <si>
    <t>An intrapopulational study of organic compounds and biomechanical properties of the shell of the Antarctic bivalve Laternula elliptica (P. P. King, 1832) at King George Island</t>
  </si>
  <si>
    <t>Metabolism; Periostracum; Microhardness; Intrapopulation variability</t>
  </si>
  <si>
    <t>ALLOMETRIC SCALING LAWS; BRODERIP ANOMALODESMATA; SEASONAL ENERGETICS; OCEAN ACIDIFICATION; COLD ADAPTATION; MARINE MOLLUSKS; ORIGIN; MICROSTRUCTURE; METABOLISM; CAPACITY</t>
  </si>
  <si>
    <t>Laternula elliptica is a key bivalve species and widely distributed around the Antarctic continent. This bivalve has been the study subject in several studies centered on ecological, physiological, biochemical, and behavioral patterns. However, little is known about the chemistry and the biomechanical properties of the shells of this mollusk. Here, we present the first report of the intra-population variability in the organic composition and mechanical properties of L. elliptica shells. Further, we analyze different morphological traits and their association with the metabolism of a population of L. elliptica from King George Island, Western Antarctic Peninsula. The summer metabolic rates and the hepatosomatic index values indicate good health conditions of this clam's population. Shell periostracum chemistry is quite similar to bivalves from temperate regions, but the relative amount of protein increased ca. five-fold in shells of L. elliptica. The microhardness is approximately 32% lower than in bivalves from temperate regions. Our characterization of the L. elliptica shells suggests that periostracum chemistry could be specially fitted to avoid shell carbon exposure to dissolution (e.g., in corrosive acidified seawater). In contrast, the reduction in shell hardness may result from prioritizing behavioral (burial) and shell repairing strategies to confront biological (predators) and physical disturbances (e.g., ice scouring). Similar studies in other Antarctic mollusks will help understand the role of shell structure and function in confronting projected climate changes in the Antarctic ocean.</t>
  </si>
  <si>
    <t>[Garcia-Huidobro, M. Roberto; Lagos, Nelson A.] Univ Santo Tomas, Fac Ciencias, Ctr Invest &amp; Innovac Cambio Climat, Santiago, Chile; [Garcia-Huidobro, M. Roberto] Univ Santo Tomas, Fac Ciencias, Conservac &amp; Gest Biodiversidad, Santiago, Chile; [Josefina Poupin, Maria; Urrutia, Cristobal; Vivanco, Juan F.] Univ Adolfo Ibanez, Fac Ingn &amp; Ciencias, Lab Bioingn, Santiago, Chile; [Josefina Poupin, Maria; Urrutia, Cristobal] Ctr Appl Ecol &amp; Sustainabil CAPES, Santiago, Chile; [Grenier, Christian] Univ Granada, Dept Estratig &amp; Paleontol, Granada, Spain; [Rodriguez-Navarro, Alejandro B.; Grenier, Christian] Univ Granada, Dept Mineral &amp; Petrol, Granada, Spain; [Ramajo, Laura] Univ Catolica Norte UCN, Fac Ciencias Mar, Ctr Estudios Avanzados Zonas Aridas CEAZA, Coquimbo, Chile; [Ramajo, Laura] Univ Catolica Norte UCN, Fac Ciencias Mar, Dept Biol Marina, Coquimbo, Chile; [Benjumeda, Isabel; Lardies, Marco A.] Univ Adolfo Ibanez, Fac Artes Liberales, Dept Ciencias, Santiago, Chile; [Lagos, Nelson A.; Lardies, Marco A.] Inst Milenio Socioecol Costera SECOS, Santiago, Chile</t>
  </si>
  <si>
    <t>Universidad Santo Tomas; Universidad Santo Tomas; Universidad Adolfo Ibanez; University of Granada; University of Granada; Universidad Adolfo Ibanez</t>
  </si>
  <si>
    <t>Lardies, MA (corresponding author), Univ Adolfo Ibanez, Fac Artes Liberales, Dept Ciencias, Santiago, Chile.;Lardies, MA (corresponding author), Inst Milenio Socioecol Costera SECOS, Santiago, Chile.</t>
  </si>
  <si>
    <t>marco.lardies@uai.cl</t>
  </si>
  <si>
    <t>Lardies, Marco A/R-6203-2017; Ramajo, Laura/AAW-5058-2021; Poupin, María Josefina/JGE-3520-2023</t>
  </si>
  <si>
    <t>Lardies, Marco A/0000-0003-3525-1830; Ramajo, Laura/0000-0001-6707-685X; Poupin, María Josefina/0000-0002-7355-7120; Vivanco, Juan F./0000-0002-2659-368X</t>
  </si>
  <si>
    <t>PIA ANID [ACT-172037]; ANID [PAI77190031]; ANID - Millennium Science Initiative Program [ICN2019_015]; [INACH RT_ 08-16]</t>
  </si>
  <si>
    <t>PIA ANID; ANID; ANID - Millennium Science Initiative Program;</t>
  </si>
  <si>
    <t>We thank the members of the Chilean Antarctic Institute (INACH) station at Professor Escudero for support during the practical aspects of the work. We are also thankful to the editor, Elizabeth Harper, Roger Mann, and an anonymous review for very constructive comments on the manuscript. This work was supported by project INACH RT_ 08-16 to MAL, NAL and MJP. MAL, NAL, RGH, JFV and ARN also acknowledge the support of PIA ANID ACT-172037 for international collaborative studies. RGH acknowledges the support of ANID Grant No. PAI77190031. Further support by the ANID - Millennium Science Initiative Program - Code ICN2019_015 to MAL and NAL is greatly appreciated.</t>
  </si>
  <si>
    <t>10.1007/s00300-021-02882-9</t>
  </si>
  <si>
    <t>WOS:000652939100001</t>
  </si>
  <si>
    <t>Kuzmina, TA; Salganskij, OO; Dykyy, IV; Lisitsyna, OI; Korol, EM; Faltynková, A; Kuzmin, YI</t>
  </si>
  <si>
    <t>Kuzmina, Tetiana A.; Salganskij, Oleksander O.; Dykyy, Ihor, V; Lisitsyna, Olga, I; Korol, Eleonora M.; Faltynkova, Anna; Kuzmin, Yuriy, I</t>
  </si>
  <si>
    <t>Helminths of the Antarctic dragonfish, Parachaenichthys charcoti (Perciformes, Notothenioidei, Bathydraconidae) Studied near Galindez Island (Argentine Islands, West Antarctica)</t>
  </si>
  <si>
    <t>Helminth community; Acanthocephala; Nematoda; Cestoda; Trematoda; Antarctica</t>
  </si>
  <si>
    <t>SOUTH-SHETLAND ISLANDS; WEDDELL SEA; DEMERSAL FISH; ECOLOGY; BIOLOGY; DIET; SPECIFICITY; NEMATODA; INSHORE; DIGENEA</t>
  </si>
  <si>
    <t>Purpose The Antarctic dragonfish, Parachaenichthys charcoti is a notothenioid teleost fish endemic to the Southern Ocean surrounding Antarctica. It is a relatively rare fish species; therefore, published data on the parasite communities of P. charcoti are limited. The present study was performed on the Ukrainian Antarctic Station Akademik Vernadsky, Argentine Islands, West Antarctica and the purpose was to examine the species diversity of the parasites of P. charcoti and to identify the parameters of helminth infection and helminth component community. Methods Fifteen specimens of P. charcoti were caught at a depth of 10-30 m and examined using standard parasitological techniques. All helminths (6251 specimens) were collected manually, fixed in 70% ethanol and identified based on their morphology. Results All examined specimens of P. charcoti were found to be infected with helminths; each fish harboured 10-20 helminth species (mean 13.2; median 13) and 237-804 helminth specimens (mean 417; median 401). Twenty-seven helminth species were found, including nine species of trematodes, 4 of cestodes, 4 of nematodes and 10 of acanthocephalans. P. charcoti is the definitive host for 11 out of 27 helminth species recorded. In the helminth component community, the diversity indices were 2.03 (Shannon's index) and 0.79 (Simpson's index); Pielou evenness index was 0.61, and Berger-Parker dominance index was 0.38. Conclusions Our results indicate a high species diversity and complex structure of the helminth community in Antarctic dragonfish P. charcoti in the Argentine Islands.</t>
  </si>
  <si>
    <t>[Kuzmina, Tetiana A.; Lisitsyna, Olga, I; Kuzmin, Yuriy, I] NAS Ukraine, II Schmalhausen Inst Zool, 15 Bogdan Khmelnytsky St, UA-01030 Kiev, Ukraine; [Kuzmina, Tetiana A.; Salganskij, Oleksander O.] State Inst Natl Antarctic Sci Ctr, Tarasa Sheychenko Blvd 16, UA-01601 Kiev, Ukraine; [Dykyy, Ihor, V] Lviv Natl Univ, Dept Zool, 4 Grushevsky St, UA-79005 Lvov, Ukraine; [Korol, Eleonora M.] NAS Ukraine, Natl Museum Nat Hist, 15 Bogdan Khmelnytsky St, UA-01030 Kiev, Ukraine; [Faltynkova, Anna] Czech Acad Sci, Inst Parasitol, Biol Ctr, Branisovska 31, Ceske Budejovice 37005, Czech Republic; [Kuzmin, Yuriy, I] North West Univ, Unit Environm Sci &amp; Management, African Amphibian Conservat Res Grp, Potchefstroom, South Africa</t>
  </si>
  <si>
    <t>National Academy of Sciences Ukraine; Schmalhausen Institute of Zoology of NASU; Ministry of Education &amp; Science of Ukraine; State Institution National Antarctic Scientific Center; Ministry of Education &amp; Science of Ukraine; Ivan Franko National University Lviv; National Academy of Sciences Ukraine; National Museum of Natural History, NAS of Ukraine; Czech Academy of Sciences; Biology Centre of the Czech Academy of Sciences; North West University - South Africa</t>
  </si>
  <si>
    <t>Kuzmina, TA (corresponding author), NAS Ukraine, II Schmalhausen Inst Zool, 15 Bogdan Khmelnytsky St, UA-01030 Kiev, Ukraine.;Kuzmina, TA (corresponding author), State Inst Natl Antarctic Sci Ctr, Tarasa Sheychenko Blvd 16, UA-01601 Kiev, Ukraine.</t>
  </si>
  <si>
    <t>Korol, Eleonora N./O-4148-2016; Faltynkova, Anna/L-9321-2014; Kuzmina, Tetiana/A-5457-2019; Kuzmin, Yuriy/H-1736-2015</t>
  </si>
  <si>
    <t>Korol, Eleonora N./0000-0002-4061-5179; Faltynkova, Anna/0000-0003-3013-5881; Kuzmina, Tetiana/0000-0002-5054-4757; Kuzmin, Yuriy/0000-0002-1723-1265; Dykyy, Ihor/0000-0003-3625-8567; Lisitsyna, Olga/0000-0002-2975-3300; Oleksandr, Salganskiy/0000-0002-7063-1807</t>
  </si>
  <si>
    <t>National Research Foundation of Ukraine [2020.02/0074]; National Antarctic Scientific Center, Ministry of Education and Science of Ukraine [H/12-2020]</t>
  </si>
  <si>
    <t>National Research Foundation of Ukraine; National Antarctic Scientific Center, Ministry of Education and Science of Ukraine</t>
  </si>
  <si>
    <t>The authors thank Prof. Terry R. Spraker from the Colorado State University for his valuable comments and corrections to the manuscript. This study was partially supported by the National Research Foundation of Ukraine (Project Number 2020.02/0074) and by the National Antarctic Scientific Center, Ministry of Education and Science of Ukraine (Project Number H/12-2020).</t>
  </si>
  <si>
    <t>10.1007/s11686-021-00417-0</t>
  </si>
  <si>
    <t>XE9FO</t>
  </si>
  <si>
    <t>WOS:000652976200001</t>
  </si>
  <si>
    <t>Orekhova, A; Barták, M; Casanova-Katny, A; Hájek, J</t>
  </si>
  <si>
    <t>Orekhova, A.; Bartak, M.; Casanova-Katny, A.; Hajek, J.</t>
  </si>
  <si>
    <t>Resistance of Antarctic moss Sanionia uncinata to photoinhibition: chlorophyll fluorescence analysis of samples from the western and eastern coasts of the Antarctic Peninsula</t>
  </si>
  <si>
    <t>PLANT BIOLOGY</t>
  </si>
  <si>
    <t>Antarctica; chlorophyll fluorescence; moss; photoinhibitory treatment; spectral reflectance</t>
  </si>
  <si>
    <t>UV-B RADIATION; PHOTOSYSTEM-II; ENERGY-DISSIPATION; REACTION CENTERS; REFLECTANCE INDEXES; PIGMENT COMPOSITION; VEGETATION INDEX; LIGHT RESPONSES; HEDW. LOESKE; STRESS</t>
  </si>
  <si>
    <t>Interspecific differences in sensitivity of the Antarctic moss Sanionia uncinata from King George Island (KGI) and James Ross Island (JRI) to photoinhibitory treatment were studied in laboratory conditions using chlorophyll fluorescence techniques. Slow (Kautsky) and fast (OJIP) kinetics were used for the measurements. Samples were exposed to a short-term (60 min) photoinhibitory treatment (PIT, 2000 mu mol center dot m(-2)center dot s(-1) PAR). The photoinhibitory treatment (PIT) led to photoinhibition which was indicated by the decrease in F-V/F-M and phi(PSII) in KGI but not in JRI samples. However, this decrease was small and full recovery was reached 90 min after PIT termination. Non-photochemical quenching (NPQ) was activated during the PIT, and rapidly relaxed during recovery. Early stages of photoinhibition showed a drop in F-V/F-M and phi(PSII) to minimum values within the first 10 s of the PIT, with their subsequent increase apparent within fast (0-5 min PIT) and slow (5-50 min PIT) phases of adjustment. The PIT caused a decrease in the performance index (Pi_Abs), photosynthetic electron transport per reaction centre (RC) (ET0/RC). The PIT induced an increase in thermal dissipation per RC (DI0/RC), effectivity of thermal dissipation (Phi_D-0), absorption per RC (ABS/RC) and trapping rate per RC (TR0/RC). In conclusion, PIT led to only slight photoinhibition followed by fast recovery in S. uncinata from KGI and JRI, since F-V/F-M and phi(PSII) returned to pre-photoinhibitory conditions. Therefore, S. uncinata might be considered resistant to photoinhibition even in the wet state. The KGI samples showed higher resistance to photoinhibition than the JRI samples.</t>
  </si>
  <si>
    <t>[Orekhova, A.; Bartak, M.; Hajek, J.] Masaryk Univ, Fac Sci, Div Plant Physiol &amp; Anat, Dept Expt Biol, Brno, Czech Republic; [Casanova-Katny, A.] Catholic Univ Temuco, Fac Nat Resources, Lab Plant Ecophysiol, Campus Luis Rivas Canto, Temuco, Chile</t>
  </si>
  <si>
    <t>Masaryk University Brno; Universidad Catolica de Temuco</t>
  </si>
  <si>
    <t>Hájek, J (corresponding author), Masaryk Univ, Kamenice 5, Brno 62500, Czech Republic.</t>
  </si>
  <si>
    <t>jhajek@sci.muni.cz</t>
  </si>
  <si>
    <t>Hájek, Josef/F-4694-2019; Barták, Miloš/F-4714-2019; Casanova-Katny, Angelica/M-3994-2014</t>
  </si>
  <si>
    <t>Hájek, Josef/0000-0002-2679-1707; Casanova-Katny, Angelica/0000-0003-3860-1445; Bartak, Milos/0000-0002-3898-3626</t>
  </si>
  <si>
    <t>project ECOPOLARIS [CZ.02.1.01/0.0/0.0/16_013/0001708]; project CzechPolar-I, II [LM2010009, LM2015078]; ARCTOS MU project; [INACH RT_2716]</t>
  </si>
  <si>
    <t>project ECOPOLARIS; project CzechPolar-I, II; ARCTOS MU project;</t>
  </si>
  <si>
    <t>The authors thank the projects ECOPOLARIS (CZ.02.1.01/0.0/0.0/16_013/0001708) and CzechPolar-I, II (LM2010009 and LM2015078) for providing facilities and infrastructure used in the research reported here, and INACH RT_2716 for the field campaign logistic support during the Antarctic Scientific Expedition in 2019. The support from ARCTOS MU project during manuscript writing is acknowledged.</t>
  </si>
  <si>
    <t>1435-8603</t>
  </si>
  <si>
    <t>1438-8677</t>
  </si>
  <si>
    <t>Plant Biol.</t>
  </si>
  <si>
    <t>10.1111/plb.13270</t>
  </si>
  <si>
    <t>SO9WD</t>
  </si>
  <si>
    <t>WOS:000652849000001</t>
  </si>
  <si>
    <t>Ramírez-Fernández, L; Orellana, LH; Johnston, ER; Konstantinidis, KT; Orlando, J</t>
  </si>
  <si>
    <t>Ramirez-Fernandez, Lia; Orellana, Luis H.; Johnston, Eric R.; Konstantinidis, Konstantinos T.; Orlando, Julieta</t>
  </si>
  <si>
    <t>Diversity of microbial communities and genes involved in nitrous oxide emissions in Antarctic soils impacted by marine animals as revealed by metagenomics and 100 metagenome-assembled genomes</t>
  </si>
  <si>
    <t>King George Island; Livingston Island; Animal-impacted soils; Soil microbial diversity; Nitrous oxide emission; Rhodanobacter</t>
  </si>
  <si>
    <t>ROSS SEA REGION; BACTERIAL DIVERSITY; ORNITHOGENIC SOILS; DRY VALLEY; PENGUIN; N2O; DENITRIFICATION; SUBSURFACE; ABUNDANCE; COVERAGE</t>
  </si>
  <si>
    <t>Antarctic soils generally have low temperatures and limited availability of liquid water and nutrients. However, animals can increase the nutrient availability of ice-free areas by transferring nutrients from marine to terrestrial ecosystems, mainly through their excreta. In this study, we employed shotgun metagenomics and population genome binning techniques to study the diversity of microbial communities in Antarctic soils impacted by marine pinnipeds and birds relative to soils with no evident animal presence. We obtained-285,000 16S rRNA gene carrying metagenomic reads representing-60 phyla and 100 metagenome-assembled genomes (MAGs) representing eight phyla. Only nine of these 100 MAGs represented previously described species, revealing that these soils harbor extensive novel diversity. Proteobacteria, Actinobacteria, and Bacteroidetes were the most abundant phyla in all samples, with Rhodanobacter being one of the most abundant genera in the bird impacted soils. Further, the relative abundance of genes related to denitrification was at least double in soils impacted by birds than soils without animal influence. These results advance our understanding of the microbial populations and their genes involved in nitrous oxide emissions in ice-free coastal Antarctic soils impacted by marine animals and reveal novel microbial diversity associated with these ecosystems. (c) 2021 Elsevier B.V. All rights reserved.</t>
  </si>
  <si>
    <t>[Ramirez-Fernandez, Lia; Orlando, Julieta] Univ Chile, Fac Ciencias, Dept Ciencias Ecol, Lab Ecol Microbiana, Santiago 3425, Chile; [Orellana, Luis H.; Johnston, Eric R.; Konstantinidis, Konstantinos T.] Georgia Inst Technol, Sch Civil &amp; Environm Engn, Atlanta, GA 30332 USA; [Konstantinidis, Konstantinos T.] Georgia Inst Technol, Sch Biol Sci, Atlanta, GA 30332 USA; [Orellana, Luis H.] Univ Chile, Fac Med, ICBM, Lab Enteropatogenos,Programa Microbiol &amp; Micol, Santiago, Chile; [Johnston, Eric R.] Oak Ridge Natl Lab, Biosci Div, Oak Ridge, TN USA</t>
  </si>
  <si>
    <t>Universidad de Chile; University System of Georgia; Georgia Institute of Technology; University System of Georgia; Georgia Institute of Technology; Universidad de Chile; United States Department of Energy (DOE); Oak Ridge National Laboratory</t>
  </si>
  <si>
    <t>Orlando, J (corresponding author), Univ Chile, Fac Ciencias, Dept Ciencias Ecol, Lab Ecol Microbiana, Santiago 3425, Chile.</t>
  </si>
  <si>
    <t>jorlando@uchile.cl</t>
  </si>
  <si>
    <t>Orellana, Luis H/I-5621-2019; Orlando, Julieta/E-1399-2014; Konstantinidis, Kostas/ABE-7113-2020; Ramírez-Fernández, Lía/KGK-8759-2024</t>
  </si>
  <si>
    <t>Orellana, Luis H/0000-0002-2766-5243; Orlando, Julieta/0000-0002-2902-8870; Konstantinidis, Kostas/0000-0002-0954-4755;</t>
  </si>
  <si>
    <t>Instituto Antartico Chileno [INACH DT_10_15]; US National Science Foundation [1831582]; Agencia Nacional de Investigacion y Desarrollo [CONICYT-PIA ACT172065]; Division Of Environmental Biology; Direct For Biological Sciences [1831582] Funding Source: National Science Foundation</t>
  </si>
  <si>
    <t>Instituto Antartico Chileno; US National Science Foundation(National Science Foundation (NSF)); Agencia Nacional de Investigacion y Desarrollo; Division Of Environmental Biology; Direct For Biological Sciences(National Science Foundation (NSF)NSF - Directorate for Biological Sciences (BIO))</t>
  </si>
  <si>
    <t>This work was financially supported by the Instituto Antartico Chileno [project INACH DT_10_15 to Lia RamirezFernandez] . Additionally, this research was supported, in part, by the US National Science Foundation [award 1831582 to Konstantinos T. Konstantinidis] and the Agencia Nacional de Investigacion y Desarrollo [project CONICYT-PIA ACT172065, http:// www.antarcticgenomics.cl, to Julieta Orlando] .</t>
  </si>
  <si>
    <t>10.1016/j.scitotenv.2021.147693</t>
  </si>
  <si>
    <t>ST7VU</t>
  </si>
  <si>
    <t>WOS:000662648200001</t>
  </si>
  <si>
    <t>Zhang, Y; Ma, DH; Meng, WT; Xie, XF; Yang, SH; Hang, SJ; Han, YL; Hong, ZH</t>
  </si>
  <si>
    <t>Zhang, Yun; Ma, Dehao; Meng, Wanting; Xie, Xiangfang; Yang, Shuhu; Hang, Sijia; Han, Yanling; Hong, Zhonghua</t>
  </si>
  <si>
    <t>Antarctic sea ice detection using a shipborne GPS reflectometry setup</t>
  </si>
  <si>
    <t>MEASUREMENT &amp; CONTROL</t>
  </si>
  <si>
    <t>Shipborne GPS-R technology; Antarctic sea ice concentration; reflected power ratio</t>
  </si>
  <si>
    <t>GNSS-R; SIGNALS</t>
  </si>
  <si>
    <t>The feasibility of Antarctic sea ice detection based on shipborne global positioning system reflectometry (GPS-R) technology is shown in this paper. Because the permittivity of sea water is much higher than that of sea ice, the reflected left-handed circular polarized (LHCP) GPS signal (RL) reflection coefficient of sea water is markedly higher than that of sea ice. The polarization ratio of RL to the direct right-handed circular polarized (RHCP) GPS signal (DR) is used to distinguish between sea water and sea ice in this paper. The experiment was performed on the ship XueLong for approximately 9 days from December 2014 to January 2015 during the 31st Chinese National Antarctic Research Expedition (CHINARE 31). The sea ice concentration data with a 25 km x 25 km spatial resolution derived from the National Snow and Ice Data Center (NSIDC) are used for validation and some pictures of sea ice taken from XueLong are shown for comparison. The polarization ratios (RL/DR) are calculated, and the correlation coefficient between the polarization ratios (RL/DR) and the sea ice concentrations is -0.66.</t>
  </si>
  <si>
    <t>[Zhang, Yun; Ma, Dehao; Xie, Xiangfang; Yang, Shuhu; Hang, Sijia; Han, Yanling; Hong, Zhonghua] Shanghai Ocean Univ, Coll Informat Technol, Huchenghuan Rd 999, Shanghai 201306, Peoples R China; [Meng, Wanting] Shanghai Spaceflight Inst TT&amp;C &amp; Telecommun, Shanghai, Peoples R China</t>
  </si>
  <si>
    <t>Yang, SH (corresponding author), Shanghai Ocean Univ, Coll Informat Technol, Huchenghuan Rd 999, Shanghai 201306, Peoples R China.</t>
  </si>
  <si>
    <t>shyang@shou.edu.cn</t>
  </si>
  <si>
    <t>Yang, Shuhu/ISU-8049-2023; Hong, Zhonghua/L-8951-2017</t>
  </si>
  <si>
    <t>Hong, Zhonghua/0000-0003-0045-1066; Yang, Shuhu/0000-0001-9967-7756; zhang, yun/0000-0003-4367-8674</t>
  </si>
  <si>
    <t>National Nature Science Foundation of China [41376178, 41401489, 41506213]</t>
  </si>
  <si>
    <t>National Nature Science Foundation of China(National Natural Science Foundation of China (NSFC))</t>
  </si>
  <si>
    <t>The author(s) disclosed receipt of the following financial support for the research, authorship, and/or publication of this article: The research was supported by the National Nature Science Foundation of China (Grant Nos. 41376178, 41401489, and 41506213).</t>
  </si>
  <si>
    <t>0020-2940</t>
  </si>
  <si>
    <t>2051-8730</t>
  </si>
  <si>
    <t>MEAS CONTROL-UK</t>
  </si>
  <si>
    <t>Meas. Control</t>
  </si>
  <si>
    <t>5-6</t>
  </si>
  <si>
    <t>10.1177/00202940211013063</t>
  </si>
  <si>
    <t>Automation &amp; Control Systems; Instruments &amp; Instrumentation</t>
  </si>
  <si>
    <t>UK8CT</t>
  </si>
  <si>
    <t>WOS:000653323300001</t>
  </si>
  <si>
    <t>Yarra, T; Blaxter, M; Clark, MS</t>
  </si>
  <si>
    <t>Yarra, Tejaswi; Blaxter, Mark; Clark, Melody S.</t>
  </si>
  <si>
    <t>A Bivalve Biomineralization Toolbox</t>
  </si>
  <si>
    <t>MOLECULAR BIOLOGY AND EVOLUTION</t>
  </si>
  <si>
    <t>damage-repair; Crassostrea gigas; Mytilus edulis; Pecten maximus; transcriptomics; biomineralization</t>
  </si>
  <si>
    <t>DIFFERENTIAL EXPRESSION ANALYSIS; OYSTER CRASSOSTREA-GIGAS; MATRIX PROTEIN; PACIFIC OYSTER; GENE FAMILY; SHELL REGENERATION; CRYSTAL-FORMATION; CANDIDATE GENES; DENTAL ENAMEL; NACRE</t>
  </si>
  <si>
    <t>Mollusc shells are a result of the deposition of crystalline and amorphous calcite catalyzed by enzymes and shell matrix proteins (SMP). Developing a detailed understanding of bivalve mollusc biomineralization pathways is complicated not only by the multiplicity of shell forms and microstructures in this class, but also by the evolution of associated proteins by domain co-option and domain shuffling. In spite of this, a minimal biomineralization toolbox comprising proteins and protein domains critical for shell production across species has been identified. Using a matched pair design to reduce experimental noise from inter-individual variation, combined with damage-repair experiments and a database of biomineralization SMPs derived from published works, proteins were identified that are likely to be involved in shell calcification. Eighteen new, shared proteins likely to be involved in the processes related to the calcification of shells were identified by the analysis of genes expressed during repair in Crassostrea gigas, Mytilus edulis, and Pecten maximus. Genes involved in ion transport were also identified as potentially involved in calcification either via the maintenance of cell acid-base balance or transport of critical ions to the extrapallial space, the site of shell assembly. These data expand the number of candidate biomineralization proteins in bivalve molluscs for future functional studies and define a minimal functional protein domain set required to produce solid microstructures from soluble calcium carbonate. This is important for understanding molluscan shell evolution, the likely impacts of environmental change on biomineralization processes, materials science, and biomimicry research.</t>
  </si>
  <si>
    <t>[Yarra, Tejaswi] Univ Edinburgh, Inst Evolutionary Biol, Ashworth Labs, Edinburgh, Midlothian, Scotland; [Yarra, Tejaswi; Clark, Melody S.] NERC, British Antarctic Survey, Cambridge, England; [Blaxter, Mark] Sanger Inst, Wellcome Genome Campus, Hinxton, Cambs, England</t>
  </si>
  <si>
    <t>University of Edinburgh; UK Research &amp; Innovation (UKRI); Natural Environment Research Council (NERC); NERC British Antarctic Survey; Wellcome Trust Sanger Institute</t>
  </si>
  <si>
    <t>Clark, MS (corresponding author), NERC, British Antarctic Survey, Cambridge, England.</t>
  </si>
  <si>
    <t>Blaxter, Mark L/B-4113-2010; Clark, Melody S/D-7371-2014</t>
  </si>
  <si>
    <t>European Union Seventh Framework Programme [FP7] ITN project CACHE: Calcium in a Changing Environmentunder REA [605051]; BBSRC [BB/R015325/1, BB/R015325/2, BB/P024238/2, BB/P024238/1] Funding Source: UKRI; NERC [bas0100036] Funding Source: UKRI</t>
  </si>
  <si>
    <t>European Union Seventh Framework Programme [FP7] ITN project CACHE: Calcium in a Changing Environmentunder REA; BBSRC(UK Research &amp; Innovation (UKRI)Biotechnology and Biological Sciences Research Council (BBSRC)); NERC(UK Research &amp; Innovation (UKRI)Natural Environment Research Council (NERC))</t>
  </si>
  <si>
    <t>The authors would like to thank Gordon Goldsworthy from LochFyne Farms (Tarbert, UK) for providing the Pecten maximus and Crassostrea gigas; Kim Last and Christine Beveridge from The Scottish Association ofMarine Sciences (Oban, UK) who assisted with experimental set-up and animal husbandry of P. maximus, and Rebecca Smith from the British Antarctic Survey (Cambridge, UK) for assistance with experimental setup and animal husbandry of C. gigas; Edinburgh genomics for sequencing, We also thank Kirti Ramesh, Anne Huning, and Frank Melzner for their collaboration on the Mytilus experiment. Carlos Caurcel from the University of Edinburgh, UK for assistance with Interproscan domain detection and Jamie Oliver (BAS) for producing with high definition figures. This study was supported by the European Union Seventh Framework Programme [FP7] ITN project CACHE: Calcium in a Changing Environmentunder REA grant agreement (605051).</t>
  </si>
  <si>
    <t>0737-4038</t>
  </si>
  <si>
    <t>1537-1719</t>
  </si>
  <si>
    <t>MOL BIOL EVOL</t>
  </si>
  <si>
    <t>Mol. Biol. Evol.</t>
  </si>
  <si>
    <t>10.1093/molbev/msab153</t>
  </si>
  <si>
    <t>UM9SS</t>
  </si>
  <si>
    <t>WOS:000693664800040</t>
  </si>
  <si>
    <t>Lavers, JL; Rivers-Auty, J; Bond, AL</t>
  </si>
  <si>
    <t>Lavers, Jennifer L.; Rivers-Auty, Jack; Bond, Alexander L.</t>
  </si>
  <si>
    <t>Plastic debris increases circadian temperature extremes in beach sediments</t>
  </si>
  <si>
    <t>JOURNAL OF HAZARDOUS MATERIALS</t>
  </si>
  <si>
    <t>Indian Ocean; Marine debris; Sediment properties; South Pacific; Thermal gradient</t>
  </si>
  <si>
    <t>MARINE DEBRIS; CLIMATE; POLLUTION; ACCUMULATION; IMPACTS; MERCURY; NEED</t>
  </si>
  <si>
    <t>Plastic pollution is the focus of substantial scientific and public interest, leading many to believe the issue is well documented and managed, with effective mitigation in place. However, many aspects are poorly understood, including fundamental questions relating to the scope and severity of impacts (e.g., demographic consequences at the population level). Plastics accumulate in significant quantities on beaches globally, yet the consequences for these terrestrial environments are largely unknown. Using real world, in situ measurements of circadian thermal fluctuations of beach sediment on Henderson Island and Cocos (Keeling) Islands, we demonstrate that plastics increase circadian temperature extremes. Particular plastic levels were associated with increases in daily maximum temperatures of 2.45 degrees C and decreases of daily minimum by - 1.50 degrees C at 5 cm depth below the accumulated plastic. Mass of surface plastic was high on both islands (Henderson: 571 +/- 197 g/m(2); Cocos: 3164 +/- 1989 g/m(2)), but did not affect thermal conductivity, specific heat capacity, thermal diffusivity, or moisture content of beach sediments. Therefore, we suggest plastic effects sediment temperatures by altering thermal inputs and outputs (e.g., infrared radiation absorption). The resulting circadian temperature fluctuations have potentially significant implications for terrestrial ectotherms, many of which have narrow thermal tolerance limits and are functionally important in beach habitats.</t>
  </si>
  <si>
    <t>[Lavers, Jennifer L.] Univ Tasmania, Inst Marine &amp; Antarctic Studies, Battery Point, Tas 7004, Australia; [Rivers-Auty, Jack] Univ Tasmania, Tasmanian Sch Med, Hobart, Tas 7000, Australia; [Bond, Alexander L.] Nat Hist Museum, Dept Life Sci, Bird Grp, Tring HP23 6AP, Herts, England</t>
  </si>
  <si>
    <t>University of Tasmania; University of Tasmania; Natural History Museum London</t>
  </si>
  <si>
    <t>Lavers, JL (corresponding author), Univ Tasmania, Inst Marine &amp; Antarctic Studies, Battery Point, Tas 7004, Australia.</t>
  </si>
  <si>
    <t>Jennifer.Lavers@utas.edu.au</t>
  </si>
  <si>
    <t>Lavers, Jennifer/O-4831-2017; Bond, Alexander L/A-3786-2010; Lavers, Jennifer/IWM-5417-2023</t>
  </si>
  <si>
    <t>Lavers, Jennifer/0000-0001-7596-6588;</t>
  </si>
  <si>
    <t>Detached Cultural Organization; Natural History Museum; Howell Conservation Fund; Valpak; Toughsheet Environmental; Pew Trusts; CEFAS; UK Foreign and Commonwealth Office (Blue Belt Programme); Architectural and Community Planning Inc.; Zoological Society of London; Schwab International; Sea Shepherd Marine Debris; Yuan Fang Media; UK Foreign and Commonwealth Office (Pitcairn Island Office)</t>
  </si>
  <si>
    <t>Special thanks to the Cocos and Pitcairn communities (particularly T. Flores and J. Warren), the 2019 Henderson expedition team (especially M. Barker, J. Briggs, and R. Shackell), and Cocos Adventure Tours (K. &amp; A. James) for generously providing logistical support. The authors are extremely grateful to A. Fidler (Adrift Lab) and H. Tassell for technical advice, equipment, and assistance in the field. Funding for this study was generously provided (directly or in-kind) by the Detached Cultural Organization, Natural History Museum, Howell Conservation Fund, Valpak, Toughsheet Environmental, the Pew Trusts, CEFAS, the UK Foreign and Commonwealth Office (Blue Belt Programme and Pitcairn Island Office), Architectural and Community Planning Inc, Zoological Society of London, Schwab International, Sea Shepherd Marine Debris (L. &amp; M. Dicks), and Yuan Fang Media. Comments from four anonymous reviewers improved earlier drafts.</t>
  </si>
  <si>
    <t>0304-3894</t>
  </si>
  <si>
    <t>1873-3336</t>
  </si>
  <si>
    <t>J HAZARD MATER</t>
  </si>
  <si>
    <t>J. Hazard. Mater.</t>
  </si>
  <si>
    <t>10.1016/j.jhazmat.2021.126140</t>
  </si>
  <si>
    <t>SW8NO</t>
  </si>
  <si>
    <t>WOS:000664771400006</t>
  </si>
  <si>
    <t>Kvernvik, AC; Hoppe, CJM; Greenacre, M; Verbiest, S; Wiktor, JM; Gabrielsen, TM; Reigstad, M; Leu, E</t>
  </si>
  <si>
    <t>Kvernvik, Ane Cecilie; Hoppe, Clara Jule Marie; Greenacre, Michael; Verbiest, Sander; Wiktor, Jozef Maria; Gabrielsen, Tove M.; Reigstad, Marit; Leu, Eva</t>
  </si>
  <si>
    <t>Arctic sea ice algae differ markedly from phytoplankton in their ecophysiological characteristics</t>
  </si>
  <si>
    <t>Sea ice algae; Phytoplankton; Photoacclimation; Carbon fixation; Light; Nitrate; Primary production; Climate change</t>
  </si>
  <si>
    <t>PHOTOSYNTHETIC ELECTRON-TRANSPORT; OCEAN ACIDIFICATION; CHLOROPHYLL-A; LIMITED PHYTOPLANKTON; COMMUNITY COMPOSITION; PRIMARY PRODUCTIVITY; NUTRIENT LIMITATION; PIGMENT COMPOSITION; CALANUS-GLACIALIS; ANTARCTIC DIATOM</t>
  </si>
  <si>
    <t>Photophysiological and biochemical characteristics were investigated in natural communities of Arctic sea ice algae and phytoplankton to understand their respective responses towards variable irradiance and nutrient regimes. This study revealed large differences in photosynthetic efficiency and capacity between the 2 types of algal assemblages. Sea ice algal assemblages clearly displayed increased photoprotective energy dissipation under the highest daily average irradiance levels (&gt;8 mu mol photons m(-2) s(-1)). In contrast, phytoplankton assemblages were generally light-limited within the same irradiance ranges. Furthermore, phytoplankton assemblages exhibited more efficient carbon assimilation rates in the low irradiance range compared to sea ice algae, possibly explaining the ability of phytoplankton to generate substantial under-ice blooms. They were also able to readily adjust and increase their carbon production to higher irradiances. The Arctic is warming more rapidly than any other oceanic region on the planet, and as a consequence, irradiance levels experienced by microalgae are expected to increase due to declining ice thickness and snow cover, as well as enhanced stratification. The results of this study suggest that sea ice algae may have less capacity to adapt to the expected environmental changes compared to phytoplankton. We therefore anticipate a change in sea ice-based vs. pelagic primary production with respect to timing and quantity in a future Arctic. The clearly distinct responses of sea ice algae vs. phytoplankton need to be incorporated into model scenarios of current and future Arctic algal blooms and considered when predicting implications for the entire ecosystem and associated biogeochemical fluxes.</t>
  </si>
  <si>
    <t>[Kvernvik, Ane Cecilie; Gabrielsen, Tove M.] Univ Ctr Svalbard, Svalbard Sci Ctr, Dept Arctic Biol, N-9171 Longyearbyen, Norway; [Hoppe, Clara Jule Marie] Alfred Wegener Inst, Marine Biogeosci, Helinholtzzentrum Polar &amp; Meeresforsch, D-27570 Bremerhaven, Germany; [Greenacre, Michael] Univ Pompeu Fabra, Dept Econ &amp; Business, Ramon Trias Fargas 25-27, Barcelona 08005, Spain; [Greenacre, Michael] Barcelona Grad Sch Econ, Ramon Trias Fargas 25-27, Barcelona 08005, Spain; [Verbiest, Sander] Univ Utrecht, Fac Geosci, Dept Earth Sci, NL-3584 CB Utrecht, Netherlands; [Wiktor, Jozef Maria] Polish Acad Sci, Inst Oceanol, PL-81712 Sopot, Poland; [Gabrielsen, Tove M.] Univ Agder, Ctr Coastal Res, N-4604 Kristiansand, Norway; [Reigstad, Marit] UiT Arctic Univ Norway, Dept Arctic &amp; Marine Biol, N-9037 Tromso, Norway; [Leu, Eva] Akvaplan Niva AS, Fram Ctr, Arctic R&amp;D, N-9296 Tromso, Norway</t>
  </si>
  <si>
    <t>University Centre Svalbard (UNIS); Helmholtz Association; Alfred Wegener Institute, Helmholtz Centre for Polar &amp; Marine Research; Pompeu Fabra University; Utrecht University; Polish Academy of Sciences; Institute of Oceanology of the Polish Academy of Sciences; University of Agder; UiT The Arctic University of Tromso; Akvaplan-niva</t>
  </si>
  <si>
    <t>Kvernvik, AC (corresponding author), Univ Ctr Svalbard, Svalbard Sci Ctr, Dept Arctic Biol, N-9171 Longyearbyen, Norway.</t>
  </si>
  <si>
    <t>anek@unis.no</t>
  </si>
  <si>
    <t>Wiktor, Jozef M/F-5055-2011; Hoppe, Clara Jule Marie/AFT-1558-2022; Reigstad, Marit/B-2497-2013</t>
  </si>
  <si>
    <t>Hoppe, Clara Jule Marie/0000-0002-2509-0546; Reigstad, Marit/0000-0002-8592-7192; Leu, Eva/0000-0002-5328-3396</t>
  </si>
  <si>
    <t>Norwegian Research Council [243702]; Polish Ministry of Science and Higher Education (MNiSW)</t>
  </si>
  <si>
    <t>Norwegian Research Council(Research Council of Norway); Polish Ministry of Science and Higher Education (MNiSW)(Ministry of Science and Higher Education, Poland)</t>
  </si>
  <si>
    <t>This study was funded by the Norwegian Research Council as part of the project FAABulous: Future Arctic Algae Blooms -and their role in the context of climate change (project nr. 243702), and was partly financed by the Polish Ministry of Science and Higher Education (MNiSW). We thank Laura Wischnewski, Marcel Machnik and Benoit Lebreton for their help with nutrient and organic matter composition sample analyses; Marcel Nicolaus and Martin Schiller for the deployment of SIMBA and the snow buoy; and Dirk Notz and Leif Riemenschneider for the irradiance logger data.</t>
  </si>
  <si>
    <t>MAY 20</t>
  </si>
  <si>
    <t>10.3354/meps13675</t>
  </si>
  <si>
    <t>SS9SX</t>
  </si>
  <si>
    <t>WOS:000662094200003</t>
  </si>
  <si>
    <t>Hattermann, T; Nicholls, KW; Hellmer, HH; Davis, PED; Janout, MA; Osterhus, S; Schlosser, E; Rohardt, G; Kanzow, T</t>
  </si>
  <si>
    <t>Hattermann, Tore; Nicholls, Keith W.; Hellmer, Hartmut H.; Davis, Peter E. D.; Janout, Markus A.; Osterhus, Svein; Schlosser, Elisabeth; Rohardt, Gerd; Kanzow, Torsten</t>
  </si>
  <si>
    <t>Observed interannual changes beneath Filchner-Ronne Ice Shelf linked to large-scale atmospheric circulation</t>
  </si>
  <si>
    <t>ANTARCTIC SEA-ICE; SOUTHERN WEDDELL SEA; WEST ANTARCTICA; CONTINENTAL-SHELF; MODEL; CLIMATE; SYSTEM; TRENDS; DRIVEN; CAVITY</t>
  </si>
  <si>
    <t>Floating ice shelves are the Achilles' heel of the Antarctic Ice Sheet. They limit Antarctica's contribution to global sea level rise, yet they can be rapidly melted from beneath by a warming ocean. At Filchner-Ronne Ice Shelf, a decline in sea ice formation may increase basal melt rates and accelerate marine ice sheet mass loss within this century. However, the understanding of this tipping-point behavior largely relies on numerical models. Our new multi-annual observations from five hot-water drilled boreholes through Filchner-Ronne Ice Shelf show that since 2015 there has been an intensification of the density-driven ice shelf cavity-wide circulation in response to reinforced wind-driven sea ice formation in the Ronne polynya. Enhanced southerly winds over Ronne Ice Shelf coincide with westward displacements of the Amundsen Sea Low position, connecting the cavity circulation with changes in large-scale atmospheric circulation patterns as a new aspect of the atmosphere-ocean-ice shelf system. New data from five hot-water drilled boreholes show how atmospheric anomalies affect the circulation beneath Filchner-Ronne Ice Shelf on multi-year time scales. The apparent link of the dense water formation to remote teleconnections is an important step for better predicting contributions to future sea level rise from this sector of Antarctica.</t>
  </si>
  <si>
    <t>[Hattermann, Tore; Hellmer, Hartmut H.; Janout, Markus A.; Rohardt, Gerd; Kanzow, Torsten] Alfred Wegener Inst Helmholtz Ctr Polar &amp; Marine, Bremerhaven, Germany; [Hattermann, Tore] Akvaplan Niva AS, Tromso, Norway; [Hattermann, Tore] Norwegian Polar Res Inst, Tromso, Norway; [Nicholls, Keith W.; Davis, Peter E. D.] British Antarctic Survey BAS, Cambridge, England; [Osterhus, Svein] NORCE Norwegian Res Ctr, Bergen, Norway; [Osterhus, Svein] Bjerknes Ctr Climate Res, Bergen, Norway; [Schlosser, Elisabeth] Univ Innsbruck, Dept Atmospher &amp; Cryospher Sci, Innsbruck, Austria; [Schlosser, Elisabeth] Austrian Polar Res Inst, Vienna, Austria; [Kanzow, Torsten] Bremen Univ, Dept Phys &amp; Elect Engn, Bremen, Germany</t>
  </si>
  <si>
    <t>Helmholtz Association; Alfred Wegener Institute, Helmholtz Centre for Polar &amp; Marine Research; Akvaplan-niva; Norwegian Polar Institute; Norwegian Research Centre (NORCE); Bjerknes Centre for Climate Research; University of Innsbruck; University of Bremen</t>
  </si>
  <si>
    <t>Hattermann, T (corresponding author), Alfred Wegener Inst Helmholtz Ctr Polar &amp; Marine, Bremerhaven, Germany.;Hattermann, T (corresponding author), Akvaplan Niva AS, Tromso, Norway.;Hattermann, T (corresponding author), Norwegian Polar Res Inst, Tromso, Norway.</t>
  </si>
  <si>
    <t>tore.hattermann@npolar.no</t>
  </si>
  <si>
    <t>Osterhus, Svein/0000-0001-9915-2685; Janout, Markus/0000-0003-4908-2855; Davis, Peter/0000-0002-6471-6310; Hellmer, Hartmut/0000-0002-9357-9853; Schlosser, Elisabeth/0000-0003-3659-240X</t>
  </si>
  <si>
    <t>Alfred Wegener Institute; Norwegian Research Council [229764, 247699]; UK Natural Environment Research Council [NE/L013770/1]; EU Horizon 2020 grants [820575, 821001]</t>
  </si>
  <si>
    <t>Alfred Wegener Institute; Norwegian Research Council(Research Council of Norway); UK Natural Environment Research Council(UK Research &amp; Innovation (UKRI)Natural Environment Research Council (NERC)); EU Horizon 2020 grants</t>
  </si>
  <si>
    <t>T.H. is grateful to E. Darelius and R. Graversen for discussions and suggestions during the development of this study. T.H. was funded by the Alfred Wegener Institute strategic grant and the Norwegian Research Council grant 229764. K.W.N. and P.E.D.D. were funded by the UK Natural Environment Research Council under grant NE/L013770/1. SO was funded by the Norwegian Research Council grants 229764 and 247699 and the EU Horizon 2020 grants 820575 and 821001.</t>
  </si>
  <si>
    <t>10.1038/s41467-021-23131-x</t>
  </si>
  <si>
    <t>SO1SU</t>
  </si>
  <si>
    <t>WOS:000658760100002</t>
  </si>
  <si>
    <t>Pezzi, LP; de Souza, RB; Santini, MF; Miller, AJ; Carvalho, JT; Parise, CK; Quadro, MF; Rosa, EB; Justino, F; Sutil, UA; Cabrera, MJ; Babanin, AV; Voermans, J; Nascimento, EL; Alves, RCM; Munchow, GB; Rubert, J</t>
  </si>
  <si>
    <t>Pezzi, Luciano P.; de Souza, Ronald B.; Santini, Marcelo F.; Miller, Arthur J.; Carvalho, Jonas T.; Parise, Claudia K.; Quadro, Mario F.; Rosa, Eliana B.; Justino, Flavio; Sutil, Ueslei A.; Cabrera, Mylene J.; Babanin, Alexander V.; Voermans, Joey; Nascimento, Ernani L.; Alves, Rita C. M.; Munchow, Gabriel B.; Rubert, Joel</t>
  </si>
  <si>
    <t>Oceanic eddy-induced modifications to air-sea heat and CO2 fluxes in the Brazil-Malvinas Confluence</t>
  </si>
  <si>
    <t>MESOSCALE EDDIES; SOUTHERN-OCEAN; SURFACE TEMPERATURE; WIND; EXCHANGE; ENVIRONMENTS; VARIABILITY; SUBDUCTION; SATELLITE; TRANSPORT</t>
  </si>
  <si>
    <t>Sea surface temperature (SST) anomalies caused by a warm core eddy (WCE) in the Southwestern Atlantic Ocean (SWA) rendered a crucial influence on modifying the marine atmospheric boundary layer (MABL). During the first cruise to support the Antarctic Modeling and Observation System (ATMOS) project, a WCE that was shed from the Brazil Current was sampled. Apart from traditional meteorological measurements, we used the Eddy Covariance method to directly measure the ocean-atmosphere sensible heat, latent heat, momentum, and carbon dioxide (CO2) fluxes. The mechanisms of pressure adjustment and vertical mixing that can make the MABL unstable were both identified. The WCE also acted to increase the surface winds and heat fluxes from the ocean to the atmosphere. Oceanic regions at middle and high latitudes are expected to absorb atmospheric CO2, and are thereby considered as sinks, due to their cold waters. Instead, the presence of this WCE in midlatitudes, surrounded by predominantly cold waters, caused the ocean to locally act as a CO2 source. The contribution to the atmosphere was estimated as 0.3 +/- 0.04 mmol m(-2) day(-1), averaged over the sampling period. The CO2 transfer velocity coefficient (K) was determined using a quadratic fit and showed an adequate representation of ocean-atmosphere fluxes. The ocean-atmosphere CO2, momentum, and heat fluxes were each closely correlated with the SST. The increase of SST inside the WCE clearly resulted in larger magnitudes of all of the ocean-atmosphere fluxes studied here. This study adds to our understanding of how oceanic mesoscale structures, such as this WCE, affect the overlying atmosphere.</t>
  </si>
  <si>
    <t>[Pezzi, Luciano P.; Santini, Marcelo F.; Carvalho, Jonas T.; Rosa, Eliana B.; Sutil, Ueslei A.; Cabrera, Mylene J.] Natl Inst Space Res INPE, Earth Observat &amp; Geoinformat Div OBT, Lab Ocean &amp; Atmosphere Studies LOA, Sao Jose Dos Campos, SP, Brazil; [de Souza, Ronald B.] Natl Inst Space Res INPE, Earth Syst Numer Modeling Div, Ctr Weather Forecast &amp; Climate Studies CPTEC, Cachoeira Paulista, SP, Brazil; [Miller, Arthur J.] Univ Calif San Diego, Scripps Inst Oceanog, La Jolla, CA 92093 USA; [Parise, Claudia K.] Univ Fed Maranhao, Sao Luis, Maranhao, Brazil; [Quadro, Mario F.] Fed Inst Educ Sci &amp; Technol Santa Catarina, Florianopolis, SC, Brazil; [Justino, Flavio] Univ Fed Vicosa, Dept Agr Engn, Vicosa, MG, Brazil; [Babanin, Alexander V.; Voermans, Joey] Univ Melbourne, Dept Infrastruct Engn, Melbourne, Vic, Australia; [Nascimento, Ernani L.] Univ Fed Santa Maria, Dept Phys, Atmospher Modeling Grp GruMA, Santa Maria, RS, Brazil; [Alves, Rita C. M.; Munchow, Gabriel B.] Univ Fed Rio Grande do Sul, Porto Alegre, RS, Brazil; [Rubert, Joel] Natl Inst Space Res CRS INPE, Southern Space Coordinat COESU, Santa Maria, RS, Brazil</t>
  </si>
  <si>
    <t>Instituto Nacional de Pesquisas Espaciais (INPE); Instituto Nacional de Pesquisas Espaciais (INPE); University of California System; University of California San Diego; Scripps Institution of Oceanography; Universidade Federal do Maranhao; Universidade Federal de Vicosa; Melbourne Genomics Health Alliance; University of Melbourne; Universidade Federal de Santa Maria (UFSM); Universidade Federal do Rio Grande do Sul; Instituto Nacional de Pesquisas Espaciais (INPE)</t>
  </si>
  <si>
    <t>Pezzi, LP (corresponding author), Natl Inst Space Res INPE, Earth Observat &amp; Geoinformat Div OBT, Lab Ocean &amp; Atmosphere Studies LOA, Sao Jose Dos Campos, SP, Brazil.</t>
  </si>
  <si>
    <t>luciano.pezzi@inpe.br</t>
  </si>
  <si>
    <t>Pezzi, Luciano Ponzi/N-7271-2017; Souza, Ronald Buss de/R-5867-2016; Nascimento, Ernani/AAB-2060-2020; de Souza, Ronald Buss/AAP-7586-2021</t>
  </si>
  <si>
    <t>Pezzi, Luciano Ponzi/0000-0001-6016-4320; Souza, Ronald Buss de/0000-0003-3346-3370; Nascimento, Ernani/0000-0003-1472-8177; de Souza, Ronald Buss/0000-0003-3346-3370; Santini, Marcelo/0000-0002-6760-2247; Carvalho, Jonas Takeo/0000-0002-1225-3457</t>
  </si>
  <si>
    <t>Brazilian agency CNPq; Brazilian agency CAPES; Brazilian agency FINEP; Brazilian agency FAPERGS; Antarctic Modeling and Observation System [CNPq/PROANTAR 443013/2018-7]; National Institute for Science and Technology of the Cryosphere (CNPq) [704222/2009 + FAPERGS 17/2551-0000518-0]; Polar Marine Meteorological Laboratory (FINEP); CNPq Scientific Productivity Fellowship [CNPq/304858/2019-6]; National Science Foundation [OCE-2022868]</t>
  </si>
  <si>
    <t>Brazilian agency CNPq(Conselho Nacional de Desenvolvimento Cientifico e Tecnologico (CNPQ)); Brazilian agency CAPES(Coordenacao de Aperfeicoamento de Pessoal de Nivel Superior (CAPES)); Brazilian agency FINEP(Financiadora de Inovacao e Pesquisa (Finep)); Brazilian agency FAPERGS(Fundacao de Amparo a Ciencia e Tecnologia do Estado do Rio Grande do Sul (FAPERGS)); Antarctic Modeling and Observation System; National Institute for Science and Technology of the Cryosphere (CNPq)(Conselho Nacional de Desenvolvimento Cientifico e Tecnologico (CNPQ)Fundacao de Apoio a Pesquisa do Distrito Federal (FAPDF)); Polar Marine Meteorological Laboratory (FINEP)(Financiadora de Inovacao e Pesquisa (Finep)); CNPq Scientific Productivity Fellowship; National Science Foundation(National Science Foundation (NSF))</t>
  </si>
  <si>
    <t>This research was funded by the Brazilian agencies CNPq, CAPES, FINEP and FAPERGS through the following projects: (i) Antarctic Modeling and Observation System (CNPq/PROANTAR 443013/2018-7). (ii) National Institute for Science and Technology of the Cryosphere (CNPq 704222/2009 + FAPERGS 17/2551-0000518-0); (iii) Polar Marine Meteorological Laboratory (FINEP); L.P.P. is partly funded through a CNPq Scientific Productivity Fellowship (CNPq/304858/2019-6). AJM was partly supported by the National Science Foundation (OCE-2022868).</t>
  </si>
  <si>
    <t>10.1038/s41598-021-89985-9</t>
  </si>
  <si>
    <t>SM3PX</t>
  </si>
  <si>
    <t>WOS:000657522700022</t>
  </si>
  <si>
    <t>Hindley, NP; Wright, CJ; Gadian, AM; Hoffmann, L; Hughes, JK; Jackson, DR; King, JC; Mitchell, NJ; Moffat-Griffin, T; Moss, AC; Vosper, SB; Ross, AN</t>
  </si>
  <si>
    <t>Hindley, Neil P.; Wright, Corwin J.; Gadian, Alan M.; Hoffmann, Lars; Hughes, John K.; Jackson, David R.; King, John C.; Mitchell, Nicholas J.; Moffat-Griffin, Tracy; Moss, Andrew C.; Vosper, Simon B.; Ross, Andrew N.</t>
  </si>
  <si>
    <t>Stratospheric gravity waves over the mountainous island of South Georgia: testing a high-resolution dynamical model with 3-D satellite observations and radiosondes</t>
  </si>
  <si>
    <t>STOCKWELL TRANSFORM; MOMENTUM FLUX; CLIMATE; ANDES; AIRS; WAVELENGTHS; ATMOSPHERE; HIRDLS; DRAG</t>
  </si>
  <si>
    <t>Atmospheric gravity waves (GWs) play an important role in atmospheric dynamics but accurately representing them in general circulation models (GCMs) is challenging. This is especially true for orographic GWs generated by wind flow over small mountainous islands in the Southern Ocean. Currently, these islands lie in the grey zone of global model resolution, where they are neither fully resolved nor fully parameterised. It is expected that as GCMs approach the spatial resolution of current high-resolution localarea models, small-island GW sources may be resolved without the need for parameterisations. But how realistic are the resolved GWs in these high-resolution simulations compared to observations? Here, we test a high-resolution (1.5 km horizontal grid, 118 vertical levels) local-area configuration of the Met Office Unified Model over the mountainous island of South Georgia (54 degrees S, 36 degrees W), running without GW parameterisations. The island's orography is well resolved in the model, and real-time boundary conditions are used for two time periods during July 2013 and June-July 2015. We compare simulated GWs in the model to coincident 3-D satellite observations from the Atmospheric Infrared Sounder (AIRS) on board Aqua. By carefully sampling the model using the AIRS resolution and measurement footprints (denoted as model sampled as AIRS hereafter), we present the first likefor-like comparison of simulated and observed 3-D GW amplitudes, wavelengths and directional GW momentum flux (GWMF) over the island using a 3-D S -transform method. We find that the timing, magnitude and direction of simulated GWMF over South Georgia are in good general agreement with observations, once the AIRS sampling and resolution are applied to the model. Area-averaged zonal GWMF during these 2 months is westward at around 5.3 and 5.6mPa in AIRS and model sampled as AIRS datasets respectively, but values directly over the island can exceed 50 mPa. However, up to 35% of the total GWMF in AIRS is actually found upwind of the island compared to only 17% in the model sampled as AIRS, suggesting that non-orographic GWs observed by AIRS may be underestimated in our model configuration. Meridional GWMF results show a small northward bias (similar to 20 %) in the model sampled as AIRS that may correspond to a southward wind bias compared to coincident radiosonde measurements. Finally, we present one example of large-amplitude (T' approximate to 15-20K at 45 km altitude) GWs at short horizontal wavelengths (lambda(H) approximate to 30-40 km) directly over the island in AIRS measurements that show excellent agreement with the model sampled as AIRS. This suggests that orographic GWs in the full-resolution model with T' approximate to 45K and lambda(H) approximate to 30-40 km can occur in reality. Our study demonstrates that not only can high-resolution local-area models simulate realistic stratospheric GWs over small mountainous islands but the application of satellite sampling and resolution to these models can also be a highly effective method for their validation.</t>
  </si>
  <si>
    <t>[Hindley, Neil P.; Wright, Corwin J.; Mitchell, Nicholas J.; Moss, Andrew C.] Univ Bath, Ctr Space Atmospher &amp; Ocean Sci, Bath, Avon, England; [Hindley, Neil P.; Gadian, Alan M.; Hughes, John K.; Ross, Andrew N.] Univ Leeds, Sch Earth &amp; Environm, Leeds, W Yorkshire, England; [Hoffmann, Lars] Forschungszentrum Julich, Julich Supercomp Ctr, Julich, Germany; [Jackson, David R.; Vosper, Simon B.] Met Off, Exeter, Devon, England; [King, John C.; Moffat-Griffin, Tracy] British Antarctic Survey, Atmosphere Ice &amp; Climate Grp, Cambridge, England</t>
  </si>
  <si>
    <t>University of Bath; University of Leeds; Helmholtz Association; Research Center Julich; Met Office - UK; UK Research &amp; Innovation (UKRI); Natural Environment Research Council (NERC); NERC British Antarctic Survey</t>
  </si>
  <si>
    <t>Hindley, NP; Wright, CJ (corresponding author), Univ Bath, Ctr Space Atmospher &amp; Ocean Sci, Bath, Avon, England.;Hindley, NP (corresponding author), Univ Leeds, Sch Earth &amp; Environm, Leeds, W Yorkshire, England.</t>
  </si>
  <si>
    <t>n.hindley@bath.ac.uk; c.wright@bath.ac.uk</t>
  </si>
  <si>
    <t>Hoffmann, Lars/ABI-3746-2020; Ross, Andrew N/D-9312-2011; Wright, Corwin/J-4598-2014</t>
  </si>
  <si>
    <t>Hoffmann, Lars/0000-0003-3773-4377; Ross, Andrew N/0000-0002-8631-3512; Jackson, David/0000-0001-6387-6876; Gadian, Alan/0000-0001-9890-403X; Hindley, Neil/0000-0003-4377-2038; King, John/0000-0003-3315-7568; Wright, Corwin/0000-0003-2496-953X</t>
  </si>
  <si>
    <t>Natural Environment Research Council [NE/K012584/1, NE/K015117/1, NE/K012614/1, NE/R001391/1, NE/R001235/1]; Royal Society [UF160545]; NERC [NE/K015117/1, NE/S00985X/1, bas0100032, NE/K012584/1, NE/R001235/1, NE/R001391/1, NE/K012614/1] Funding Source: UKRI</t>
  </si>
  <si>
    <t>Natural Environment Research Council(UK Research &amp; Innovation (UKRI)Natural Environment Research Council (NERC)); Royal Society(Royal Society); NERC(UK Research &amp; Innovation (UKRI)Natural Environment Research Council (NERC))</t>
  </si>
  <si>
    <t>This research has been supported by the Natural Environment Research Council (grant nos. NE/K012584/1, NE/K015117/1, NE/K012614/1, NE/R001391/1, and NE/R001235/1) and the Royal Society (grant no. UF160545).</t>
  </si>
  <si>
    <t>10.5194/acp-21-7695-2021</t>
  </si>
  <si>
    <t>SJ1MW</t>
  </si>
  <si>
    <t>WOS:000655294100001</t>
  </si>
  <si>
    <t>Baumhoer, CA; Dietz, AJ; Kneisel, C; Paeth, H; Kuenzer, C</t>
  </si>
  <si>
    <t>Baumhoer, Celia A.; Dietz, Andreas J.; Kneisel, Christof; Paeth, Heiko; Kuenzer, Claudia</t>
  </si>
  <si>
    <t>Environmental drivers of circum-Antarctic glacier and ice shelf front retreat over the last two decades</t>
  </si>
  <si>
    <t>PINE ISLAND GLACIER; THWAITES GLACIER; SUPRAGLACIAL LAKES; WEST ANTARCTICA; DYNAMIC CHANGES; CALVING RATES; GEORGE VI; SHEET; STABILITY; DISINTEGRATION</t>
  </si>
  <si>
    <t>The safety band of Antarctica, consisting of floating glacier tongues and ice shelves, buttresses ice discharge of the Antarctic Ice Sheet. Recent disintegration events of ice shelves along with glacier retreat indicate a weakening of this important safety band. Predicting calving front retreat is a real challenge due to complex ice dynamics in a data-scarce environment that are unique for each ice shelf and glacier. We explore the extent to which easy-to-access remote sensing and modeling data can help to define environmental conditions leading to calving front retreat. For the first time, we present a circum-Antarctic record of glacier and ice shelf front change over the last two decades in combination with environmental variables such as air temperature, sea ice days, snowmelt, sea surface temperature, and wind direction. We find that the Antarctic Ice Sheet area decreased by -29 618 +/- 1193 km(2) in extent between 1997-2008 and gained an area of 7108 +/- 1029 km(2) between 2009 and 2018. Retreat concentrated along the Antarctic Peninsula and West Antarctica including the biggest ice shelves (Ross and Ronne). In several cases, glacier and ice shelf retreat occurred in conjunction with one or several changes in environmental variables. Decreasing sea ice days, intense snowmelt, weakening easterlies, and relative changes in sea surface temperature were identified as enabling factors for retreat. In contrast, relative increases in mean air temperature did not correlate with calving front retreat. For future studies a more appropriate measure for atmospheric forcing should be considered, including above-zero-degree days and temperature extreme events. To better understand drivers of glacier and ice shelf retreat, it is critical to analyze the magnitude of basal melt through the intrusion of warm Circumpolar Deep Water that is driven by strengthening westerlies and to further assess surface hydrology processes such as meltwater ponding, runoff, and lake drainage.</t>
  </si>
  <si>
    <t>[Baumhoer, Celia A.; Dietz, Andreas J.; Kuenzer, Claudia] German Aerosp Ctr DLR, German Remote Sensing Data Ctr DFD, D-82234 Wessling, Germany; [Kneisel, Christof; Paeth, Heiko; Kuenzer, Claudia] Univ Wurzburg, Inst Geog &amp; Geol, D-97074 Wurzburg, Germany</t>
  </si>
  <si>
    <t>Helmholtz Association; German Aerospace Centre (DLR); University of Wurzburg</t>
  </si>
  <si>
    <t>Baumhoer, CA (corresponding author), German Aerosp Ctr DLR, German Remote Sensing Data Ctr DFD, D-82234 Wessling, Germany.</t>
  </si>
  <si>
    <t>celia.baumhoer@dlr.de</t>
  </si>
  <si>
    <t>Baumhoer, Celia/ABA-6148-2021</t>
  </si>
  <si>
    <t>Baumhoer, Celia/0000-0003-1339-2288; Dietz, Andreas/0000-0002-5733-7136</t>
  </si>
  <si>
    <t>10.5194/tc-15-2357-2021</t>
  </si>
  <si>
    <t>SI6FC</t>
  </si>
  <si>
    <t>WOS:000654921000002</t>
  </si>
  <si>
    <t>Tonelli, M; Signori, CN; Bendia, A; Neiva, J; Ferrero, B; Pellizari, V; Wainer, I</t>
  </si>
  <si>
    <t>Tonelli, Marcos; Signori, Camila Negrao; Bendia, Amanda; Neiva, Juliana; Ferrero, Bruno; Pellizari, Vivian; Wainer, Ilana</t>
  </si>
  <si>
    <t>Climate Projections for the Southern Ocean Reveal Impacts in the Marine Microbial Communities Following Increases in Sea Surface Temperature</t>
  </si>
  <si>
    <t>Southern Ocean (Antarctica); climate change; microbial diversity; CMIP6; time of emergence; machine learning</t>
  </si>
  <si>
    <t>BIOGEOGRAPHIC PATTERNS; MASS-LOSS; TIME; MICROORGANISMS; ACIDIFICATION; CIRCULATION; BACTERIAL; CMIP5; CLASSIFICATION; PHYTOPLANKTON</t>
  </si>
  <si>
    <t>Anthropogenic global warming can have strong impacts on marine ecosystems, especially on climate-sensitive regions such as the Southern Ocean (SO). As key drivers of biogeochemical cycles, pelagic microbial communities are likely to respond to increases in sea surface temperature (SST). Thus, it is critical to understand how SST may change in future scenarios and how these changes will affect the composition and structure of microbial communities. By using a suite of Earth System Models participating in the Coupled Model Intercomparison Project Phase 6 (CMIP6), machine learning, and 16S rRNA sequencing data, we investigated the long-term changes as projected by CMIP6 simulations in SST throughout the twenty first century and the microbial diversity responses in the SO. Four Shared Socioeconomic Pathways (SSP12.6, SSP2-4.5, SSP3-7.0, and SSP5-8.5) were considered to assess the SO surface sensitivity to a warming climate. The SST changes across SSPs were approximate to 0.3, approximate to 0.7, approximate to 1.25, and approximate to 1.6oC between 2015 and 2100, respectively, and the high emissions scenarios projected a much sooner emergence of the human-induced temperature change throughout the SO. The impacts on Antarctic marine diversity of bacteria and archaea are expected to be significant and persistent by the late twenty first century, especially within the higher end of the range of future forcing pathways.</t>
  </si>
  <si>
    <t>[Tonelli, Marcos; Signori, Camila Negrao; Bendia, Amanda; Neiva, Juliana; Ferrero, Bruno; Pellizari, Vivian; Wainer, Ilana] Univ Sao Paulo, Inst Oceanog, Sao Paulo, Brazil</t>
  </si>
  <si>
    <t>Tonelli, M (corresponding author), Univ Sao Paulo, Inst Oceanog, Sao Paulo, Brazil.</t>
  </si>
  <si>
    <t>mtonelli@usp.br</t>
  </si>
  <si>
    <t>Pellizari, Vivian/J-9153-2012; Tonelli, Marcos/GYE-2675-2022; Bendia, Amanda/AAD-2360-2021; WAINER, ILANA/B-4540-2011</t>
  </si>
  <si>
    <t>Bendia, Amanda/0000-0003-0042-8990; WAINER, ILANA/0000-0003-3784-623X</t>
  </si>
  <si>
    <t>CNPq/MCTIC/CAPES/FNDCT EcoPelagos [442637/2018-7]; Coordenacao de Aperfeicoamento de Pessoal de Nivel SuperiorBrasil (CAPES) [001]; FAPESP [2018/14789-9, 2012/23241-0]; CNPq-MCT-INCT-594 CRIOSFERA [573720/2008-8]; CNPq-MICROSFERA [407816/2013-5]</t>
  </si>
  <si>
    <t>CNPq/MCTIC/CAPES/FNDCT EcoPelagos; Coordenacao de Aperfeicoamento de Pessoal de Nivel SuperiorBrasil (CAPES)(Coordenacao de Aperfeicoamento de Pessoal de Nivel Superior (CAPES)); FAPESP(Fundacao de Amparo a Pesquisa do Estado de Sao Paulo (FAPESP)); CNPq-MCT-INCT-594 CRIOSFERA; CNPq-MICROSFERA</t>
  </si>
  <si>
    <t>Grants CNPq/MCTIC/CAPES/FNDCT EcoPelagos Process 442637/2018-7, CNPq-MCT-INCT-594 CRIOSFERA 573720/2008-8, CNPq-MICROSFERA 407816/2013-5 and Coordenacao de Aperfeicoamento de Pessoal de Nivel SuperiorBrasil (CAPES)-Finance Code 001, FAPESP 2018/14789-9, and FAPESP 2012/23241-0.</t>
  </si>
  <si>
    <t>10.3389/fmars.2021.636226</t>
  </si>
  <si>
    <t>SL7MW</t>
  </si>
  <si>
    <t>WOS:000657099500001</t>
  </si>
  <si>
    <t>Shaffer, SA; Blévin, P; Barbraud, C; Chastel, O; Weimerskirch, H</t>
  </si>
  <si>
    <t>Shaffer, Scott A.; Blevin, Pierre; Barbraud, Christophe; Chastel, Olivier; Weimerskirch, Henri</t>
  </si>
  <si>
    <t>Comparative egg attendance patterns of incubating polar petrels</t>
  </si>
  <si>
    <t>ANIMAL BIOTELEMETRY</t>
  </si>
  <si>
    <t>Biologging; Cape petrel; Egg turning rates; Egg temperatures; Egg neglect; Snow petrel</t>
  </si>
  <si>
    <t>LONG-LIVED BIRD; ANTARCTIC SEABIRD; WATER-LOSS; SEA-ICE; REPRODUCTIVE SUCCESS; EMBRYONIC METABOLISM; BREEDING SUCCESS; PAGODROMA-NIVEA; NEGLECT; TEMPERATURE</t>
  </si>
  <si>
    <t>Background The internal environment of eggs in most birds is regulated by transferring heat energy through contact incubation, maintaining nest microclimate, and frequent egg turning by the incubating parent on its nest. However, we lack information about egg attendance patterns in birds that breed in polar environments where variations in life history are expected to influence incubation behavior. Moreover, crevice/burrow nesting petrels in high-latitude regions are known for periodically leaving their egg unattended (hereafter 'egg neglect'), but there is little reporting on the internal condition of unattended eggs. At Dumont d'Urville Station, Antarctica, we studied the incubation behavior of 24 snow (Pagodroma nivea) and 15 Cape (Daption capense) petrel pairs using egg loggers that recorded egg turning rates, orientation changes, and temperatures at 1 Hz for durations of 3-6 days. Results Egg turning frequency (1.31 +/- 0.33 vs. 1.38 +/- 0.39 turns h(-1)), angle change per turn (43.1 +/- 43.2 vs. 48.6 +/- 43.7 degrees turn(-1)), and egg temperature (34.1 +/- 2.3 vs. 34.1 +/- 2.0 degrees C) were nearly identical for snow and Cape petrels, respectively. However, egg neglect was only observed in snow petrel nests (based on egg temperature changes) where loggers recorded mean durations of 1.34 +/- 1.15 days (maximum duration of 3.63 days). During periods of neglect, eggs cooled to 5.5 +/- 1.8 degrees C over an average of 91 min, but were rewarmed by parents in only 76 min at a rate of 0.33 degrees C min(-1). Conclusions Egg temperatures of both species during regular incubation were within 1-2 degrees C of other high-latitude petrel species, but neglected snow petrel eggs remained several degrees above freezing, which was likely attributed to crevice nesting where neglected eggs are buffered by environmental conditions. Using egg rewarming rates, thermal capacity of eggs, and published metabolic rates, we estimate egg rewarming costs in snow petrels to be 1.5 to 1.9 x BMR. Excluding egg neglect periods, turning rates for both petrel species were lower than other seabirds studied using biologging devices, which may be associated with the prolonged incubation periods that are characteristic of procellariiform seabirds.</t>
  </si>
  <si>
    <t>[Shaffer, Scott A.] San Jose State Univ, Dept Biol Sci, One Washington Sq, San Jose, CA 95192 USA; [Blevin, Pierre; Barbraud, Christophe; Chastel, Olivier; Weimerskirch, Henri] Univ La Rochelle, CNRS, Ctr Etud Biol Chize CEBC, UMR 7372, F-79360 Vil Liers En Bois, France; [Blevin, Pierre] Akvaplan Niva AS, Fram Ctr, N-9296 Tromso, Norway</t>
  </si>
  <si>
    <t>California State University System; San Jose State University; La Rochelle Universite; Centre National de la Recherche Scientifique (CNRS); CNRS - Institute of Ecology &amp; Environment (INEE); Akvaplan-niva</t>
  </si>
  <si>
    <t>Shaffer, SA (corresponding author), San Jose State Univ, Dept Biol Sci, One Washington Sq, San Jose, CA 95192 USA.</t>
  </si>
  <si>
    <t>scott.shaffer@sjsu.edu</t>
  </si>
  <si>
    <t>Weimerskirch, Henri/F-5562-2013; Barbraud, Christophe/A-5870-2012; Shaffer, Scott/D-5015-2009</t>
  </si>
  <si>
    <t>Barbraud, Christophe/0000-0003-0146-212X; Shaffer, Scott/0000-0002-7751-5059</t>
  </si>
  <si>
    <t>California State University Program for Education and Research in Biotechnology (CSUPERB); SJSU RSCA program; Institut Polaire Francais Paul-Emile Victor (IPEV) [109]</t>
  </si>
  <si>
    <t>California State University Program for Education and Research in Biotechnology (CSUPERB); SJSU RSCA program; Institut Polaire Francais Paul-Emile Victor (IPEV)</t>
  </si>
  <si>
    <t>This study was supported in part by Grants from the California State University Program for Education and Research in Biotechnology (CSUPERB) and SJSU RSCA program, awarded to SAS. Travel and logistical support were provided by the Institut Polaire Francais Paul-Emile Victor (IPEV, programme no109, HW).</t>
  </si>
  <si>
    <t>2050-3385</t>
  </si>
  <si>
    <t>ANIM BIOTELEM</t>
  </si>
  <si>
    <t>Anim. Biotelem.</t>
  </si>
  <si>
    <t>10.1186/s40317-021-00240-4</t>
  </si>
  <si>
    <t>Biodiversity Conservation; Ecology; Marine &amp; Freshwater Biology</t>
  </si>
  <si>
    <t>Biodiversity &amp; Conservation; Environmental Sciences &amp; Ecology; Marine &amp; Freshwater Biology</t>
  </si>
  <si>
    <t>SI7QH</t>
  </si>
  <si>
    <t>WOS:000655024500001</t>
  </si>
  <si>
    <t>Ma, Y; Guo, J; Zhao, M; Gong, YM; You, XC</t>
  </si>
  <si>
    <t>Ma, Yue; Guo, Jing; Zhao, Miao; Gong, Yumei; You, Xiaochen</t>
  </si>
  <si>
    <t>The Effect of Sulfates on Properties of Cellulose/Dialdehyde Cellulose/Antarctic Krill Protein Composite Fibers</t>
  </si>
  <si>
    <t>FIBERS AND POLYMERS</t>
  </si>
  <si>
    <t>Sulfates; Ions effect; Cellulose; Antarctic krill protein; Composite fibers</t>
  </si>
  <si>
    <t>DIALDEHYDE CARBOXYMETHYL CELLULOSE; GRAPHENE OXIDE; ALGINATE; PERFORMANCE; DISSOLUTION; HYDROGELS; FILAMENTS</t>
  </si>
  <si>
    <t>In this paper, the alkali/urea system was used to dissolve cellulose and its derivatives and Antarctic krill protein, and then the solution is made into fibers in different coagulation baths by a wet spinning process. In this study, sulfates (ZnSO4, KAl(SO4)(2)) were added to the coagulation baths of H2SO4 and Na2SO4 to study the effects of different ions on the intermolecular interaction, crystallization, thermal stability and other properties of Cellulose/Dialdehyde cellulose/Antarctic krill protein (C/DAC/AKP) composite fibers. The results showed that the intermolecular hydrogen bond content of the composite fibers prepared after adding sulfates to the coagulation bath increased, and the crystallization and thermal properties were also improved. Among them, the performance of the composite fibers prepared in H2SO4/Na2SO4/KAl(SO4)(2) has improved significantly. At the same time, in vitro cell culture and antibacterial experiments, the composite fibers showed non-toxic and good antibacterial activity, which has guiding significance for the research and application of medical materials.</t>
  </si>
  <si>
    <t>[Ma, Yue; Guo, Jing; Zhao, Miao; Gong, Yumei; You, Xiaochen] Dalian Polytech Univ, Sch Text &amp; Mat Engn, Dalian 116034, Peoples R China</t>
  </si>
  <si>
    <t>Dalian Polytechnic University</t>
  </si>
  <si>
    <t>Guo, J; Zhao, M (corresponding author), Dalian Polytech Univ, Sch Text &amp; Mat Engn, Dalian 116034, Peoples R China.</t>
  </si>
  <si>
    <t>guojing8161@163.com; dlpuzhaomiao@163.com</t>
  </si>
  <si>
    <t>National Natural Science Foundation of China [51773024, 51373027]; Scientific Research Funding Project of Education Department of Liaoning Province [J2020046]</t>
  </si>
  <si>
    <t>National Natural Science Foundation of China(National Natural Science Foundation of China (NSFC)); Scientific Research Funding Project of Education Department of Liaoning Province</t>
  </si>
  <si>
    <t>This work was supported by the National Natural Science Foundation of China (grant numbers: 51773024 &amp; 51373027), and the Scientific Research Funding Project of Education Department of Liaoning Province (grant numbers: J2020046).</t>
  </si>
  <si>
    <t>KOREAN FIBER SOC</t>
  </si>
  <si>
    <t>KOREA SCIENCE TECHNOLOGY CTR #501 635-4 YEOGSAM-DONG, KANGNAM-GU, SEOUL 135-703, SOUTH KOREA</t>
  </si>
  <si>
    <t>1229-9197</t>
  </si>
  <si>
    <t>1875-0052</t>
  </si>
  <si>
    <t>FIBER POLYM</t>
  </si>
  <si>
    <t>Fiber. Polym.</t>
  </si>
  <si>
    <t>10.1007/s12221-021-0369-3</t>
  </si>
  <si>
    <t>Materials Science, Textiles; Polymer Science</t>
  </si>
  <si>
    <t>Materials Science; Polymer Science</t>
  </si>
  <si>
    <t>WO6TC</t>
  </si>
  <si>
    <t>WOS:000652942000001</t>
  </si>
  <si>
    <t>Evans, R; Lea, MA; Hindell, MA</t>
  </si>
  <si>
    <t>Evans, Rhian; Lea, Mary-Anne; Hindell, Mark A.</t>
  </si>
  <si>
    <t>Predicting the distribution of foraging seabirds during a period of heightened environmental variability</t>
  </si>
  <si>
    <t>ECOLOGICAL APPLICATIONS</t>
  </si>
  <si>
    <t>boosted regression trees; fish; warm event; hot spot; marine heatwave; predator; prey; species‐ distribution modeling; trophic interactions; zooplankton</t>
  </si>
  <si>
    <t>CALIFORNIA CURRENT IMPLICATIONS; PETRELS PELECANOIDES-URINATRIX; GENERALIZED ADDITIVE-MODELS; SEA-SURFACE TEMPERATURES; SOUTHEASTERN AUSTRALIA; ECOLOGICALLY IMPORTANT; COMMUNITY COMPOSITION; FISHERIES MANAGEMENT; MARINE PREDATOR; FEEDING ECOLOGY</t>
  </si>
  <si>
    <t>Quantifying the links between the marine environment, prey occurrence, and predator distribution is the first step towards identifying areas of biological importance for marine spatial planning. Events such as marine heatwaves result in an anomalous change in the physical environment, which can lead to shifts in the structure, biomass, and distribution of lower trophic levels. As central-place foragers, seabirds are vulnerable to changes in their foraging grounds during the breeding season. We first quantified spatiotemporal variability in the occurrence and biomass of prey in response to an abrupt change in oceanography as a result of a marine heatwave event. Secondly, using multivariate techniques and machine learning, we investigated if differences in the foraging technique and prey of seabirds resulted in varying responses to changes in prey occurrence and the environment over a 2.5-yr period. We found that the main variables correlated with seabird distribution were also important in structuring the occurrence and biomass of prey; sea-surface temperature (SST), current speed, mixed-layer depth, and bathymetry. Both zooplankton biomass and the occurrence of fish schools exhibited negative relationships with temperature, and temperature was subsequently an important variable in determining seabird distribution. We were able to establish correlations between the distribution of prey and the spatiotemporal distribution of albatross, little penguins and common-diving petrels. We were unable to find a correlation between the distribution of prey and that of short-tailed shearwaters and fairy prions. For high-use coastal areas, the delineation of important foraging regions is essential to balance human use of an area with the needs of marine predators, particularly seabirds.</t>
  </si>
  <si>
    <t>[Evans, Rhian; Lea, Mary-Anne; Hindell, Mark A.] Univ Tasmania, Inst Marine &amp; Antarctic Studies, Private Bag 129, Hobart, Tas 7001, Australia; [Lea, Mary-Anne; Hindell, Mark A.] Univ Tasmania, Antarctic Climate &amp; Ecosyst CRC, Private Bag 80, Hobart, Tas 7001, Australia</t>
  </si>
  <si>
    <t>Evans, R (corresponding author), Univ Tasmania, Inst Marine &amp; Antarctic Studies, Private Bag 129, Hobart, Tas 7001, Australia.</t>
  </si>
  <si>
    <t>rhian.evans@utas.edu.au</t>
  </si>
  <si>
    <t>Hindell, Mark A/K-1131-2013; Lea, Mary-Anne/E-9054-2013</t>
  </si>
  <si>
    <t>Evans, Rhian/0000-0003-4984-4143; Hindell, Mark/0000-0002-7823-7185; Lea, Mary-Anne/0000-0001-8318-9299</t>
  </si>
  <si>
    <t>Rescue Foundation Inc. [SWR/8/2015]; Holsworth Wildlife Research Endowment; Institute for Marine and Antarctic Studies (University of Tasmania)</t>
  </si>
  <si>
    <t>Rescue Foundation Inc.; Holsworth Wildlife Research Endowment; Institute for Marine and Antarctic Studies (University of Tasmania)</t>
  </si>
  <si>
    <t>The authors acknowledge the Institute for Marine and Antarctic Studies (University of Tasmania) for supporting the study with in-kind support. We thank Sea World Research and Rescue Foundation Inc. (SWR/8/2015) and the Holsworth Wildlife Research Endowment for their support of the project. Equally, the project would not have been possible without the support of IMAS field staff, and the many volunteers who helped over the survey period. All field work was carried out following the guidelines, and with the approval of, UTAS Animal Ethics Committee (AEC -A0014985). Authors' contributions: RE collected and analysed the data and led the writing of the manuscript; MH contributed to the direction and conception of the analysis; M-AL, MH and RE conceived the ideas and designed the methodology. All authors contributed critically to the drafts and gave final approval for publication.</t>
  </si>
  <si>
    <t>1051-0761</t>
  </si>
  <si>
    <t>1939-5582</t>
  </si>
  <si>
    <t>ECOL APPL</t>
  </si>
  <si>
    <t>Ecol. Appl.</t>
  </si>
  <si>
    <t>e02343</t>
  </si>
  <si>
    <t>10.1002/eap.2343</t>
  </si>
  <si>
    <t>TC4VM</t>
  </si>
  <si>
    <t>WOS:000652384100001</t>
  </si>
  <si>
    <t>Goetze, JS; Wilson, S; Radford, B; Fisher, R; Langlois, TJ; Monk, J; Knott, NA; Malcolm, H; Currey-Randall, LM; Ierodiaconou, D; Harasti, D; Barrett, N; Babcock, RC; Bosch, NE; Brock, D; Claudet, J; Clough, J; Fairclough, DV; Heupel, MR; Holmes, TH; Huveneers, C; Jordan, AR; McLean, D; Meekan, M; Miller, D; Newman, SJ; Rees, MJ; Roberts, KE; Saunders, BJ; Speed, CW; Travers, MJ; Treml, E; Whitmarsh, SK; Wakefield, CB; Harvey, ES</t>
  </si>
  <si>
    <t>Goetze, Jordan S.; Wilson, Shaun; Radford, Ben; Fisher, Rebecca; Langlois, Tim J.; Monk, Jacquomo; Knott, Nathan A.; Malcolm, Hamish; Currey-Randall, Leanne M.; Ierodiaconou, Daniel; Harasti, David; Barrett, Neville; Babcock, Russell C.; Bosch, Nestor E.; Brock, Danny; Claudet, Joachim; Clough, Jock; Fairclough, David V.; Heupel, Michelle R.; Holmes, Thomas H.; Huveneers, Charlie; Jordan, Alan R.; McLean, Dianne; Meekan, Mark; Miller, David; Newman, Stephen J.; Rees, Matthew J.; Roberts, Kelsey E.; Saunders, Benjamin J.; Speed, Conrad W.; Travers, Michael J.; Treml, Eric; Whitmarsh, Sasha K.; Wakefield, Corey B.; Harvey, Euan S.</t>
  </si>
  <si>
    <t>Increased connectivity and depth improve the effectiveness of marine reserves</t>
  </si>
  <si>
    <t>fully protected areas; marine conservation; marine protected areas; marine reserve design; marine reserve effectiveness; meta-analysis; sanctuaries</t>
  </si>
  <si>
    <t>REEF FISH ASSEMBLAGES; GREAT-BARRIER-REEF; PROTECTED AREAS; STEREO-VIDEO; BIODIVERSITY CONSERVATION; FISHERIES; SPILLOVER; ABUNDANCE; DENSITY; BIOMASS</t>
  </si>
  <si>
    <t>Marine reserves are a key tool for the conservation of marine biodiversity, yet only similar to 2.5% of the world's oceans are protected. The integration of marine reserves into connected networks representing all habitats has been encouraged by international agreements, yet the benefits of this design has not been tested empirically. Australia has one of the largest systems of marine reserves, providing a rare opportunity to assess how connectivity influences conservation success. An Australia-wide dataset was collected using baited remote underwater video systems deployed across a depth range from 0 to 100 m to assess the effectiveness of marine reserves for protecting teleosts subject to commercial and recreational fishing. A meta-analytical comparison of 73 fished species within 91 marine reserves found that, on average, marine reserves had 28% greater abundance and 53% greater biomass of fished species compared to adjacent areas open to fishing. However, benefits of protection were not observed across all reserves (heterogeneity), so full subsets generalized additive modelling was used to consider factors that influence marine reserve effectiveness, including distance-based and ecological metrics of connectivity among reserves. Our results suggest that increased connectivity and depth improve the aforementioned marine reserve benefits and that these factors should be considered to optimize such benefits over time. We provide important guidance on factors to consider when implementing marine reserves for the purpose of increasing the abundance and size of fished species, given the expected increase in coverage globally. We show that marine reserves that are highly protected (no-take) and designed to optimize connectivity, size and depth range can provide an effective conservation strategy for fished species in temperate and tropical waters within an overarching marine biodiversity conservation framework.</t>
  </si>
  <si>
    <t>[Goetze, Jordan S.; Wilson, Shaun; Holmes, Thomas H.] Dept Biodivers Conservat &amp; Attract, Marine Sci Program, Biodivers &amp; Conservat Sci, S Perth, WA 6151, Australia; [Goetze, Jordan S.; Saunders, Benjamin J.; Harvey, Euan S.] Curtin Univ, Sch Mol &amp; Life Sci, Perth, WA, Australia; [Wilson, Shaun; Radford, Ben; Langlois, Tim J.; Bosch, Nestor E.; Clough, Jock; Holmes, Thomas H.; McLean, Dianne] Indian Ocean Marine Res Ctr, UWA Oceans Inst, Perth, WA, Australia; [Radford, Ben; Fisher, Rebecca; McLean, Dianne; Meekan, Mark; Rees, Matthew J.; Speed, Conrad W.] Australian Inst Marine Sci, Indian Ocean Marine Res Ctr, UWA MO96, Perth, WA, Australia; [Langlois, Tim J.; Bosch, Nestor E.] Univ Western Australia, Sch Biol Sci, Perth, WA, Australia; [Monk, Jacquomo; Knott, Nathan A.; Barrett, Neville; Jordan, Alan R.] Univ Tasmania, Inst Marine &amp; Antarctic Studies, Hobart, Tas, Australia; [Malcolm, Hamish; Rees, Matthew J.] NSW Dept Primary Ind, Fisheries Res, Huskisson, NSW, Australia; [Currey-Randall, Leanne M.; Jordan, Alan R.] NSW Dept Primary Ind, Fisheries Res, Coffs Harbour, NSW, Australia; [Ierodiaconou, Daniel; Heupel, Michelle R.] Australian Inst Marine Sci, Townsville, Qld, Australia; [Harasti, David] Deakin Univ, Ctr Integrat Ecol, Sch Life &amp; Environm Sci, Warrnambool, Vic, Australia; [Babcock, Russell C.] NSW Dept Primary Ind, Fisheries Res, Taylors Beach, NSW, Australia; [Brock, Danny] CSIRO Oceans &amp; Atmosphere, St Lucia, Qld, Australia; [Claudet, Joachim; Miller, David] Dept Environm &amp; Water SA, Adelaide, SA, Australia; [Fairclough, David V.] PSL Univ Paris, Natl Ctr Sci Res, CRIOBE, USR 3278,CNRS,EPHE,UPVD, Paris, France; [Huveneers, Charlie; Newman, Stephen J.; Travers, Michael J.; Wakefield, Corey B.] Govt Western Australia, Dept Primary Ind &amp; Reg Dev, Western Australian Fisheries &amp; Marine Res Labs, North Beach, WA, Australia; [Whitmarsh, Sasha K.] Flinders Univ S Australia, Coll Sci &amp; Engn, Southern Shark Ecol Grp, Bedford Pk, SA, Australia; [Roberts, Kelsey E.] SUNY Stony Brook, Sch Marine &amp; Atmospher Sci, Stony Brook, NY USA; [Treml, Eric] Deakin Univ, Ctr Integrat Ecol, Sch Life &amp; Environm Sci, Geelong, Vic, Australia</t>
  </si>
  <si>
    <t>Curtin University; University of Western Australia; Australian Institute of Marine Science; University of Western Australia; University of Western Australia; University of Tasmania; NSW Department of Primary Industries; NSW Department of Primary Industries; Australian Institute of Marine Science; Deakin University; NSW Department of Primary Industries; Commonwealth Scientific &amp; Industrial Research Organisation (CSIRO); Universite PSL; Ecole Pratique des Hautes Etudes (EPHE); Centre National de la Recherche Scientifique (CNRS); CNRS - Institute of Ecology &amp; Environment (INEE); Government of Western Australia; Western Australian Fisheries &amp; Marine Research Laboratories; Flinders University South Australia; State University of New York (SUNY) System; State University of New York (SUNY) Stony Brook; Deakin University</t>
  </si>
  <si>
    <t>Goetze, JS (corresponding author), Dept Biodivers Conservat &amp; Attract, Marine Sci Program, Biodivers &amp; Conservat Sci, S Perth, WA 6151, Australia.</t>
  </si>
  <si>
    <t>gertza@gmail.com</t>
  </si>
  <si>
    <t>Speed, Conrad W/F-2913-2015; Wilson, Shaun/K-8597-2019; Claudet, Joachim/C-6335-2008; Saunders, Benjamin/AAB-6617-2019; Guerra, Néstor Echedey Bosch/AAI-6774-2020; Rees, Matthew John/I-9177-2012; Babcock, Russell C/A-3794-2012; Knott, Nathan/AAA-8888-2019; Ierodiaconou, Daniel A/B-9915-2008; McLean, Dianne/H-2449-2012; Treml, Eric A/C-7580-2013; Fisher, Rebecca/C-5459-2011; Barrett, Neville/J-7593-2014; Newman, Stephen/C-4507-2016; Goetze, Jordan/J-3099-2015</t>
  </si>
  <si>
    <t>Speed, Conrad W/0000-0003-3186-8710; Wilson, Shaun/0000-0002-4590-0948; Claudet, Joachim/0000-0001-6295-1061; Saunders, Benjamin/0000-0003-1929-518X; Guerra, Néstor Echedey Bosch/0000-0003-0421-8456; Rees, Matthew John/0000-0002-2472-6215; Knott, Nathan/0000-0002-7873-0412; McLean, Dianne/0000-0002-0306-8348; Treml, Eric A/0000-0003-4844-4420; Fisher, Rebecca/0000-0001-5148-6731; Malcolm, Hamish/0000-0001-7315-1537; Meekan, Mark/0000-0002-3067-9427; Roberts, Kelsey/0000-0001-8422-632X; Fairclough, David/0000-0002-9620-5064; Barrett, Neville/0000-0002-6167-1356; Ierodiaconou, Daniel/0000-0002-7832-4801; Newman, Stephen/0000-0002-5324-5568; Langlois, Tim/0000-0001-6404-4000; Huveneers, Charlie/0000-0001-8937-1358; Currey-Randall, Leanne M/0000-0002-3772-1288; Goetze, Jordan/0000-0002-3090-9763</t>
  </si>
  <si>
    <t>Curtin University; Australian Institute of Marine Science; Global FinPrint Project - Paul G Allen Philanthropies; Australian Research Data Commons (ARDC); ARDC's Marine Research Data Cloud project; ARDC's Australian Data Partnerships project; Marine Biodiversity Hub from the Australian Government's National Environmental Science Program</t>
  </si>
  <si>
    <t>Thanks to the Great Barrier Reef Marine Park Authority compliance team, Parks Victoria, Fisheries NSW managers, operations, compliance and research staff for information on compliance and Brooke Gibbons for data cleaning and management. We would also like to thank Mike Cappo for his contribution to the BRUV workshop and foundation work on BRUVs. We acknowledge funding for the workshop from Curtin University, a Community of Practice grant from the Australian Institute of Marine Science and from the Global FinPrint Project funded by Paul G Allen Philanthropies. We thank everyone who contributed to the data in GlobalArchive, which was supported by the Australian Research Data Commons (ARDC) and synthesis work was supported through the ARDC's Marine Research Data Cloud and Australian Data Partnerships projects. Researchers Tim Langlois, Neville Barrett, Jacquomo Monk and Alan Jordan were supported by the Marine Biodiversity Hub through funding from the Australian Government's National Environmental Science Program. We acknowledge the Traditional Owners of the land and sea country where this research was conducted and pay respects to Elders past, present and future. Thank you to Tiffany Tailor for the design of the infographic and Juliet Corley for fish images. The authors have no conflicts of interest associated with this work.</t>
  </si>
  <si>
    <t>10.1111/gcb.15635</t>
  </si>
  <si>
    <t>Green Submitted, Green Published, hybrid</t>
  </si>
  <si>
    <t>WOS:000652323600001</t>
  </si>
  <si>
    <t>Lansdown, RV; Hassemer, G</t>
  </si>
  <si>
    <t>Lansdown, Richard, V; Hassemer, Gustavo</t>
  </si>
  <si>
    <t>The genus Callitriche (Plantaginaceae: Callitricheae) in South America</t>
  </si>
  <si>
    <t>PHYTOTAXA</t>
  </si>
  <si>
    <t>new species; nomenclature; overlooked species; taxonomy; typification</t>
  </si>
  <si>
    <t>Callitriche is a sub-cosmopolitan plant genus occurring throughout temperate regions of both hemispheres, including the peri-Antarctic islands, with 78 species worldwide. Records of Callitriche include frequent and extensive misidentification due to a combination of factors including a lack of taxonomic and nomenclatural clarification before the mid-20th century. This work aims to contribute to the taxonomic knowledge of the genus Callitriche in South America by presenting taxonomic novelties and a revision of some critical species. More specifically, seven new species are described: C. ciliata, C. concinna, C. dacryoidea, C. ecarinata, C. hegelmaieriana, C. praetermissa and C. schotsmaniana. In addition, C. marginata var. berteroana is here raised to species rank, C. mandonis, C. oblongicarpa and C. turfosa are re-established, and the names C. antarctica, C. deflexa, C. deflexa var. brauniana, C. deflexa var. glaziovii, C. deflexa var. phaeocarpa, C. heterophylla, C. heteropoda, C. terrestris and C. turfosa are typified.</t>
  </si>
  <si>
    <t>[Lansdown, Richard, V] Ardeola Environm Serv, 45 Bridle, Stroud GL5 4SQ, Glos, England; [Lansdown, Richard, V] Royal Bot Gardens, Richmond TW9 3AE, Surrey, England; [Hassemer, Gustavo] Univ Fed Mato Grosso do Sul, Campus Tres Lagoas, BR-79613000 Tres Lagoas, MS, Brazil</t>
  </si>
  <si>
    <t>Royal Botanic Gardens, Kew; Universidade Federal de Mato Grosso do Sul</t>
  </si>
  <si>
    <t>Lansdown, RV (corresponding author), Ardeola Environm Serv, 45 Bridle, Stroud GL5 4SQ, Glos, England.;Lansdown, RV (corresponding author), Royal Bot Gardens, Richmond TW9 3AE, Surrey, England.</t>
  </si>
  <si>
    <t>r.lansdown@kew.org; g.hassemer@ufms.br</t>
  </si>
  <si>
    <t>Hassemer, Gustavo/C-2075-2015</t>
  </si>
  <si>
    <t>Hassemer, Gustavo/0000-0003-4365-6934; Lansdown, Richard/0000-0003-0984-4552</t>
  </si>
  <si>
    <t>Mohammed bin Zayed Species Conservation Fund</t>
  </si>
  <si>
    <t>We are grateful to the curators and staff of all the herbaria cited, in particular Ann Bogaerts (BR), Christian Brauchler (W), Christiane Dalitz (STU), Cornelia Dilger-Endrulat (TUB), Hans-Joachim Esser (M), Marijke Mombaerts (BR), Matthew Pace (NY), Ranee Prakash (BM), Jordan Teisher (PH) and Mike Thiv (STU) who have helped to locate and provide information on critical specimens. RVL would like to thank staff at the Royal Botanic Garden, Kew for their help and support over many years, particularly Alan Paton, Jo Osborne, Aurelie Grall and Martin Cheek. We would also like to thank Christian Brauchler for his work to improve an earlier draft, a well as indicating to us the holotype of the name Callitriche marginata var. berteroana, and two anonymous reviewers for comments on a previous draft of this article. Work by RVL was supported by a grant from the Mohammed bin Zayed Species Conservation Fund.</t>
  </si>
  <si>
    <t>1179-3155</t>
  </si>
  <si>
    <t>1179-3163</t>
  </si>
  <si>
    <t>Phytotaxa</t>
  </si>
  <si>
    <t>MAY 19</t>
  </si>
  <si>
    <t>10.11646/phytotaxa.501.1.3</t>
  </si>
  <si>
    <t>TM4RS</t>
  </si>
  <si>
    <t>WOS:000675538900001</t>
  </si>
  <si>
    <t>Beladi-Mousavi, SM; Hermanová, S; Ying, YL; Plutnar, J; Pumera, M</t>
  </si>
  <si>
    <t>Beladi-Mousavi, Seyyed Mohsen; Hermanova, Sona; Ying, Yulong; Plutnar, Jan; Pumera, Martin</t>
  </si>
  <si>
    <t>A Maze in Plastic Wastes: Autonomous Motile Photocatalytic Microrobots against Microplastics</t>
  </si>
  <si>
    <t>ACS APPLIED MATERIALS &amp; INTERFACES</t>
  </si>
  <si>
    <t>microplastics; micromotors; environmental remediation; plastic degradation; photocatalysts</t>
  </si>
  <si>
    <t>H-2; PHOTOOXIDATION</t>
  </si>
  <si>
    <t>An extremely high quantity of small piece of synthetic polymers, namely, microplastics, has been recently identified in some of the most intact natural environments, e.g., on top of the Alps and Antarctic ice. This is a scary wake-up call, considering the potential risks of rnicroplastics for humans and marine systems. Sunlight-driven photocatalysis is the most energy-efficient currently known strategy for plastic degradation; however, attaining efficient pliotocatalyst-plastic interaction and thus an effective charge transfer in the niicro/nanoscale is very difficult; that adds up to the common challenges of heterogeneous photocatalysis including low solubility, precipitation, and aggregation of the photocatalysts. Here, an active photocatalytic degradation procedure based on intelligent visible-light-driven microrobots with the capability of capturing and degrading rnicroplastics on-the-fly in a complex multichannel maze is introduced. The robots with hybrid powers carry built-in photocatalytic (BiVO4,) and magnetic (Fe3O4.) materials allowing a self-propelled motion under sunlight with the possibility- of precise actuation under a magnetic field inside the rnacrochannels. The photocatalytic robots are able to efficiently degrade different synthetic microplastics, particularly polylactic acid, polycaprolactorie, thanks to the generated local self-stirring effect in the nanoscale and enhanced interaction with microplastics without using any exterior mechanical stirrers, typically used in conventional systerns. Overall, this proof-of-concept study using microrobots with hybrid wireless powers has shown for the first time the possibility- of efficient degradation of ultrasrnall plastic particles in confined complex spaces, which can impact research on microplastic treatments, with the final goal of diminishing microplastics as an emergent threat for humans and marine ecosystems.</t>
  </si>
  <si>
    <t>[Beladi-Mousavi, Seyyed Mohsen; Hermanova, Sona; Ying, Yulong; Plutnar, Jan; Pumera, Martin] Univ Chem &amp; Technol, Dept Inorgan Chem, Ctr Adv Funct Nanorobots, Prague 16628, Czech Republic; [Pumera, Martin] Brno Univ Technol, Future Energy &amp; Innovat Lab, Cent European Inst Technol, Brno 61200, Czech Republic; [Pumera, Martin] Mendel Univ Brno, Dept Chem &amp; Biochem, CZ-61300 Brno, Czech Republic; [Pumera, Martin] China Med Univ, China Med Univ Hosp, Dept Med Res, Taichung 40402, Taiwan; [Hermanova, Sona] Univ Chem &amp; Technol Prague, Fac Chem Technol, Dept Polymers, Prague 16628, Czech Republic</t>
  </si>
  <si>
    <t>University of Chemistry &amp; Technology, Prague; Masaryk University Brno; Brno University of Technology; Mendel University in Brno; China Medical University Taiwan; China Medical University Hospital - Taiwan; University of Chemistry &amp; Technology, Prague</t>
  </si>
  <si>
    <t>Pumera, M (corresponding author), Univ Chem &amp; Technol, Dept Inorgan Chem, Ctr Adv Funct Nanorobots, Prague 16628, Czech Republic.;Pumera, M (corresponding author), Brno Univ Technol, Future Energy &amp; Innovat Lab, Cent European Inst Technol, Brno 61200, Czech Republic.;Pumera, M (corresponding author), Mendel Univ Brno, Dept Chem &amp; Biochem, CZ-61300 Brno, Czech Republic.;Pumera, M (corresponding author), China Med Univ, China Med Univ Hosp, Dept Med Res, Taichung 40402, Taiwan.</t>
  </si>
  <si>
    <t>pumera.research@gmail.com</t>
  </si>
  <si>
    <t>Hermanová, Soňa/A-4643-2016; YING, YULONG/C-1502-2018; Plutnar, Jan/K-1147-2017; Pumera, Martin/F-2724-2010; Beladi Mousavi, Mohsen/K-8708-2018</t>
  </si>
  <si>
    <t>Hermanová, Soňa/0000-0002-9491-9100; YING, YULONG/0000-0003-2826-9426; Pumera, Martin/0000-0001-5846-2951; Beladi Mousavi, Mohsen/0000-0003-2861-0348</t>
  </si>
  <si>
    <t>project Advanced Functional Nanorobots - EFRR [CZ.02.1.01/0.0/0.0/15_003/0000444]</t>
  </si>
  <si>
    <t>project Advanced Functional Nanorobots - EFRR</t>
  </si>
  <si>
    <t>This work was supported by the project Advanced Functional Nanorobots (reg. No. CZ.02.1.01/0.0/0.0/15_003/0000444 financed by the EFRR). We thank Katherine Villa for her contribution to the preparation of microrobots.</t>
  </si>
  <si>
    <t>1944-8244</t>
  </si>
  <si>
    <t>1944-8252</t>
  </si>
  <si>
    <t>ACS APPL MATER INTER</t>
  </si>
  <si>
    <t>ACS Appl. Mater. Interfaces</t>
  </si>
  <si>
    <t>JUN 2</t>
  </si>
  <si>
    <t>10.1021/acsami.1c04559</t>
  </si>
  <si>
    <t>SO9TF</t>
  </si>
  <si>
    <t>WOS:000659315800072</t>
  </si>
  <si>
    <t>Su, JY; Strutton, PG; Schallenberg, C</t>
  </si>
  <si>
    <t>Su, Jiaoyang; Strutton, Peter G.; Schallenberg, Christina</t>
  </si>
  <si>
    <t>The subsurface biological structure of Southern Ocean eddies revealed by BGC-Argo floats</t>
  </si>
  <si>
    <t>Chlorophyll; Backscatter; Photo-acclimation; Eddies; Subsurface floats; Southern Ocean</t>
  </si>
  <si>
    <t>MESOSCALE EDDIES; CHLOROPHYLL FLUORESCENCE; SURFACE CHLOROPHYLL; MIXED LAYERS; PHYTOPLANKTON; EDDY; SATELLITE; TRANSPORT; LIGHT; SEA</t>
  </si>
  <si>
    <t>Mesoscale eddies play several key roles in the Southern Ocean by redistributing momentum, potential vorticity, heat and salt. However, the role of eddies in Southern Ocean biogeochemistry has received less attention. Previous studies have been based on satellites or models. In this study, Southern Ocean eddies were matched with BGC-Argo float profiles to investigate the subsurface biological structure of Southern Ocean eddies. We focused on four frontal regions in the Indian sector of the Southern Ocean where data density is greater than in the other basins. The seasonality and regional variability of subsurface chlorophyll and backscatter structures were revealed by calculating anomalies in eddies relative to outside of eddies, in each season and frontal region. Chlorophyll anomalies in the mixed layer were mostly positive for both cyclones and anticyclones in all regions in spring, summer and autumn. Anomalies in winter were close to zero. Eddy pumping was the most likely mechanism sustaining high chlorophyll in cyclones. Eddy-induced Ekman pumping, in combination with deep vertical mixing was likely the driver of enhanced chlorophyll in anticyclones. Backscatter anomalies were mostly consistent with chlorophyll anomalies. Chlorophyll to backscatter ratios (chlorophyll:bbp) were also calculated to help understand the role of light acclimation in the phytoplankton. There were strong subsurface maxima for ineddy chlorophyll:bbp in spring and summer. Such structures were weak in autumn and winter, but chlorophyll: bbp in the upper 30 m in autumn and winter was mostly higher than spring and summer in the same region. Photo-acclimation to low light at depth was evident for both cyclones and anticyclones in spring and summer in the euphotic zone, while in autumn and winter it was observed throughout the upper water column. The majority of positive chlorophyll anomalies were due to both an increase of biomass and photo-acclimation while few cases were due to photo-acclimation only.</t>
  </si>
  <si>
    <t>[Su, Jiaoyang; Strutton, Peter G.; Schallenberg, Christina] Univ Tasmania, Coll Sci &amp; Engn, Inst Marine &amp; Antarctic Studies, Hobart, Tas, Australia; [Su, Jiaoyang; Strutton, Peter G.] Univ Tasmania, Australian Res Council Ctr Excellence Climate Ext, Hobart, Tas, Australia</t>
  </si>
  <si>
    <t>Su, JY (corresponding author), Univ Tasmania, Coll Sci &amp; Engn, Inst Marine &amp; Antarctic Studies, Hobart, Tas, Australia.</t>
  </si>
  <si>
    <t>jiaoyang.su@utas.edu.au</t>
  </si>
  <si>
    <t>Schallenberg, Christina/N-4187-2017; Strutton, Peter/C-4466-2011</t>
  </si>
  <si>
    <t>Schallenberg, Christina/0000-0002-3073-7500; Strutton, Peter/0000-0002-2395-9471</t>
  </si>
  <si>
    <t>Australia's Integrated Marine Observing System (IMOS) - IMOS; Australian Research Council Centre of Excellence for Climate Extremes [CE170100023]</t>
  </si>
  <si>
    <t>Australia's Integrated Marine Observing System (IMOS) - IMOS; Australian Research Council Centre of Excellence for Climate Extremes(Australian Research Council)</t>
  </si>
  <si>
    <t>Hannah Dawson helped with the methods for matching floats with eddies. Tyler Rohr provided insights into how we can interpret the results. The global BGC-Argo community provided the dataset. Australian participation in the global Argo program is supported by Australia's Integrated Marine Observing System (IMOS) - IMOS is enabled by the National Collaborative Research Infrastructure Strategy (NCRIS). It is operated by a consortium of institutions as an unincorporated joint venture, with the University of Tasmania as Lead Agent. This research was supported by the Australian Research Council Centre of Excellence for Climate Extremes (CE170100023).</t>
  </si>
  <si>
    <t>10.1016/j.jmarsys.2021.103569</t>
  </si>
  <si>
    <t>SK7VW</t>
  </si>
  <si>
    <t>WOS:000656425200003</t>
  </si>
  <si>
    <t>Benegas, GRS; Bernal, SPF; de Oliveira, VM; Passarini, MRZ</t>
  </si>
  <si>
    <t>Sosa Benegas, Gabriela Rocio; Fernandes Bernal, Suzan Prado; de Oliveira, Valeria Maia; Zambrano Passarini, Michel Rodrigo</t>
  </si>
  <si>
    <t>Antimicrobial activity against Microcystis aeruginosa and degradation of microcystin-LR by bacteria isolated from Antarctica</t>
  </si>
  <si>
    <t>Cyanobacteria; Microcystin; Biodegradation; Actinobacteria; Antarctic microorganisms; Extremotolerant</t>
  </si>
  <si>
    <t>CYANOBACTERIUM MICROCYSTIS; ALGICIDAL BACTERIUM; BIOLOGICAL-CONTROL; ALGAL BLOOMS; BIODEGRADATION; DISCOVERY; LYSIS; MICROORGANISMS; IDENTIFICATION; INHIBITION</t>
  </si>
  <si>
    <t>Cyanobacteria massive proliferations are common in freshwater bodies worldwide, causing adverse effects on aquatic ecosystems and public health. Numerous species develop blooms. Most of them correspond to the toxic microcystin-producing cyanobacterium Microcystis aeruginosa. Microorganisms recovered from Antarctic environment can be considered an unexploited source of antimicrobial compounds. Data about their activity against cyanobacteria are scant or inexistent. This study aimed to evaluate the capacity of Antarctic bacteria to inhibit the proliferation of M. aeruginosa BCPUSP232 and to degrade microcystin-LR (MC-LR). Cell-free extracts of seventy-six bacterial strains were initially tested for antimicrobial activity. Unidentified (UN) strains 62 and ES7 and Psychromonas arctica were able to effectively lyse M. aeruginosa. Eight strains showed MIC ranging from 0.55 to 3.00 mg mL(-1), with ES7 showing the best antimicrobial activity. Arthrobacter sp. 443 and UN 383 were the most efficient in degrading MC-LR, with 24.87 and 23.85% degradation, respectively. To our knowledge, this is the first report of antimicrobial and MC-LR degradation activities by Antarctic bacteria, opening up perspectives for their future application as an alternative or supporting approach to help mitigate cyanobacterial blooms.</t>
  </si>
  <si>
    <t>[Sosa Benegas, Gabriela Rocio; Fernandes Bernal, Suzan Prado; Zambrano Passarini, Michel Rodrigo] UNILA Univ Fed Integracao Latino Amer, Lab Biotecnol Ambiental, Av Taiquinio Joslin Santos,1000 Jd Univ, BR-85870650 Foz Do Iguacu, PR, Brazil; [Sosa Benegas, Gabriela Rocio] Div Embalse MARR CE, ITAIPU BINACL, Estacien Acuicultura, Labs Ecol, Supercarretera Itaipu,Km 16-5, Hernandarias, Paraguay; [de Oliveira, Valeria Maia] CPQBA UNICAMP Div Recursos Microbianos, Rua Alexandre Caselatto 999,CP 6171, BR-13083970 Campinas, SP, Brazil</t>
  </si>
  <si>
    <t>Universidade Federal da Integracao Latino-Americana</t>
  </si>
  <si>
    <t>Passarini, MRZ (corresponding author), UNILA Univ Fed Integracao Latino Amer, Lab Biotecnol Ambiental, Av Taiquinio Joslin Santos,1000 Jd Univ, BR-85870650 Foz Do Iguacu, PR, Brazil.</t>
  </si>
  <si>
    <t>michel.passarini@unila.edu.br</t>
  </si>
  <si>
    <t>Passarimi, Michel/AAD-5806-2022; Oliveira, Valéria Maia/L-2422-2014</t>
  </si>
  <si>
    <t>Oliveira, Valéria Maia/0000-0001-8817-4758; Sosa Benegas, Gabriela/0000-0001-7446-6012; Zambrano Passarini, Michel/0000-0002-8614-1896</t>
  </si>
  <si>
    <t>SAo Paulo State Research Support Foundation (FAPESP) [2016/05640-6]; CNPq [308955/2016-1]</t>
  </si>
  <si>
    <t>SAo Paulo State Research Support Foundation (FAPESP)(Fundacao de Amparo a Pesquisa do Estado de Sao Paulo (FAPESP)); CNPq(Conselho Nacional de Desenvolvimento Cientifico e Tecnologico (CNPQ))</t>
  </si>
  <si>
    <t>We thank Ana Carolina Gossen from the Reservoir Division of Itaipu Binacional - Paraguay, for the support during the laboratory experiments; Maria do Carmo Bittencourt-Oliveira from the University of SAo Paulo, for kindly providing the BCP USP232 strain; to Luiz Henrique Rosa (UFMG-Brazil) for performing the sampling; SAo Paulo State Research Support Foundation (FAPESP) - Process: 2016/05640-6 and Research Productivity Grant from CNPq (Valeria Maia de Oliveira) - Process: 308955/2016-1)</t>
  </si>
  <si>
    <t>10.1007/s11356-021-14458-5</t>
  </si>
  <si>
    <t>UW6KD</t>
  </si>
  <si>
    <t>WOS:000652107200010</t>
  </si>
  <si>
    <t>Vallet, M; Kaftan, F; Grabe, V; Ghaderiardakani, F; Fenizia, S; Svatos, A; Pohnert, G; Wichard, T</t>
  </si>
  <si>
    <t>Vallet, Marine; Kaftan, Filip; Grabe, Veit; Ghaderiardakani, Fatemeh; Fenizia, Simona; Svatos, Ales; Pohnert, Georg; Wichard, Thomas</t>
  </si>
  <si>
    <t>A new glance at the chemosphere of macroalgal-bacterial interactions: In situ profiling of metabolites in symbiosis by mass spectrometry</t>
  </si>
  <si>
    <t>BEILSTEIN JOURNAL OF ORGANIC CHEMISTRY</t>
  </si>
  <si>
    <t>algae; AP-SMALDI; ectoine; holobiont; high-resolution mass spectrometry; mass spectrometry imaging; marine bacteria; Ulva</t>
  </si>
  <si>
    <t>SINGLE-CELL METABOLOMICS; ULVA-MUTABILIS; GAMETE RELEASE; CHLOROPHYTA; GROWTH; MORPHOGENESIS; BIOSYNTHESIS; ECTOINE; IDENTIFICATION; COLONIZATION</t>
  </si>
  <si>
    <t>Symbiosis is a dominant form of life that has been observed numerous times in marine ecosystems. For example, macroalgae coexist with bacteria that produce factors that promote algal growth and morphogenesis. The green macroalga Ulva mutabilis (Chlorophyta) develops into a callus-like phenotype in the absence of its essential bacterial symbionts Roseovarius sp. MS2 and Maribacter sp. MS6. Spatially resolved studies are required to understand symbiont interactions at the microscale level. Therefore, we used mass spectrometry profiling and imaging techniques with high spatial resolution and sensitivity to gain a new perspective on the mutualistic interactions between bacteria and macroalgae. Using atmospheric pressure scanning microprobe matrix-assisted laser desorption/ionisation high-resolution mass spectrometry (AP-SMALDI-HRMS), low-molecular-weight polar compounds were identified by comparative metabolomics in the chemosphere of Ulva. Choline (2-hydroxy-N,N,N-trimethylethan-1-aminium) was only determined in the alga grown under axenic conditions, whereas ectoine (1,4,5,6-tetrahydro-2-methyl-4-pyrimidinecar-boxylic acid) was found in bacterial presence. Ectoine was used as a metabolic marker for localisation studies of Roseovarius sp. within the tripartite community because it was produced exclusively by these bacteria. By combining confocal laser scanning microscopy (cLSM) and AP-SMALDI-HRMS, we proved that Roseovarius sp. MS2 settled mainly in the rhizoidal zone (holdfast) of U. mutabilis. Our findings provide the fundament to decipher bacterial symbioses with multicellular hosts in aquatic ecosystems in an ecologically relevant context. As a versatile tool for microbiome research, the combined AP-SMALDI and cLSM imaging analysis with a resolution to level of a single bacterial cell can be easily applied to other microbial consortia and their hosts. The novelty of this contribution is the use of an in situ setup designed to avoid all types of external contamination and interferences while resolving spatial distributions of metabolites and identifying specific symbiotic bacteria.</t>
  </si>
  <si>
    <t>[Vallet, Marine; Pohnert, Georg] Max Planck Inst Chem Ecol, Res Grp Phytoplankton Community Interact, Jena, Germany; [Kaftan, Filip; Svatos, Ales] Max Planck Inst Chem Ecol, Res Grp Mass Spectrometry Prote, Jena, Germany; [Grabe, Veit] Max Planck Inst Chem Ecol, Dept Evolutionary Neuroethol, Res Grp Olfactory Coding, Jena, Germany; [Ghaderiardakani, Fatemeh; Fenizia, Simona; Pohnert, Georg; Wichard, Thomas] Friedrich Schiller Univ Jena, Inst Inorgan &amp; Analyt Chem, Jena, Germany; [Fenizia, Simona] Max Planck Inst Chem Ecol, Jena, Germany; [Pohnert, Georg] Friedrich Schiller Univ Jena, Microverse Cluster, Jena, Germany</t>
  </si>
  <si>
    <t>Max Planck Society; Max Planck Society; Max Planck Society; Friedrich Schiller University of Jena; Max Planck Society; Friedrich Schiller University of Jena</t>
  </si>
  <si>
    <t>Vallet, M (corresponding author), Max Planck Inst Chem Ecol, Res Grp Phytoplankton Community Interact, Jena, Germany.;Wichard, T (corresponding author), Friedrich Schiller Univ Jena, Inst Inorgan &amp; Analyt Chem, Jena, Germany.</t>
  </si>
  <si>
    <t>mvallet@ice.mpg.de; Thomas.Wichard@uni-jena.de</t>
  </si>
  <si>
    <t>Ghaderiardakani, Fatemeh/HGB-6725-2022; Pohnert, Georg/D-3721-2013; Vallet, Marine/AAU-7467-2021; Svatos, Ales/A-3305-2014; Wichard, Thomas/C-2794-2009</t>
  </si>
  <si>
    <t>Vallet, Marine/0000-0002-6878-0459; Svatos, Ales/0000-0003-1032-7288; Wichard, Thomas/0000-0003-0061-4160; Fenizia, Simona/0000-0002-3592-9368; Ghaderiardakani, Fatemeh/0000-0003-3497-8421; Grabe, Veit/0000-0002-0736-2771</t>
  </si>
  <si>
    <t>International Max Planck Research School Exploration of Ecological Interactions with Molecular Techniques; MPG Fellowship; Deutsche Forschungsgemeinschaft [SFB 1127/2 ChemBioSys-239748522, SPP 1158, 424256657]</t>
  </si>
  <si>
    <t>International Max Planck Research School Exploration of Ecological Interactions with Molecular Techniques; MPG Fellowship; Deutsche Forschungsgemeinschaft(German Research Foundation (DFG))</t>
  </si>
  <si>
    <t>SF was funded by the International Max Planck Research School Exploration of Ecological Interactions with Molecular Techniques. This work was supported by an MPG Fellowship awarded to GP and by the Deutsche Forschungsgemeinschaft through Grant No. SFB 1127/2 ChemBioSys-239748522 (GP, TW) and within the framework of the priority program (SPP 1158) Antarctic Research with comparative investigations in Arctic ice areas under the project number #424256657 (FG, TW).</t>
  </si>
  <si>
    <t>BEILSTEIN-INSTITUT</t>
  </si>
  <si>
    <t>FRANKFURT AM MAIN</t>
  </si>
  <si>
    <t>TRAKEHNER STRASSE 7-9, FRANKFURT AM MAIN, 60487, GERMANY</t>
  </si>
  <si>
    <t>1860-5397</t>
  </si>
  <si>
    <t>BEILSTEIN J ORG CHEM</t>
  </si>
  <si>
    <t>Beilstein J. Org. Chem.</t>
  </si>
  <si>
    <t>10.3762/bjoc.17.91</t>
  </si>
  <si>
    <t>Chemistry, Organic</t>
  </si>
  <si>
    <t>SF9IF</t>
  </si>
  <si>
    <t>WOS:000653059400001</t>
  </si>
  <si>
    <t>Doherty, SC; Maas, AE; Steinberg, DK; Popp, BN; Close, HG</t>
  </si>
  <si>
    <t>Doherty, Shannon C.; Maas, Amy E.; Steinberg, Deborah K.; Popp, Brian N.; Close, Hilary G.</t>
  </si>
  <si>
    <t>Distinguishing zooplankton fecal pellets as a component of the biological pump using compound-specific isotope analysis of amino acids</t>
  </si>
  <si>
    <t>PACIFIC SUBTROPICAL GYRE; VERTICAL FLUX; NITROGEN ISOTOPES; SINKING PARTICLES; ORGANIC NITROGEN; MARINE SNOW; FRACTIONATION; PARTICULATE; INSIGHTS; PATTERNS</t>
  </si>
  <si>
    <t>Zooplankton contribute a major component of the vertical flux of particulate organic matter to the ocean interior by packaging consumed food and waste into large, dense fecal pellets that sink quickly. Existing methods for quantifying the contribution of fecal pellets to particulate organic matter use either visual identification or lipid biomarkers, but these methods may exclude fecal material that is not morphologically distinct, or may include zooplankton carcasses in addition to fecal pellets. Based on results from seven pairs of wildcaught zooplankton and their fecal pellets, we assess the ability of compound-specific isotope analysis of amino acids (CSIA-AA) to chemically distinguish fecal pellets as an end-member material within particulate organic matter. Nitrogen CSIA-AA is an improvement on previous uses of bulk stable isotope ratios, which cannot distinguish between differences in baseline isotope ratios and fractionation due to metabolic processing. We suggest that the relative trophic position of zooplankton and their fecal pellets, as calculated using CSIA-AA, can provide a metric for estimating the dietary absorption efficiency of zooplankton. Using this metric, the zooplankton examined here had widely ranging dietary absorption efficiencies, where lower dietary absorption may equate to higher proportions of fecal packaging of undigested material. The nitrogen isotope ratios of threonine and alanine statistically distinguished the zooplankton fecal pellets from literature-derived examples of phytoplankton, zooplankton biomass, and microbially degraded organic matter. We suggest that delta N-15 values of threonine and alanine could be used in mixing models to quantify the contribution of fecal pellets to particulate organic matter.</t>
  </si>
  <si>
    <t>[Doherty, Shannon C.; Close, Hilary G.] Univ Miami, Rosenstiel Sch Marine &amp; Atmospher Sci, Miami, FL 33124 USA; [Maas, Amy E.] Bermuda Inst Ocean Sci, St Georges, Bermuda; [Steinberg, Deborah K.] Virginia Inst Marine Sci, William &amp; Mary, Gloucester Point, VA 23062 USA; [Popp, Brian N.] Univ Hawaii Manoa, Dept Earth Sci, Honolulu, HI 96822 USA</t>
  </si>
  <si>
    <t>University of Miami; Bermuda Institute of Ocean Sciences; William &amp; Mary; Virginia Institute of Marine Science; University of Hawaii System; University of Hawaii Manoa</t>
  </si>
  <si>
    <t>Close, HG (corresponding author), Univ Miami, Rosenstiel Sch Marine &amp; Atmospher Sci, Miami, FL 33124 USA.</t>
  </si>
  <si>
    <t>hclose@rsmas.miami.edu</t>
  </si>
  <si>
    <t>Maas, Amy/AAC-1181-2022; Close, Hilary/M-4904-2013</t>
  </si>
  <si>
    <t>Maas, Amy/0000-0002-3730-2876; Close, Hilary/0000-0002-9892-8928; Popp, Brian/0000-0001-7021-5478; Doherty, Shannon/0000-0003-3785-8759; Steinberg, Deborah K./0000-0001-9884-4655</t>
  </si>
  <si>
    <t>NSF [OCE 1830016, OCE 1829318, PLR 1440435, OCE 1829425]; BIOS-SCOPE from Simons Foundation International; [NASA-80NSSC17K0654]</t>
  </si>
  <si>
    <t>NSF(National Science Foundation (NSF)); BIOS-SCOPE from Simons Foundation International;</t>
  </si>
  <si>
    <t>Thank you to the crew and science parties of the cruises LMG 1801, RR1813, AE 1819, and AE 1910 for helping collect zooplankton and produce fecal pellet samples, particularly Joe Cope, Patricia Thibodeau, Andrea Miccoli, and Karen Stamieszkin-who also advised us on experimental container design. This work was made possible by funding from: NSF OCE 1830016 to H.G.C., NSF OCE 1829318 to A.E.M., BIOS-SCOPE funding from Simons Foundation International to A.E.M. and H.G.C., NASA-80NSSC17K0654 to D.K.S. and A.E.M., NSF PLR 1440435 (Antarctic Organisms and Ecosystems Program) to D.K.S., NSF PLR 1643345 and NSF OCE 1829425 to B.N.P. We are grateful to Albert Ortiz, Joshua Pi, and Suzanne Stremler for assistance with laboratory analysis and to Lillian Henderson for assistance with chlorophyll data, and we thank two anonymous reviewers for their thoughtful comments. Data from the paper will be published at the BCO-DMO online database: EXPORTS project data can be found at https://www.bco-dmo.org/project/768320 and BIOS-SCOPE project data can be found at https://www.bco-dmo.org/project/826178.Palmer LTER core data can be found at https://pal.lternet.edu/data.This is SOEST contribution number 11330 and contribution 4014 of the Virginia Institute of Marine Science, William &amp; Mary.</t>
  </si>
  <si>
    <t>10.1002/lno.11793</t>
  </si>
  <si>
    <t>WOS:000651822900001</t>
  </si>
  <si>
    <t>Teoh, CP; Lavin, P; Lee, DJH; Gonzalez-Aravena, M; Najimudin, N; Lee, PC; Cheah, YK; Wong, CMVL</t>
  </si>
  <si>
    <t>Teoh, C. P.; Lavin, P.; Lee, D. J. H.; Gonzalez-Aravena, M.; Najimudin, N.; Lee, P. C.; Cheah, Y. K.; Wong, C. M. V. L.</t>
  </si>
  <si>
    <t>Genomics and transcriptomics analyses provide insights into the cold adaptation strategies of an Antarctic bacterium, Cryobacterium sp. SO1</t>
  </si>
  <si>
    <t>Genome; Transcriptome; Cold adaptation; Antarctica and polar</t>
  </si>
  <si>
    <t>HEAT-SHOCK RESPONSE; SP-NOV.; OXIDATIVE STRESS; DNA-DAMAGE; PSYCHROTOLERANT BACTERIUM; FAMILY; PROTEINS; ANNOTATION; INDUCTION; MECHANISM</t>
  </si>
  <si>
    <t>Thirteen out of the 15 known Cryobacterium spp. were from extremely cold environments. However, the fundamental question on their cold adaptation strategies to survive in the cold has not been addressed adequately. Hence, this work was conducted to determine the Cryobacterium sp. SO1 cold adaptation strategies. Cryobacterium sp. SO1 that grew optimally at 20 degrees C was exposed to a sub-optimal temperature of 10 degrees C. Its mRNA was extracted, sequenced, and analyzed. Strain SO1 global transcriptional profiles revealed a total of 182 differential expressed genes. Four hydrolases, a clp protease, and novel YraN family endonuclease that were related to the programmed cell death pathway were upregulated, indicating that the temperature drop was probably lethal to some cells. Three highly upregulated transcriptional regulators were likely to be the key components to regulate genome-wide expression to adapt to the cold. Meanwhile, the oligo-ribonuclease and a Clp protease gene were upregulated probably to remove accumulated misfolded mRNA and proteins, respectively. The SerB gene was upregulated probably to provide more L-serine residue for the biosynthesis of cold-adapted proteins. Interestingly, most of the stress protein genes in the genome, such as the reactive oxygen species (ROS)-scavenging enzymes were not upregulated. Instead, strain SO1 upregulated the six ribosomal genes which were the target of oxidative nucleobase damage caused by the ROS. This mechanism was probably to ensure that the protein biosynthesis machinery was not affected. Overall, strain SO1 had all the necessary genes and well-coordinated mechanisms to adapt to the sub-optimal growth temperature.</t>
  </si>
  <si>
    <t>[Teoh, C. P.; Lee, D. J. H.; Wong, C. M. V. L.] Univ Malaysia Sabah, Biotechnol Res Inst, Jalan UMS, Kota Kinabalu 88400, Sabah, Malaysia; [Lavin, P.] Univ Antofagasta, Inst Antofagasta, Fac Ciencias Mar &amp; Recursos Biol, Dept Biotecnol, Antofagasta, Chile; [Gonzalez-Aravena, M.] Inst Antartico Chileno, Plaza Munoz Gamero, Punta Arenas 1055, Chile; [Najimudin, N.] Univ Sains Malaysia, Sch Biol Sci, Bayan Lepas 11900, Penang, Malaysia; [Lee, P. C.] Univ Malaysia Sabah, Fac Sci &amp; Nat Resources, Jalan UMS, Kota Kinabalu 88400, Sabah, Malaysia; [Cheah, Y. K.] Univ Putra Malaysia, Dept Biomed Sci, Fac Med &amp; Hlth Sci, UPM, Serdang 43400, Selangor Darul, Malaysia</t>
  </si>
  <si>
    <t>Universiti Malaysia Sabah; Universidad de Antofagasta; Universiti Sains Malaysia; Universiti Kebangsaan Malaysia; Universiti Malaysia Sabah; Universiti Putra Malaysia</t>
  </si>
  <si>
    <t>Wong, CMVL (corresponding author), Univ Malaysia Sabah, Biotechnol Res Inst, Jalan UMS, Kota Kinabalu 88400, Sabah, Malaysia.</t>
  </si>
  <si>
    <t>michaelw@ums.edu.my</t>
  </si>
  <si>
    <t>Wong, Clemente Michael Vui Ling/M-8372-2013; Teoh, Chui Peng/AAM-9640-2021; Najimudin, Nazalan/B-2952-2011; Lee, Ping Chin/AGV-4612-2022; Lavin, Paris/HPH-3612-2023</t>
  </si>
  <si>
    <t>Wong, Clemente Michael Vui Ling/0000-0003-3431-8896; Teoh, Chui Peng/0000-0003-1261-4600; Lee, Ping Chin/0000-0002-4280-0829; Lavin, Paris/0000-0002-8893-526X</t>
  </si>
  <si>
    <t>Ministry of Science, Technology, and Innovation (MOSTI), Malaysia [FP1213E036]</t>
  </si>
  <si>
    <t>Ministry of Science, Technology, and Innovation (MOSTI), Malaysia(Ministry of Energy, Science, Technology, Environment and Climate Change (MESTECC), Malaysia)</t>
  </si>
  <si>
    <t>The funding support from the Ministry of Science, Technology, and Innovation (MOSTI), Malaysia, under the Antarctica Flagship Programme (Sub-Project 1: FP1213E036) is gratefully acknowledged. We would also like to thank Michelle Wong for reading and amending the manuscript.</t>
  </si>
  <si>
    <t>10.1007/s00300-021-02883-8</t>
  </si>
  <si>
    <t>WOS:000652134700001</t>
  </si>
  <si>
    <t>Paquette, JA; Fray, N; Bardyn, A; Engrand, C; Alexander, CMO; Siljeström, S; Cottin, H; Merouane, S; Isnard, R; Stenzel, OJ; Fischer, H; Rynö, J; Kissel, J; Hilchenbach, M</t>
  </si>
  <si>
    <t>Paquette, J. A.; Fray, N.; Bardyn, A.; Engrand, C.; Alexander, C. M. O'D; Siljestrom, S.; Cottin, H.; Merouane, S.; Isnard, R.; Stenzel, O. J.; Fischer, H.; Ryno, J.; Kissel, J.; Hilchenbach, M.</t>
  </si>
  <si>
    <t>D/H in the refractory organics of comet 67P/Churyumov-Gerasimenko measured by Rosetta/COSIMA</t>
  </si>
  <si>
    <t>MONTHLY NOTICES OF THE ROYAL ASTRONOMICAL SOCIETY</t>
  </si>
  <si>
    <t>comets: general; comets: individual: 67P; protoplanetary discs</t>
  </si>
  <si>
    <t>ULTRACARBONACEOUS ANTARCTIC MICROMETEORITES; O1 HALE-BOPP; ISOTOPIC COMPOSITION; SOLAR-SYSTEM; DEUTERIUM FRACTIONATION; MASS-SPECTROMETER; DUST ANALOGS; MATTER; WATER; ORIGIN</t>
  </si>
  <si>
    <t>The D/H ratio is a clue to the origin and evolution of hydrogen-bearing chemical species in Solar system materials. D/H has been observed in the coma of many comets, but most such measurements have been for gaseous water. We present the first in situ measurements of the D/H ratios in the organic refractory component of cometary dust particles collected at very low impact speeds in the coma of comet 67P/Churyumov-Gerasimenko (hereafter 67P) by the COSIMA instrument onboard Rosetta. The values measured by COSIMA are spatial averages over an approximately 35 x 50 mu m(2) area. The average D/H ratio for the 25 measured particles is (1.57 +/- 0.54) x 10(-3), about an order of magnitude higher than the Vienna Standard Mean Ocean Water (VSMOW), but more than an order of magnitude lower than the values measured in gas-phase organics in solar-like protostellar regions and hot cores. This relatively high averaged value suggests that refractory carbonaceous matter in comet 67P is less processed than the most primitive insoluble organic matter (IOM) in meteorites, which has a D/H ratio in the range of about 1 to 7 x 10(-4). The cometary particles measured in situ also have a higher H/C ratio than the IOM. We deduce that the measured D/H in cometary refractory organics is an inheritance from the presolar molecular cloud from which the Solar system formed. The high D/H ratios observed in the cometary particles challenges models in which high D/H ratios result solely from processes that operated in the protosolar disc.</t>
  </si>
  <si>
    <t>[Paquette, J. A.; Merouane, S.; Stenzel, O. J.; Fischer, H.; Kissel, J.; Hilchenbach, M.] Max Planck Inst Sonnensystemforsch, Justus Von Liebig Weg 3, D-37077 Gottingen, Germany; [Fray, N.; Cottin, H.; Isnard, R.] Univ Paris Est Creteil, F-94010 Creteil, France; [Fray, N.; Cottin, H.; Isnard, R.] Univ Paris, LISA, CNRS, F-94010 Creteil, France; [Bardyn, A.; Alexander, C. M. O'D] Carnegie Inst Sci, Earth &amp; Planets Lab, 5241 Broad Branch Rd NW, Washington, DC 20015 USA; [Engrand, C.] Univ Paris Saclay, Lab Phys 2 Infinis Irene Joliot Curie, IJCLab, CNRS,IN2P3, F-91405 Orsay, France; [Siljestrom, S.] RISE Res Inst Sweden, Dept Chem Biomat &amp; Text, Box 5607, SE-11486 Stockholm, Sweden; [Isnard, R.] Inst Sci &amp; Ingn Supramol, 8 Rue Gaspard Monge,BP 70028, F-67083 Strasbourg, France; [Ryno, J.] Finnish Meteorol Inst, Observat Serv, Erik Palmenin Aukio 1, FI-00560 Helsinki, Finland</t>
  </si>
  <si>
    <t>Max Planck Society; Universite Paris-Est-Creteil-Val-de-Marne (UPEC); Universite Gustave-Eiffel; Centre National de la Recherche Scientifique (CNRS); Universite Paris Cite; Universite Paris-Est-Creteil-Val-de-Marne (UPEC); Carnegie Institution for Science; Centre National de la Recherche Scientifique (CNRS); CNRS - National Institute of Nuclear and Particle Physics (IN2P3); Universite Paris Saclay; Universite Paris Cite; RISE Research Institutes of Sweden; Finnish Meteorological Institute</t>
  </si>
  <si>
    <t>Paquette, JA; Hilchenbach, M (corresponding author), Max Planck Inst Sonnensystemforsch, Justus Von Liebig Weg 3, D-37077 Gottingen, Germany.</t>
  </si>
  <si>
    <t>john.a.paquette@nasa.gov; hilchenbach@mps.mpg.de</t>
  </si>
  <si>
    <t>Alexander, Conel M. O'D./N-7533-2013</t>
  </si>
  <si>
    <t>Alexander, Conel M. O'D./0000-0002-8558-1427; Stenzel, Oliver/0000-0001-7253-8588; Fray, Nicolas/0000-0002-9140-5462; Merouane, Sihane/0000-0002-7746-2380; Siljestrom, Sandra/0000-0002-4975-6074</t>
  </si>
  <si>
    <t>Germany (DLR) [50 QP 1302]; France (CNES); ESA Technical Directorate; Swedish National Space Agency [198/15, 137/19]</t>
  </si>
  <si>
    <t>Germany (DLR)(Helmholtz AssociationGerman Aerospace Centre (DLR)); France (CNES)(Centre National D'etudes Spatiales); ESA Technical Directorate; Swedish National Space Agency(Swedish National Space Agency (SNSA))</t>
  </si>
  <si>
    <t>COSIMA was built by a consortium led by the Max-Planck-Institut fur Extraterrestrische Physik, Garching, Germany in collaboration with Laboratoire de Physique et Chimie de l'Environnement et 8 de l'Espace, Orleans, France; Institut d'Astrophysique Spatiale, CNRS/Universite Paris Sud, Orsay, France; Finnish Meteorological Institute, Helsinki, Finland; Universitat Wuppertal, Wuppertal, Germany; von Hoerner und Sulger GmbH, Schwetzingen, Germany; Universitat der Bundeswehr, Neubiberg, Germany; Institut fur Physik, Forschungszentrum Seibersdorf, Seibersdorf, Austria; and Institut fur Weltraumforschung, Osterreichische Akademie der Wissenschaften, Graz, Austria and is led by the Max-Planck-Institut fur Sonnensystemforschung, Gottingen, Germany. The support of the national funding agencies of Germany (DLR, grant 50 QP 1302), France (CNES), Austria, Finland, and the ESA Technical Directorate is gratefully acknowledged. We thank the Rosetta Science Ground Segment at ESAC, the Rosetta Mission Operations Centre at ESOC, and the Rosetta Project at ESTEC for their outstandingwork enabling the science return of the Rosetta Mission. We thank Jean Duprat for assistance with the UCAMM data. SS was funded by Swedish National Space Agency (contracts 198/15 and 137/19).</t>
  </si>
  <si>
    <t>0035-8711</t>
  </si>
  <si>
    <t>1365-2966</t>
  </si>
  <si>
    <t>MON NOT R ASTRON SOC</t>
  </si>
  <si>
    <t>Mon. Not. Roy. Astron. Soc.</t>
  </si>
  <si>
    <t>10.1093/mnras/stab1028</t>
  </si>
  <si>
    <t>SS1XV</t>
  </si>
  <si>
    <t>WOS:000661537200021</t>
  </si>
  <si>
    <t>Gémard, C; Planas-Bielsa, V; Bonadonna, F; Aubin, T</t>
  </si>
  <si>
    <t>Gemard, Charlene; Planas-Bielsa, Victor; Bonadonna, Francesco; Aubin, Thierry</t>
  </si>
  <si>
    <t>Contextual variations in calls of two nonoscine birds: the blue petrel Halobaena caerulea and the Antarctic prion Pachyptila desolata</t>
  </si>
  <si>
    <t>BEHAVIORAL ECOLOGY</t>
  </si>
  <si>
    <t>acoustic communication; frequency shift; motivation; petrels; seabirds; vocal plasticity</t>
  </si>
  <si>
    <t>AGGRESSIVE MOTIVATION; VOCAL SIGNALS; RECOGNITION; SONG; INFORMATION; PERFORMANCE; PREDATION; LENGTH</t>
  </si>
  <si>
    <t>Bird vocalizations are critical cues in social interactions as they convey temporary information varying with the social context, for example, the signaler motivation when facing a rival or a potential mate. To date, literature mainly focused on learning birds. Burrowing petrels (Procellariidae) are nonlearning birds with a limited vocal repertoire. Bachelor males communicate with conspecifics with a single call emitted in three situations: in the absence of a certain auditory (spontaneous calls), toward females (female-directed calls), and toward males (male-directed calls). We first hypothesized that, although the call structure is preserved, temporal and spectral parameters vary between the three call types of bachelor males, translating different motivations (Motivation Hypothesis). To go further, we hypothesized that acoustic variations in male-directed calls indicate the signaler's aggressive motivation and, therefore, the variations are similar whether calls are produced by breeder or bachelor males (Breeding Status Hypothesis). We tested the two hypotheses performing field playback experiments on two petrel species: the blue petrel (Halobaena caerulea) and the Antarctic prion (Pachyptila desolata). Despite the obvious call stereotypy, we observed temporal variations and frequency shifts when males react to a female or a male, which may translate the sexual or aggressive motivation of the signaler. Furthermore, the similarity of variations in male-directed calls of both breeder and bachelor males suggests the aggressive motivation. So far, vocal plasticity in nonlearning birds has been greatly underestimated. Here, we highlighted the expression of different motivations through vocal variations and the ability to produce frequency variations in species with genetically coded vocalizations.</t>
  </si>
  <si>
    <t>[Gemard, Charlene; Bonadonna, Francesco] Univ Paul Valery Montpellier 3, Univ Montpellier, EPHE, CNRS,IRD,CEFE, Montpellier, France; [Planas-Bielsa, Victor] Ctr Sci Monaco, Dept Biol Polaire, 8 Quai Antoine 1ere, MC-98000 Principality Of Monaco, Monaco; [Gemard, Charlene; Aubin, Thierry] Univ Paris Saclay, UMR 9197, Neuro PSI CNRS, Equipe Commun Acoust, Bat 446, F-91405 Orsay, France</t>
  </si>
  <si>
    <t>Universite PSL; Ecole Pratique des Hautes Etudes (EPHE); Institut Agro; Montpellier SupAgro; CIRAD; Centre National de la Recherche Scientifique (CNRS); Institut de Recherche pour le Developpement (IRD); Universite Paul-Valery; Universite de Montpellier; Universite Paris Cite; Universite Paris Saclay; Centre National de la Recherche Scientifique (CNRS); CNRS - National Institute for Biology (INSB)</t>
  </si>
  <si>
    <t>Gémard, C (corresponding author), Univ Paul Valery Montpellier 3, Univ Montpellier, EPHE, CNRS,IRD,CEFE, Montpellier, France.;Gémard, C (corresponding author), Univ Paris Saclay, UMR 9197, Neuro PSI CNRS, Equipe Commun Acoust, Bat 446, F-91405 Orsay, France.</t>
  </si>
  <si>
    <t>charlene.gemard@cefe.cnrs.fr</t>
  </si>
  <si>
    <t>Gemard, Charlene/0000-0002-8019-5842</t>
  </si>
  <si>
    <t>French Polar Institute (Institut Polaire Francais Paul Emile Victor IPEV) [354 ETHOTAAF]</t>
  </si>
  <si>
    <t>French Polar Institute (Institut Polaire Francais Paul Emile Victor IPEV)</t>
  </si>
  <si>
    <t>This work was supported by the French Polar Institute (Institut Polaire Francais Paul Emile Victor IPEV, program no. 354 ETHOTAAF).</t>
  </si>
  <si>
    <t>1045-2249</t>
  </si>
  <si>
    <t>1465-7279</t>
  </si>
  <si>
    <t>BEHAV ECOL</t>
  </si>
  <si>
    <t>Behav. Ecol.</t>
  </si>
  <si>
    <t>10.1093/beheco/arab020</t>
  </si>
  <si>
    <t>Behavioral Sciences; Biology; Ecology; Zoology</t>
  </si>
  <si>
    <t>Behavioral Sciences; Life Sciences &amp; Biomedicine - Other Topics; Environmental Sciences &amp; Ecology; Zoology</t>
  </si>
  <si>
    <t>UK9ZN</t>
  </si>
  <si>
    <t>WOS:000692321500029</t>
  </si>
  <si>
    <t>Echavarria, L; Dietrich, A; Gutierrez, R; Rodriguez, ME</t>
  </si>
  <si>
    <t>Echavarria, Leandro; Dietrich, Andreas; Gutierrez, Ronald; Eugenia Rodriguez, Maria</t>
  </si>
  <si>
    <t>Geology and epithermal silver-gold vein mineralization of the San Jose acute accent mining district, Santa Cruz province, Argentina</t>
  </si>
  <si>
    <t>Deseado massif; Ore shoot geometry; Structural control; Paragenetic sequence; Adularia geochronology</t>
  </si>
  <si>
    <t>DESEADO MASSIF; BREAK-UP; ANTARCTIC PENINSULA; GEOTHERMAL-FIELD; PATAGONIA; GONDWANA; MAGMATISM; EVOLUTION; DEPOSITS; SUBDUCTION</t>
  </si>
  <si>
    <t>The San Jose ' mining district in the northwestern Deseado Massif of southern Argentina produces silver and gold from intermediate sulfidation style epithermal veins. The district geology is characterized by a subhorizontal sequence of Jurassic volcanic rocks, dominated by volcanogenic agglomerates and lava flows of andesitic to basaltic andesitic composition of the Bajo Pobre Fm, that are locally overlain by felsic ignimbrites and air fall tuffs of the Chon Aike and La Matilde Fms. Several small hornblende-porphyritic subvolcanic stocks, as well as polymictic and matrix-supported breccias cross-cut the andesite sequence. Geochronology indicates that Jurassic volcanism was active in the district between 151.3 +/- 0.7 and 144.7 +/- 0.1 Ma, and mineralization formed from 151 to 141 Ma. More than 50% of the San Jose ' district is covered by post-Jurassic deposits including Cretaceous sedimentary and volcano-sedimentary rocks, Tertiary plateau basalts and modern periglacial gravel deposits. The Huevos Verdes-Frea vein cluster is the economic heart of the San Jose ' district and source of its production with more than 20 km of northwest-striking veins hosted by andesite lava of the Bajo Pobre Fm. West-northwest-striking veins (-N280 degrees and -N320 degrees) display dextral strike-slip motion and contain ore shoots over strike lengths of up to 1200 m (Kospi, Odin, Frea, Ayelen). By contrast, north-northwest striking veins (&gt;N320 degrees) (Huevos Verdes) show sinistral strike-slip motion and host more discontinuous ore shoots, with strike length up to -400 m separated by transverse syngenetic faults. Vein mineralization is characterized by three paragenetic stages. Pre-ore barren quartz and chalcedony is followed by the ore stage, consisting of mottled and crustiform quartz-sulfides and late sulfide-rich veinlets. Sulfide paragenesis shows repetitive cycles starting with pyrite, sphalerite, galena, chalcopyrite, minor bornite, and covellite, followed by precious metal-dominated pulses with electrum, acanthite/argentite, and rare silver sulfosalts. Gangue mineralogy is mainly characterized by quartz intergrown with minor adularia, illite, illite/smectite, and preferentially at deeper levels Fechlorite (+/- epidote), indicating precipitation from near-neutral pH hydrothermal fluids at temperatures of &gt;220 degrees C. Kaolinite gangue accompanies illite/smectite with increasing presence towards higher levels and in later stages suggest fluid mixing with steam-heated fluids resulting in decreased fluid temperatures and pH towards shallower levels and over time. Other mineralized sectors of the district lack economic significance. The El Pluma-La Sorpresa vein cluster comprises narrow quartz veins and silicic ribs hosted by andesitic volcanic rocks of the Bajo Pobre Fm. with illite, illite/smectite and kaolinite alteration. Cerro Saavedra is an alteration system in the vent area of a partially eroded andesitic volcanic edifice with heterolithic explosion breccias where proximal residual quartz with vuggy texture is surrounded by a halo of quartz-alunite and distal illite alteration. At Saavedra Oeste a swarm of northwest-striking, short vein and breccia lenses is hosted by ignimbrites of the Chon Aike Fm. Hydrothermal alteration ranges from proximal silicification grading out to illite, illite/smectite and minor kaolinite.</t>
  </si>
  <si>
    <t>[Dietrich, Andreas] Dietrich Consulting EIRL, Santiago, Chile; [Gutierrez, Ronald] Freeport McMoRan Explorac Peru, Calle Alonso de Molina 840, Lima 15023, Peru; [Eugenia Rodriguez, Maria] Yamana Gold, Av San Martin 1167, Mendoza, Argentina</t>
  </si>
  <si>
    <t>echavarria.leandro@gmail.com; an_dietrich@yahoo.com; rgutierr@fmi.com; maria.rodriguez@yamana.com</t>
  </si>
  <si>
    <t>Echavarria, Leandro/0000-0002-2283-0537</t>
  </si>
  <si>
    <t>Hochschild Mining Plc.; CONICET; Hochschild Mining</t>
  </si>
  <si>
    <t>Hochschild Mining Plc.; CONICET(Consejo Nacional de Investigaciones Cientificas y Tecnicas (CONICET)); Hochschild Mining</t>
  </si>
  <si>
    <t>This work is the result of two research projects initiated and funded by Hochschild Mining Plc., one of them carried out at Colorado School of Mines, and the other at the Universidad Nacional de la Plata (UNLP) with a collaborative support between Hochschild Mining Plc. and CONICET. We gratefully thank Hochschild Mining for supported research work and permission to publish. We especially thank geologists from Minera Santa Cruz S.A. for their assistance during field work, and for their constructive geologic discussions and input. Jeff Hedenquist and an anonymous reviewer are thanked for their critical comments that have helped to substantially improve the manuscript.</t>
  </si>
  <si>
    <t>10.1016/j.jsames.2021.103371</t>
  </si>
  <si>
    <t>TZ7BF</t>
  </si>
  <si>
    <t>WOS:000684623900001</t>
  </si>
  <si>
    <t>Sieber, M; Conway, TM; de Souza, GF; Hassler, CS; Ellwood, MJ; Vance, D</t>
  </si>
  <si>
    <t>Sieber, M.; Conway, T. M.; de Souza, G. F.; Hassler, C. S.; Ellwood, M. J.; Vance, D.</t>
  </si>
  <si>
    <t>Isotopic fingerprinting of biogeochemical processes and iron sources in the iron-limited surface Southern Ocean</t>
  </si>
  <si>
    <t>trace metals; micronutrients; biogeochemistry; nutrient cycling; Antarctic Circumnavigation Expedition</t>
  </si>
  <si>
    <t>DISSOLVED IRON; DRAKE PASSAGE; FE; FRACTIONATION; PATTERNS; SILICON; WATERS</t>
  </si>
  <si>
    <t>Iron (Fe) is an essential micronutrient that limits primary productivity throughout the surface of the Southern Ocean. Here, we present the first high-resolution depth profiles for dissolved Fe and Fe isotope ratios (delta Fe-56) from all major zones of the Southern Ocean, collected during the Antarctic Circumnavigation Expedition in austral summer 2017. Open-ocean surface waters are characterized by remarkably high delta Fe-56 values (up to +1.6 parts per thousand) and very low Fe concentrations (&lt;0.05 nmol kg(-1)). We attribute the elevated delta Fe-56 values above the ferricline to the effect of continuous shallow cycling processes (uptake, recycling, and binding of Fe to organic ligands), with only a very limited resupply of Fe from below. Below the ferricline, delta Fe-56 values approach similar to 0 parts per thousand and remain constant down to our deepest samples at 1000 m, with no obvious isotope signal from regeneration. This overall pattern in delta Fe-56 is modified near islands, continental shelves and hydrothermal vents, where distinct delta Fe-56 signatures are associated with different Fe sources. Near the volcanic Balleny Islands, elevated surface Fe concentrations associated with low delta Fe-56 are indicative of reductive release of isotopically light Fe from sediments. Elevated delta Fe-56 values at depth near the Balleny seamount chain and near the East Scotia Arc may reflect distal hydrothermal influences, caused by fractionation associated with precipitation or the loss of specific phases of Fe during long-range transport. Sedimentary sources of isotopically light Fe on the Antarctic Peninsula are important for shelf waters. Long-distance transport of this sediment-derived Fe and its influence on surface waters are strongly dependent on the regional circulation, and may ultimately be the source of light Fe previously observed within Antarctic Intermediate Water in the Atlantic sector of the Southern Ocean. (C) 2021 The Authors. Published by Elsevier B.V.</t>
  </si>
  <si>
    <t>[Sieber, M.; de Souza, G. F.; Vance, D.] Swiss Fed Inst Technol, Dept Earth Sci, Inst Geochem &amp; Petrol, Zurich, Switzerland; [Conway, T. M.] Univ S Florida, Coll Marine Sci, Tampa, FL 33620 USA; [Conway, T. M.] Univ S Florida, Sch Geosci, Tampa, FL 33620 USA; [Hassler, C. S.] Univ Geneva, Dept FA Forel Environm &amp; Aquat Sci, Geneva, Switzerland; [Hassler, C. S.] EPF Lausanne, Swiss Polar Inst, Lausanne, Switzerland; [Ellwood, M. J.] Australian Natl Univ, Res Sch Earth Sci, Canberra, ACT, Australia</t>
  </si>
  <si>
    <t>Swiss Federal Institutes of Technology Domain; ETH Zurich; State University System of Florida; University of South Florida; State University System of Florida; University of South Florida; University of Geneva; Swiss Federal Institutes of Technology Domain; Ecole Polytechnique Federale de Lausanne; Australian National University</t>
  </si>
  <si>
    <t>Sieber, M (corresponding author), Swiss Fed Inst Technol, Dept Earth Sci, Inst Geochem &amp; Petrol, Zurich, Switzerland.;Sieber, M (corresponding author), Univ S Florida, Coll Marine Sci, Tampa, FL 33620 USA.</t>
  </si>
  <si>
    <t>sieberm@usf.edu</t>
  </si>
  <si>
    <t>Ellwood, Michael J/G-7390-2011</t>
  </si>
  <si>
    <t>Sieber, Matthias/0000-0001-5510-6126; Ellwood, Michael/0000-0003-4288-8530</t>
  </si>
  <si>
    <t>ETH Zurich; University of South Florida; EPFL; Swiss Polar Institute; Ferring Pharmaceuticals</t>
  </si>
  <si>
    <t>ETH Zurich(ETH Zurich); University of South Florida; EPFL; Swiss Polar Institute; Ferring Pharmaceuticals(Ferring Pharmaceuticals)</t>
  </si>
  <si>
    <t>We thank the captain, crew and water sampling team aboard R/V Akademik Tryoshnikov on the Antarctic Circumnavigation Expedition, Corey Archer for assistance in the lab at ETH Zurich and Ethan Goddard for technical assistance at the University of South Florida. This study was supported by ETH Zurich, the University of South Florida, and Project 15 of the Antarctic Circumnavigation Expedition (funded by EPFL, Swiss Polar Institute and Ferring Pharmaceuticals). We thank Michael Staubwasser and an anonymous reviewer for their comments, which helped us strengthen this manuscript. Finally, we wish to thank the late David Walton, chief scientist for the expedition, for his support at sea.</t>
  </si>
  <si>
    <t>10.1016/j.epsl.2021.116967</t>
  </si>
  <si>
    <t>WOS:000659467000008</t>
  </si>
  <si>
    <t>Uribe-Palomino, J; Gastineau, R; Richardson, AJ; Wade, NM; Whittock, L; Hallegraeff, GM</t>
  </si>
  <si>
    <t>Uribe-Palomino, Julian; Gastineau, Romain; Richardson, Anthony J.; Wade, Nick M.; Whittock, Lucy; Hallegraeff, Gustaaf M.</t>
  </si>
  <si>
    <t>New observations on the large hemidiscoid diatom Palmerina ostenfeldii and its symbiotic ciliate Vaginicola collariforma sp. nov. from subtropical Australian waters</t>
  </si>
  <si>
    <t>DIATOM RESEARCH</t>
  </si>
  <si>
    <t>Diatom-Ciliate symbioses; peritrich ciliates; morphological and molecular analyses; tropical marine phytoplankton</t>
  </si>
  <si>
    <t>PHYLOGENETIC ANALYSIS; MOLECULAR PHYLOGENY; PERITRICH CILIATE; MARINE; BACILLARIOPHYTA; TINTINNID</t>
  </si>
  <si>
    <t>The large hemi-discoid diatom Palmerina ostenfeldii was common in subtropical Moreton Bay, Australia, following a flood in January 2011. All diatom cells exhibited diagnostic subapical folds settled by loricate peritrich ciliates, but which readily abandoned stressed diatom cells. We characterized both diatoms and ciliates by morphological and molecular analyses, including careful video observations on non-preserved cells immediately after collection. The fold in the diatom cell wall comprises a narrow shelf upon which the ciliates attach (on average seven per fold, and similar for the two folds of a single diatom cell) but without penetrating the diatom wall itself. Folds were fully developed in newly formed internal valves, indicating that the ciliates play no role in their morphogenesis. SSU rRNA sequences of P. ostenfeldii from Moreton Bay (with ciliates) differed by 25 bp (1.5%) from those of P. hardmaniana from Texas (without ciliates), but surprisingly rbcL chloroplast sequences for both diatom species were indistinguishable. The ciliate species epiphytic on P. ostenfeldii, previously referred to as the cold-water tintinnid Amphorella borealis could not be assigned to any known species. We formally describe it here as Vaginicola collariforma sp. nov. within the crown clade of peritrichs which also includes the closely related genus Cothurnia (but distinguished as having an external stalk). Beating of the peritrich oral cilia was observed to drive rotational movement of the large discoid diatoms as in a ferris wheel. The observed diatom-ciliate symbiosis may represent a unique evolutionary adaptation in which the ciliate is host-specific and attaches in a specific locality on the host cell.</t>
  </si>
  <si>
    <t>[Uribe-Palomino, Julian] CSIRO, Oceans &amp; Atmosphere, Queensland Biosci Precinct QBP, St Lucia, Qld, Australia; [Gastineau, Romain] Univ Szczecin, Inst Marine &amp; Environm Sci, Szczecin, Poland; [Richardson, Anthony J.] Univ Queensland, Sch Math &amp; Phys, Ctr Applicat Nat Resource Math, St Lucia, Qld, Australia; [Wade, Nick M.] CSIRO Agr &amp; Food, Queensland Biosci Precinct QBP, St Lucia, Qld, Australia; [Whittock, Lucy; Hallegraeff, Gustaaf M.] Univ Tasmania, Inst Marine &amp; Antarctic Studies, Hobart, Tas, Australia</t>
  </si>
  <si>
    <t>Commonwealth Scientific &amp; Industrial Research Organisation (CSIRO); University of Szczecin; University of Queensland; Commonwealth Scientific &amp; Industrial Research Organisation (CSIRO); University of Tasmania</t>
  </si>
  <si>
    <t>Hallegraeff, GM (corresponding author), Univ Tasmania, Inst Marine &amp; Antarctic Studies, Hobart, Tas, Australia.</t>
  </si>
  <si>
    <t>gustaaf.hallegraeff@utas.edu.au</t>
  </si>
  <si>
    <t>Gastineau, Romain/ABD-5773-2020; Richardson, Anthony J/B-3649-2010; Wade, Nick/JZT-2421-2024; Gastineau, Romain/JCE-5897-2023; Hallegraeff, Gustaaf/C-8351-2013</t>
  </si>
  <si>
    <t>Gastineau, Romain/0000-0001-8661-5118; Richardson, Anthony J/0000-0002-9289-7366; Wade, Nick/0000-0001-7235-6274; Gastineau, Romain/0000-0001-8661-5118; Uribe-Palomino, Julian/0000-0002-6867-2108; Hallegraeff, Gustaaf/0000-0001-8464-7343</t>
  </si>
  <si>
    <t>Australian Research Council [LP0883663]; Australian Government; Australian Research Council [LP0883663] Funding Source: Australian Research Council</t>
  </si>
  <si>
    <t>Australian Research Council(Australian Research Council); Australian Government(Australian Government); Australian Research Council(Australian Research Council)</t>
  </si>
  <si>
    <t>This work was supported by Australian Research Council: [Grant Number LP0883663]; Australian Government: [Grant Number IMOS].</t>
  </si>
  <si>
    <t>0269-249X</t>
  </si>
  <si>
    <t>2159-8347</t>
  </si>
  <si>
    <t>DIATOM RES</t>
  </si>
  <si>
    <t>Diatom Res.</t>
  </si>
  <si>
    <t>10.1080/0269249X.2021.1914737</t>
  </si>
  <si>
    <t>TR7CF</t>
  </si>
  <si>
    <t>WOS:000657614300001</t>
  </si>
  <si>
    <t>Orr, A; Lu, H; Martineau, P; Gerber, EP; Marshall, GJ; Bracegirdle, TJ</t>
  </si>
  <si>
    <t>Orr, Andrew; Lu, Hua; Martineau, Patrick; Gerber, Edwin P.; Marshall, Gareth J.; Bracegirdle, Thomas J.</t>
  </si>
  <si>
    <t>Is our dynamical understanding of the circulation changes associated with the Antarctic ozone hole sensitive to the choice of reanalysis dataset?</t>
  </si>
  <si>
    <t>HEMISPHERE ANNULAR MODE; EDDY FEEDBACK; SOUTHERN; STRATOSPHERE; VARIABILITY; PENINSULA; CLIMATE; TROPOSPHERE; PART; FLOW</t>
  </si>
  <si>
    <t>This study quantifies differences among four widely used atmospheric reanalysis datasets (ERA5, JRA-55, MERRA-2, and CFSR) in their representation of the dynamical changes induced by springtime polar stratospheric ozone depletion in the Southern Hemisphere from 1980 to 2001. The intercomparison is undertaken as part of the SPARC (Stratosphere-troposphere Processes and their Role in Climate) Reanalysis Intercomparison Project (S-RIP). The reanalyses are generally in good agreement in their representation of the strengthening of the lower stratospheric polar vortex during the austral spring-summer season, associated with reduced radiative heating due to ozone loss, as well as the descent of anomalously strong westerly winds into the troposphere during summer and the subsequent poleward displacement and intensification of the polar front jet. Differences in the trends in zonal wind between the reanalyses are generally small compared to the mean trends. The exception is CFSR, which exhibits greater disagreement compared to the other three reanalysis datasets, with stronger westerly winds in the lower stratosphere in spring and a larger poleward displacement of the tropospheric westerly jet in summer. The dynamical changes associated with the ozone hole are examined by investigating the momentum budget and then the eddy heat and momentum fluxes in terms of planetaryand synoptic-scale Rossby wave contributions. The dynamical changes are consistently represented across the reanalyses and support our dynamical understanding of the response of the coupled stratosphere-troposphere system to the ozone hole. Although our results suggest a high degree of consistency across the four reanalysis datasets in the representation of these dynamical changes, there are larger differences in the wave forcing, residual circulation, and eddy propagation changes compared to the zonal wind trends. In particular, there is a noticeable disparity in these trends in CFSR compared to the other three reanalyses, while the best agreement is found between ERA5 and JRA-55. Greater uncertainty in the components of the momentum budget, as opposed to mean circulation, suggests that the zonal wind is better constrained by the assimilation of observations compared to the wave forcing, residual circulation, and eddy momentum and heat fluxes, which are more dependent on the model-based forecasts that can differ between reanalyses. Looking forward, however, these findings give us confidence that reanalysis datasets can be used to assess changes associated with the ongoing recovery of stratospheric ozone.</t>
  </si>
  <si>
    <t>[Orr, Andrew; Lu, Hua; Marshall, Gareth J.; Bracegirdle, Thomas J.] British Antarctic Survey, Atmosphere Ice &amp; Climate, Cambridge, England; [Martineau, Patrick] Japan Agcy Marine Earth Sci &amp; Technol, Yokohama, Kanagawa, Japan; [Gerber, Edwin P.] NYU, Courant Inst Math Sci, New York, NY USA</t>
  </si>
  <si>
    <t>UK Research &amp; Innovation (UKRI); Natural Environment Research Council (NERC); NERC British Antarctic Survey; Japan Agency for Marine-Earth Science &amp; Technology (JAMSTEC); New York University</t>
  </si>
  <si>
    <t>Orr, A (corresponding author), British Antarctic Survey, Atmosphere Ice &amp; Climate, Cambridge, England.</t>
  </si>
  <si>
    <t>anmcr@bas.ac.uk</t>
  </si>
  <si>
    <t>Lu, Hua/0000-0001-9485-5082; Bracegirdle, Thomas/0000-0002-8868-4739; Martineau, Patrick/0000-0002-2370-6765</t>
  </si>
  <si>
    <t>Natural Environment Research Council; US NSF [AGS-1852727]; NERC [bas0100032] Funding Source: UKRI</t>
  </si>
  <si>
    <t>Natural Environment Research Council(UK Research &amp; Innovation (UKRI)Natural Environment Research Council (NERC)); US NSF(National Science Foundation (NSF)); NERC(UK Research &amp; Innovation (UKRI)Natural Environment Research Council (NERC))</t>
  </si>
  <si>
    <t>This research has been supported by the Natural Environment Research Council core funding to the British Antarctic Survey's Atmosphere, Ice and Climate team and the US NSF (grant no. AGS-1852727).</t>
  </si>
  <si>
    <t>MAY 18</t>
  </si>
  <si>
    <t>10.5194/acp-21-7451-2021</t>
  </si>
  <si>
    <t>SG7LO</t>
  </si>
  <si>
    <t>WOS:000653621700002</t>
  </si>
  <si>
    <t>Kennedy, F; Martin, A; McMinn, A</t>
  </si>
  <si>
    <t>Kennedy, Fraser; Martin, Andrew; McMinn, Andrew</t>
  </si>
  <si>
    <t>Rapid changes in spectral composition after darkness influences nitric oxide, glucose and hydrogen peroxide production in the Antarctic diatom Fragilariopsis cylindrus</t>
  </si>
  <si>
    <t>Antarctic; Fragilariopsis cylindrus; Sea-ice algae; Ice tank; Microfluidics; Spectrum; Diatom; Micro-electrode</t>
  </si>
  <si>
    <t>ICE ALGAL BIOMASS; SEA; RESPONSES; GROWTH; LIGHT; BACILLARIOPHYCEAE; PHOTOSYNTHESIS; PHYTOPLANKTON; COMMUNITIES; VARIABILITY</t>
  </si>
  <si>
    <t>Ice-associated phototrophic taxa contribute significantly to Antarctic primary production and are crucial to ecosystem stability in the Southern Ocean. The quantity and quality of light required for photosynthesis is the single most influential driver of ice-associated algal communities. While the presence of ice and snow greatly reduces the irradiance reaching the ice-water interface, it is also the spectral quality that influences the phototrophy of ice-associated microalgae communities. Here we test the capability of three electrochemical microsensors to detect photosynthetically derived stress metabolites produced by the Antarctic diatom F. cylindrus. Following a period of dark incubation, this photo-physiological response differed with respect to the intensity and spectral quality of light during re-illumination. Exposure to blue light resulted in impairment in photosynthetic efficiency of PSII (F-v/F-m) and resulted in the production of nitric oxide (NO), hydrogen peroxide (H2O2) and glucose exudation. A similar trend in metabolite production was observed when subjected to white light, but not during red or green illumination. These results indicate that rapid exposure to light and variation in spectral composition can cause significant stress that can be quantified using H2O2, NO and glucose microsensors. This metabolic overflow was triggered by the disruption of normal photosynthetic electron flow and it is proposed that the detection of extracellular metabolites can be directly attributed to intracellular activity.</t>
  </si>
  <si>
    <t>[Kennedy, Fraser; Martin, Andrew; McMinn, Andrew] Univ Tasmania, Inst Marine &amp; Antarctic Studies, Hobart, Tas, Australia</t>
  </si>
  <si>
    <t>Kennedy, F (corresponding author), Univ Tasmania, Inst Marine &amp; Antarctic Studies, Hobart, Tas, Australia.</t>
  </si>
  <si>
    <t>f.c.kennedy@utas.edu.au</t>
  </si>
  <si>
    <t>McMinn, Andrew/A-9910-2008</t>
  </si>
  <si>
    <t>McMinn, Andrew/0000-0002-2133-3854; Kennedy, Fraser/0000-0003-1796-0764</t>
  </si>
  <si>
    <t>Australian Research Council's Special Research Initiative for Antarctic Gateway Partnership [SR140300001]; Australian Government Research Training Program</t>
  </si>
  <si>
    <t>Australian Research Council's Special Research Initiative for Antarctic Gateway Partnership(Australian Research Council); Australian Government Research Training Program(Australian Government)</t>
  </si>
  <si>
    <t>This research was supported under Australian Research Council's Special Research Initiative for Antarctic Gateway Partnership (Project ID SR140300001). FK was supported by a PhD Scholarship under the Australian Government Research Training Program. We thank Ken Ryan and the two other anonymous reviewers for their valuable comments.</t>
  </si>
  <si>
    <t>10.1007/s00300-021-02867-8</t>
  </si>
  <si>
    <t>WOS:000651711700001</t>
  </si>
  <si>
    <t>McInnes, JC; Bird, JP; Deagle, BE; Polanowski, AM; Shaw, JD</t>
  </si>
  <si>
    <t>McInnes, Julie C.; Bird, Jeremy P.; Deagle, Bruce E.; Polanowski, Andrea M.; Shaw, Justine D.</t>
  </si>
  <si>
    <t>Using DNA metabarcoding to detect burrowing seabirds in a remote landscape</t>
  </si>
  <si>
    <t>CONSERVATION SCIENCE AND PRACTICE</t>
  </si>
  <si>
    <t>ecosystem recovery; eDNA; eradication; faces; noninvasive; Pelecanoides; Procellariidae</t>
  </si>
  <si>
    <t>NESTING PETRELS; MACQUARIE</t>
  </si>
  <si>
    <t>Species inventories and biodiversity assessments are critical to conservation. Yet cryptic species or recolonizing species can be challenging to detect. DNA metabarcoding provides an alternative tool to identify species that can be difficult to observe during field surveys. We test the efficacy of DNA analysis to identify burrowing petrel species in a rapidly changing landscape, on a remote sub-Antarctic island following pest eradication. Discarded feathers and scats provided high quality DNA for species identification, assisting in detection of new species arrivals and new breeding sites across Macquarie Island. We highlight how DNA metabarcoding informs species inventories and is a valuable tool to complement seabird field surveys.</t>
  </si>
  <si>
    <t>[McInnes, Julie C.; Bird, Jeremy P.] Univ Tasmania, Inst Marine &amp; Antarctic Studies, 20 Castray Esplanade, Battery Point, Tas, Australia; [McInnes, Julie C.; Deagle, Bruce E.; Polanowski, Andrea M.] Dept Agr Water &amp; Environm, Australian Antarctic Div, Kingston, Tas, Australia; [Bird, Jeremy P.; Shaw, Justine D.] Univ Queensland, Sch Biol Sci, St Lucia, Qld, Australia; [Deagle, Bruce E.] Commonwealth Sci &amp; Ind Res Org, Battery Point, Tas, Australia</t>
  </si>
  <si>
    <t>University of Tasmania; Australian Antarctic Division; University of Queensland; Commonwealth Scientific &amp; Industrial Research Organisation (CSIRO)</t>
  </si>
  <si>
    <t>McInnes, JC (corresponding author), Univ Tasmania, Inst Marine &amp; Antarctic Studies, 20 Castray Esplanade, Battery Point, Tas, Australia.</t>
  </si>
  <si>
    <t>julie.mcinnes@utas.edu.au</t>
  </si>
  <si>
    <t>McInnes, Julie C/C-2865-2014; Bird, Jeremy/JFV-9213-2023</t>
  </si>
  <si>
    <t>Bird, Jeremy/0000-0002-7466-1755; Deagle, Bruce/0000-0001-7651-3687; McInnes, Julie/0000-0001-8902-5199; Polanowski, Andrea/0000-0002-9612-220X; Shaw, Justine/0000-0002-9603-2271</t>
  </si>
  <si>
    <t>Australian Government's National Environmental Science Programme through the Threatened Species Recovery Hub; Australian Antarctic Science project [4305]; Australian Antarctic Science program [AAS 4305]</t>
  </si>
  <si>
    <t>Australian Government's National Environmental Science Programme through the Threatened Species Recovery Hub(Australian Government); Australian Antarctic Science project; Australian Antarctic Science program</t>
  </si>
  <si>
    <t>This research was supported by funding from the Australian Government's National Environmental Science Programme through the Threatened Species Recovery Hub and the Australian Antarctic Science program (AAS 4305). Sample collections were carried out under the Australian Antarctic Science project 4305, University of Queensland Permit AE 29713, Scientific Collection permit FA 17305, and in collaboration with the Department of Primary Industries, Parks, Water and Environment. Thanks to R. Alderman for species advice, and P. Pascoe and T. Travers for assistance collecting samples.</t>
  </si>
  <si>
    <t>2578-4854</t>
  </si>
  <si>
    <t>CONSERV SCI PRACT</t>
  </si>
  <si>
    <t>Conserv. Sci. Pract.</t>
  </si>
  <si>
    <t>e439</t>
  </si>
  <si>
    <t>10.1111/csp2.439</t>
  </si>
  <si>
    <t>TA5PB</t>
  </si>
  <si>
    <t>WOS:000651499200001</t>
  </si>
  <si>
    <t>Auer, G; Petrick, B; Yoshimura, T; Mamo, BL; Reuning, L; Takayanagi, H; De Vleeschouwer, D; Martinez-Garcia, A</t>
  </si>
  <si>
    <t>Auer, Gerald; Petrick, Benjamin; Yoshimura, Toshihiro; Mamo, Briony L.; Reuning, Lars; Takayanagi, Hideko; De Vleeschouwer, David; Martinez-Garcia, Alfredo</t>
  </si>
  <si>
    <t>Intensified organic carbon burial on the Australian shelf after the Middle Pleistocene transition</t>
  </si>
  <si>
    <t>Middle pleistocene transition; Calcareous nannoplankton; Primary productivity; Organic carbon burial; Leeuwin current</t>
  </si>
  <si>
    <t>LEEUWIN CURRENT SYSTEM; WESTERN-AUSTRALIA; INDIAN-OCEAN; CLIMATE VARIABILITY; AUTHIGENIC URANIUM; ICE VOLUME; MIDPLEISTOCENE; CIRCULATION; OBLIQUITY; PRODUCTIVITY</t>
  </si>
  <si>
    <t>The Middle Pleistocene Transition (MPT) represents a major change in Earth's climate state, exemplified by the switch from obliquity-dominated to 100-kyr glacial/interglacial cycles. To date, the causes of this significant change in Earth's climatic response to orbital forcing are not fully understood. Nonetheless, this transition represents an intrinsic shift in Earth's response to orbital forcing, without fundamental changes in the astronomical rhythms. This study presents new high-resolution records of International Ocean Discovery Program (IODP) Site U1460 (eastern Indian Ocean, 27 degrees S), including shallow marine productivity and organic matter flux reconstructions. The proxy series covers the interval between 1.1 and 0.6 Ma and provides insights into Pleistocene Leeuwin Current dynamics along the West Australian shelf. The large &gt;45 m global sea level drop during the marine isotope stage (MIS) 22e24 is marked in our data, suggesting that the MPT led to large-scale changes in Indian Ocean circulation patterns and surface water conditions. We consider shelf exposure (and thus the Sahul-Indian Ocean Bjerknes mechanism) as a possible key process to increase the upwelling of nutrient-rich sub-Antarctic Mode waters through the Leeuwin Undercurrent along the Australian shelf. We conclude that the shoaling of nutrient-rich lower-thermocline waters enhanced mid-latitude productivity patterns in the eastern Indian Ocean across the 900-ka event. (c) 2021 The Author(s). Published by Elsevier Ltd. This is an open access article under the CC BY-NC-ND</t>
  </si>
  <si>
    <t>[Auer, Gerald] Karl Franzens Univ Graz, NAWI Graz Geoctr, Inst Earth Sci Geol &amp; Paleontol, Heinrichstr 26, A-8010 Graz, Austria; [Auer, Gerald; Yoshimura, Toshihiro] Japan Agcy Marine Earth Sci &amp; Technol JAMSTEC, Res Inst Marine Resources Utilizat, Biogeochem Res Ctr, 2-15 Natsushima Cho, Yokosuka, Kanagawa 2370061, Japan; [Petrick, Benjamin; Martinez-Garcia, Alfredo] Max Planck Inst Chem, Climate Geochem Dept, Hahn Meitner Weg 1, D-55128 Mainz, Germany; [Petrick, Benjamin; Reuning, Lars] Univ Kiel, Inst Geosci, Ludewig Meyn Str 10, D-24118 Kiel, Germany; [Mamo, Briony L.] Macquarie Univ, Dept Biol Sci, N Ryde, NSW 2109, Australia; [Takayanagi, Hideko] Tohoku Univ, Inst Geol &amp; Paleontol, Sendai, Miyagi 9808578, Japan; [De Vleeschouwer, David] MARUM Ctr Marine &amp; Environm Sci, Klagenfurterstr 2-4, D-28359 Bremen, Germany</t>
  </si>
  <si>
    <t>University of Graz; Japan Agency for Marine-Earth Science &amp; Technology (JAMSTEC); Max Planck Society; University of Kiel; Macquarie University; Tohoku University; University of Bremen</t>
  </si>
  <si>
    <t>Auer, G (corresponding author), Karl Franzens Univ Graz, NAWI Graz Geoctr, Inst Earth Sci Geol &amp; Paleontol, Heinrichstr 26, A-8010 Graz, Austria.</t>
  </si>
  <si>
    <t>gerald.auer@uni-graz.at</t>
  </si>
  <si>
    <t>Martinez-Garcia, Alfredo/A-6244-2010; Petrick, Benjamin F/JWP-5723-2024; De Vleeschouwer, David/ABA-6115-2020; Reuning, Lars/F-5594-2014</t>
  </si>
  <si>
    <t>Martinez-Garcia, Alfredo/0000-0002-7206-5079; Petrick, Benjamin F/0000-0002-4211-0625; De Vleeschouwer, David/0000-0002-3323-807X; Reuning, Lars/0000-0002-3796-2874; Takayanagi, Hideko/0000-0003-3212-9506; Auer, Gerald/0000-0002-2574-0027; Mamo, Briony/0000-0002-8579-1782</t>
  </si>
  <si>
    <t>JSPS (Japan Society for the Promotion of Science) [17H07412]; DFG (German Science Foundation) [320220579]; Cluster of Excellence The Ocean Floor - Earth's Uncharted Interface; Grants-in-Aid for Scientific Research [17H07412] Funding Source: KAKEN</t>
  </si>
  <si>
    <t>JSPS (Japan Society for the Promotion of Science)(Ministry of Education, Culture, Sports, Science and Technology, Japan (MEXT)Japan Society for the Promotion of Science); DFG (German Science Foundation)(German Research Foundation (DFG)); Cluster of Excellence The Ocean Floor - Earth's Uncharted Interface; Grants-in-Aid for Scientific Research(Ministry of Education, Culture, Sports, Science and Technology, Japan (MEXT)Japan Society for the Promotion of ScienceGrants-in-Aid for Scientific Research (KAKENHI))</t>
  </si>
  <si>
    <t>This work utilized data provided by the International Ocean Discovery Program (IODP). All shipboard data are publicly available online from www.iodp.tamu.edu.We thank the D/V JOIDES Resolution staff and crewfor their work during IODP Expedition 356 and the shipboard science party for generating all shipboard data. Y. Yoshikawa (JAMSTEC) and C. Puschenjak (University of Graz) are thanked for their assistance with sample preparation and analyses. This study was funded by JSPS (Japan Society for the Promotion of Science) Grant 17H07412 awarded to G. A. and contributes towards the DFG (German Science Foundation) project 320220579 awarded to Lars Reuning. David De Vleeschouwer was funded through the Cluster of Excellence The Ocean Floor - Earth's Uncharted Interface. We would like to thank two anonymous reviewers and our editors for their many helpful suggestions. Timothy Horscroft (Elsevier) and Antje H. L. Voelker (IPMA; CCMAR) are thanked in particular for their invitation to write this paper and for their encouragement and considerable patience during the writing process. The authors declare no competing financial or nonfinancial interests.</t>
  </si>
  <si>
    <t>10.1016/j.quascirev.2021.106965</t>
  </si>
  <si>
    <t>SV2UF</t>
  </si>
  <si>
    <t>WOS:000663678900002</t>
  </si>
  <si>
    <t>Pertierra, LR; Santos-Martin, F; Hughes, KA; Avila, C; Caceres, JO; De Filippo, D; Gonzalez, S; Grant, SM; Lynch, H; Marina-Montes, C; Quesada, A; Tejedo, P; Tin, T; Benayas, J</t>
  </si>
  <si>
    <t>Pertierra, L. R.; Santos-Martin, F.; Hughes, K. A.; Avila, C.; Caceres, J. O.; De Filippo, D.; Gonzalez, S.; Grant, S. M.; Lynch, H.; Marina-Montes, C.; Quesada, A.; Tejedo, P.; Tin, T.; Benayas, J.</t>
  </si>
  <si>
    <t>Ecosystem services in Antarctica: Global assessment of the current state, future challenges and managing opportunities</t>
  </si>
  <si>
    <t>ECOSYSTEM SERVICES</t>
  </si>
  <si>
    <t>Polar heritage; Antarctic science; Antarctic tourism; Southern Ocean provisioning; Climate regulation</t>
  </si>
  <si>
    <t>SOUTHERN-OCEAN; CLIMATE-CHANGE; ENVIRONMENTAL ETHICS; PROTECTED AREAS; CONSERVATION; VALUES; SEA; MANAGEMENT; POLLUTION; PENGUINS</t>
  </si>
  <si>
    <t>Antarctic ecosystem services are rich and diverse and include global climate modulation, biodiversity and habitat protection, cultural heritage, scientific knowledge, education and recreation as well as the extraction of marine living resources. However, environmental protection studies have rarely examined the full complement of Antarctic values recognized in the Antarctic Treaty or Antarctica's other natural benefits as ecosystem services (ES). Moreover, the existing limited number of ES studies have focused primarily on the biophysical modeling of the service providing units, with little focus on evaluating the balance between Antarctica's intrinsic vs. economic values (e.g., opportunity cost, payment for services and bequest), or societal perceptions on the Antarctic ES teleconnections with global issues. Here, we systematically identify the ES dimensions present in Antarctica through an expert elicitation combined with scientific literature review. We then map their spatial overlap and examine the existing trends of usage over the various stages of ES utilization in the continent. Lastly, we conduct a preliminary evaluation of the resulting trade-offs from their respective increased utilization. Our results show that Antarcticas ES are currently facing substantial challenges to remain sustainable. In marine ecosystems, fish and krill stock provisioning may put at risk the maintenance of habitats and biodiversity regulation. In turn, cultural values centered around terrestrial ecosystems, face a three-way conflict between the increasing demand for tourism opportunities, the region's rich and diverse scientific interests and the vast wilderness and bequest values. To appropriately conserve Antarctic ES for future generations, we discuss how different ES framework tools could be developed and adapted to the Antarctic Treaty policy context.</t>
  </si>
  <si>
    <t>[Pertierra, L. R.] Rey Juan Carlos Univ, Dept Biol Geol Phys &amp; Inorgan Chem, Mostoles 28933, Spain; [Santos-Martin, F.] Rey Juan Carlos Univ, Dept Environm &amp; Chem Technol, Mostoles 28933, Spain; [Hughes, K. A.; Grant, S. M.] British Antarctic Survey, Cambridge CB3 0ET, England; [Avila, C.] Univ Barcelona, Dept Evolutionary Biol Ecol &amp; Environm Sci, Barcelona 08028, Spain; [Caceres, J. O.] Univ Complutense Madrid, Dept Analyt Chem, Madrid 28040, Spain; [De Filippo, D.] Carlos III Univ, Dept Bibliometr &amp; Documentat, Getafe 28903, Spain; [Gonzalez, S.] State Meteorol Agcy AEMET, Barcelona 08005, Spain; [Lynch, H.] Brooks Univ, Dept Ecol &amp; Evolut Stony, New York, NY 11794 USA; [Marina-Montes, C.] Univ Zaragoza, Dept Analyt Chem, Zaragoza 50009, Spain; [Quesada, A.] Autonomous Univ Madrid, Dept Biol, Madrid 28049, Spain; [Tejedo, P.; Benayas, J.] Autonomous Univ Madrid, Dept Ecol, Madrid 28049, Spain</t>
  </si>
  <si>
    <t>Universidad Rey Juan Carlos; Universidad Rey Juan Carlos; UK Research &amp; Innovation (UKRI); Natural Environment Research Council (NERC); NERC British Antarctic Survey; University of Barcelona; Complutense University of Madrid; Universidad Carlos III de Madrid; Agencia Estatal de Meteorologia (AEMET); University of Zaragoza; Autonomous University of Madrid; Autonomous University of Madrid</t>
  </si>
  <si>
    <t>Pertierra, LR (corresponding author), Rey Juan Carlos Univ, Dept Biol Geol Phys &amp; Inorgan Chem, Mostoles 28933, Spain.</t>
  </si>
  <si>
    <t>luis.pertierra@gmail.com</t>
  </si>
  <si>
    <t>Pertierra, Luis R./K-3727-2017; Hughes, Kevin/JVZ-0793-2024; Gonzalez-Herrero, Sergi/Y-7279-2018; De Filippo, Daniela/F-6399-2013; Marina-Montes, Cesar/AEU-5508-2022; Tejedo, Pablo/A-7163-2010; Benayas Del Alamo, Fco. Javier/E-5663-2017</t>
  </si>
  <si>
    <t>Pertierra, Luis R./0000-0002-2232-428X; Gonzalez-Herrero, Sergi/0000-0002-2505-2435; De Filippo, Daniela/0000-0001-9297-9970; Marina-Montes, Cesar/0000-0001-5652-3677; Grant, Susie/0000-0001-7941-3948; Tejedo, Pablo/0000-0002-1865-0445; Benayas Del Alamo, Fco. Javier/0000-0002-5906-9569; Santos Martin, Fernando/0000-0002-2301-5876; Caceres, Jorge/0000-0003-4801-4172</t>
  </si>
  <si>
    <t>NERC [bas0100035] Funding Source: UKRI</t>
  </si>
  <si>
    <t>2212-0416</t>
  </si>
  <si>
    <t>ECOSYST SERV</t>
  </si>
  <si>
    <t>Ecosyst. Serv.</t>
  </si>
  <si>
    <t>10.1016/j.ecoser.2021.101299</t>
  </si>
  <si>
    <t>Ecology; Environmental Sciences; Environmental Studies</t>
  </si>
  <si>
    <t>SV4AJ</t>
  </si>
  <si>
    <t>WOS:000663762800006</t>
  </si>
  <si>
    <t>Miles, E; McCarthy, M; Dehecq, A; Kneib, M; Fugger, S; Pellicciotti, F</t>
  </si>
  <si>
    <t>Miles, Evan; McCarthy, Michael; Dehecq, Amaury; Kneib, Marin; Fugger, Stefan; Pellicciotti, Francesca</t>
  </si>
  <si>
    <t>Health and sustainability of glaciers in High Mountain Asia</t>
  </si>
  <si>
    <t>DEBRIS-COVERED GLACIERS; SEA-LEVEL RISE; MASS-BALANCE; PRECIPITATION; TEMPERATURE; EVOLUTION; CLIMATE; THICKNESS; VELOCITY; EVEREST</t>
  </si>
  <si>
    <t>Glaciers in High Mountain Asia generate meltwater that supports the water needs of 250 million people, but current knowledge of annual accumulation and ablation is limited to sparse field measurements biased in location and glacier size. Here, we present altitudinally-resolved specific mass balances (surface, internal, and basal combined) for 5527 glaciers in High Mountain Asia for 2000-2016, derived by correcting observed glacier thinning patterns for mass redistribution due to ice flow. We find that 41% of glaciers accumulated mass over less than 20% of their area, and only 60% 10% of regional annual ablation was compensated by accumulation. Even without 21(st) century warming, 21% +/- 1% of ice volume will be lost by 2100 due to current climatic-geometric imbalance, representing a reduction in glacier ablation into rivers of 28% +/- 1%. The ablation of glaciers in the Himalayas and Tien Shan was mostly unsustainable and ice volume in these regions will reduce by at least 30% by 2100. The most important and vulnerable glacier-fed river basins (Amu Darya, Indus, Syr Darya, Tarim Interior) were supplied with &gt;50% sustainable glacier ablation but will see long-term reductions in ice mass and glacier meltwater supply regardless of the Karakoram Anomaly.Glaciers in High Mountain Asia are a key water resource. The authors use remote sensing data and a regional implementation of the continuity equation to quantify glacier ablation and accumulation rates for 2000-2016, and establish current climatic-geometric imbalances that imply strong reductions in ice volume by 2100.</t>
  </si>
  <si>
    <t>[Miles, Evan; McCarthy, Michael; Dehecq, Amaury; Kneib, Marin; Fugger, Stefan; Pellicciotti, Francesca] Swiss Fed Inst Forest Snow &amp; Landscape Res WSL, Birmensdorf, Switzerland; [McCarthy, Michael] NERC, British Antarctic Survey, Cambridge, England; [Dehecq, Amaury] Swiss Fed Inst Technol, Lab Hydraul Hydrol &amp; Glaciol, Zurich, Switzerland; [Kneib, Marin; Fugger, Stefan] Swiss Fed Inst Technol, Inst Environm Engn, Zurich, Switzerland; [Pellicciotti, Francesca] Northumbria Univ, Dept Geog, Newcastle Upon Tyne, Tyne &amp; Wear, England</t>
  </si>
  <si>
    <t>Swiss Federal Institutes of Technology Domain; Swiss Federal Institute for Forest, Snow &amp; Landscape Research; UK Research &amp; Innovation (UKRI); Natural Environment Research Council (NERC); NERC British Antarctic Survey; Swiss Federal Institutes of Technology Domain; ETH Zurich; Swiss Federal Institutes of Technology Domain; ETH Zurich; Northumbria University</t>
  </si>
  <si>
    <t>Miles, E (corresponding author), Swiss Fed Inst Forest Snow &amp; Landscape Res WSL, Birmensdorf, Switzerland.</t>
  </si>
  <si>
    <t>evan.miles@wsl.ch</t>
  </si>
  <si>
    <t>Miles, Evan/J-1286-2019; Dehecq, Amaury/ABD-3344-2020; Kneib, Marin/AHC-6623-2022</t>
  </si>
  <si>
    <t>Miles, Evan/0000-0001-5446-8571; Dehecq, Amaury/0000-0002-5157-1183; Kneib, Marin/0000-0002-2420-0475; Fugger, Stefan/0000-0002-4659-4209; McCarthy, Michael/0000-0002-4138-0578</t>
  </si>
  <si>
    <t>European Research Council (ERC) under the European Union's Horizon 2020 research and innovation program [772751]</t>
  </si>
  <si>
    <t>European Research Council (ERC) under the European Union's Horizon 2020 research and innovation program(European Research Council (ERC))</t>
  </si>
  <si>
    <t>This study would not have been possible without open data policies by key studies15,16,36,71, each representing the work of a large body of scientists. We thank Mohd Farooq Azam and two anonymous reviewers whose comments and suggestions improved the study. This project has received funding from the European Research Council (ERC) under the European Union's Horizon 2020 research and innovation program grant agreement No 772751, RAVEN, Rapid mass losses of debris-covered glaciers in High Mountain Asia. We acknowledge geospatial data provided by the USGS, NASA, and NASA/METI/AIST/Japan Spacesystems, as well as glaciological data provided by the NSIDC and WGMS.</t>
  </si>
  <si>
    <t>MAY 17</t>
  </si>
  <si>
    <t>10.1038/s41467-021-23073-4</t>
  </si>
  <si>
    <t>SO1JN</t>
  </si>
  <si>
    <t>WOS:000658736000011</t>
  </si>
  <si>
    <t>Pinkerton, MH; Boyd, PW; Deppeler, S; Hayward, A; Höfer, J; Moreau, S</t>
  </si>
  <si>
    <t>Pinkerton, Matthew H.; Boyd, Philip W.; Deppeler, Stacy; Hayward, Alex; Hofer, Juan; Moreau, Sebastien</t>
  </si>
  <si>
    <t>Evidence for the Impact of Climate Change on Primary Producers in the Southern Ocean</t>
  </si>
  <si>
    <t>phytoplankton; climate; Antarctica; biogeochemistry; deep chlorophyll maximum; ocean colour; MODIS; SeaWiFS</t>
  </si>
  <si>
    <t>SEA-ICE; BRANSFIELD STRAITS; BIOOPTICAL MODEL; ROSS SEA; PHYTOPLANKTON; VARIABILITY; ANTARCTICA; GROWTH; SIZE; PHOTOSYNTHESIS</t>
  </si>
  <si>
    <t>Within the framework of the Marine Ecosystem Assessment for the Southern Ocean (MEASO), this paper brings together analyses of recent trends in phytoplankton biomass, primary production and irradiance at the base of the mixed layer in the Southern Ocean and summarises future projections. Satellite observations suggest that phytoplankton biomass in the mixed-layer has increased over the last 20 years in most (but not all) parts of the Southern Ocean, whereas primary production at the base of the mixed-layer has likely decreased over the same period. Different satellite models of primary production (Vertically Generalised versus Carbon Based Production Models) give different patterns and directions of recent change in net primary production (NPP). At present, the satellite record is not long enough to distinguish between trends and climate-related cycles in primary production. Over the next 100 years, Earth system models project increasing NPP in the water column in the MEASO northern and Antarctic zones but decreases in the Subantarctic zone. Low confidence in these projections arises from: (1) the difficulty in mapping supply mechanisms for key nutrients (silicate, iron); and (2) understanding the effects of multiple stressors (including irradiance, nutrients, temperature, pCO(2), pH, grazing) on different species of Antarctic phytoplankton. Notwithstanding these uncertainties, there are likely to be changes to the seasonal patterns of production and the microbial community present over the next 50-100 years and these changes will have ecological consequences across Southern Ocean food-webs, especially on key species such as Antarctic krill and silverfish.</t>
  </si>
  <si>
    <t>[Pinkerton, Matthew H.; Deppeler, Stacy; Hayward, Alex] Natl Inst Water &amp; Atmospher Res Ltd NIWA, Wellington, New Zealand; [Boyd, Philip W.] Univ Tasmania, Inst Marine &amp; Antarctic Studies, Hobart, Tas, Australia; [Hofer, Juan] Pontificia Univ Catolica Valparaiso, Escuela Ciencias Mar, Valparaiso, Chile; [Hofer, Juan] Ctr FONDAP Invest Dinam Ecosistemas Marino Altas, Valdivia, Chile; [Hofer, Juan] Fdn San Ignacio Huinay, Puerto Montt, Chile; [Moreau, Sebastien] Norwegian Polar Res Inst, Tromso, Norway</t>
  </si>
  <si>
    <t>National Institute of Water &amp; Atmospheric Research (NIWA) - New Zealand; University of Tasmania; Pontificia Universidad Catolica de Valparaiso; Norwegian Polar Institute</t>
  </si>
  <si>
    <t>Pinkerton, MH (corresponding author), Natl Inst Water &amp; Atmospher Res Ltd NIWA, Wellington, New Zealand.</t>
  </si>
  <si>
    <t>Boyd, Philip W/J-7624-2014; Deppeler, Stacy/I-1546-2014</t>
  </si>
  <si>
    <t>Moreau, Sebastien/0000-0001-9446-812X; Deppeler, Stacy/0000-0003-2213-2656; Hofer, Juan/0000-0002-5887-4929</t>
  </si>
  <si>
    <t>New Zealand MBIE Endeavour Fund programme Ross-RAMP [C01X1710]; NZ MBIE Strategic Science Investment Fund; ANID (FONDAP-IDEAL) [15150003]; FONDECYT [3180152]; Australian Department of Industry funded ACE-CRC programme; Australian Department of Industry funded AAPP programme; New Zealand Ministry of Business, Innovation &amp; Employment (MBIE) [C01X1710] Funding Source: New Zealand Ministry of Business, Innovation &amp; Employment (MBIE)</t>
  </si>
  <si>
    <t>New Zealand MBIE Endeavour Fund programme Ross-RAMP(New Zealand Ministry of Business, Innovation and Employment (MBIE)); NZ MBIE Strategic Science Investment Fund(New Zealand Ministry of Business, Innovation and Employment (MBIE)); ANID (FONDAP-IDEAL); FONDECYT(Comision Nacional de Investigacion Cientifica y Tecnologica (CONICYT)CONICYT FONDECYT); Australian Department of Industry funded ACE-CRC programme; Australian Department of Industry funded AAPP programme; New Zealand Ministry of Business, Innovation &amp; Employment (MBIE)(New Zealand Ministry of Business, Innovation and Employment (MBIE))</t>
  </si>
  <si>
    <t>Funding for MP, SD, and AH was provided by New Zealand MBIE Endeavour Fund programme Ross-RAMP (C01X1710) and NZ MBIE Strategic Science Investment Fund: Coasts and Oceans Programme 4. JH was supported by ANID (FONDAP-IDEAL 15150003) and FONDECYT (Postdoctorado 3180152). ICED partially supported the assistance of JH to the MEASO workshop. PB was supported by the Australian Department of Industry funded ACE-CRC and AAPP programmes.</t>
  </si>
  <si>
    <t>10.3389/fevo.2021.592027</t>
  </si>
  <si>
    <t>SK3QN</t>
  </si>
  <si>
    <t>WOS:000656133500001</t>
  </si>
  <si>
    <t>Herman, A; Wenta, M; Cheng, SK</t>
  </si>
  <si>
    <t>Herman, Agnieszka; Wenta, Marta; Cheng, Sukun</t>
  </si>
  <si>
    <t>Sizes and Shapes of Sea Ice Floes Broken by Waves-A Case Study From the East Antarctic Coast</t>
  </si>
  <si>
    <t>sea ice; floe size distribution; sea ice breaking; sea ice-waves interactions; satellite imagery; East Antarctic coast</t>
  </si>
  <si>
    <t>SEASONAL EVOLUTION; OCEAN WAVES; BREAK-UP; IN-SITU; SPECTRA; ZONE; PACK</t>
  </si>
  <si>
    <t>The floe size distribution (FSD) is an important characteristics of sea ice, influencing several physical processes that take place in the oceanic and atmospheric boundary layers under/over sea ice, as well as within sea ice itself. Through complex feedback loops involving those processes, FSD might modify the short-term and seasonal evolution of the sea ice cover, and therefore significant effort is undertaken by the scientific community to better understand FSD-related effects and to include them in sea ice models. An important part of that effort is analyzing the FSD properties and variability in different ice and forcing conditions, based on airborne and satellite imagery. In this work we analyze a very high resolution (pixel size: 0.3 m) satellite image of sea ice from a location off the East Antarctic coast (65.6 degrees S, 101.9 degrees E), acquired on February 16, 2019. Contrary to most previous studies, the ice floes in the image have angular, polygonal shapes and a narrow size distribution. We show that the observed FSD can be represented as a weighted sum of two probability distributions, a Gaussian and a tapered power law, with the Gaussian part clearly dominating in the size range of floes that contribute over 90% to the total sea ice surface area. Based on an analysis of the weather, wave and ice conditions in the period preceding the day in question, we discuss the most probable scenarios that led to the breakup of landfast ice into floes visible in the image. Finally, theoretical arguments backed up by a series of numerical simulations of wave propagation in sea ice performed with a scattering model based on the Matched Eigenfunction Expansion Method are used to show that the observed dominating floe size in the three different regions of the image (18, 13 and 51 m, respectively) agree with those expected as a result of wave-induced breaking of landfast ice.</t>
  </si>
  <si>
    <t>[Herman, Agnieszka; Wenta, Marta] Univ Gdansk, Inst Oceanog, Gdansk, Poland; [Cheng, Sukun] Nansen Environm &amp; Remote Sensing Ctr, Bergen, Norway</t>
  </si>
  <si>
    <t>Fahrenheit Universities; University of Gdansk; Nansen Environmental &amp; Remote Sensing Center (NERSC)</t>
  </si>
  <si>
    <t>Herman, A (corresponding author), Univ Gdansk, Inst Oceanog, Gdansk, Poland.</t>
  </si>
  <si>
    <t>agnieszka.herman@ug.edu.pl</t>
  </si>
  <si>
    <t>Wenta, Marta/ABD-5041-2021; Herman, Agnieszka/F-5027-2012; Herman, Agnieszka/GPS-4669-2022</t>
  </si>
  <si>
    <t>Wenta, Marta/0000-0001-7264-820X; Herman, Agnieszka/0000-0001-5112-7165</t>
  </si>
  <si>
    <t>Polish National Science Centre [2018/31/B/ST10/00195]</t>
  </si>
  <si>
    <t>Polish National Science Centre</t>
  </si>
  <si>
    <t>This work has been financed by Polish National Science Centre project no. 2018/31/B/ST10/00195 (Observations and modeling of sea ice interactions with the atmospheric and oceanic boundary layers).</t>
  </si>
  <si>
    <t>10.3389/feart.2021.655977</t>
  </si>
  <si>
    <t>SK3RP</t>
  </si>
  <si>
    <t>WOS:000656136500001</t>
  </si>
  <si>
    <t>Fedorov, AM; Raj, RP; Belonenko, TV; Novoselova, EV; Bashmachnikov, IL; Johannessen, JA; Pettersson, LH</t>
  </si>
  <si>
    <t>Fedorov, A. M.; Raj, R. P.; Belonenko, T. V.; Novoselova, E. V.; Bashmachnikov, I. L.; Johannessen, J. A.; Pettersson, L. H.</t>
  </si>
  <si>
    <t>Extreme Convective Events in the Lofoten Basin</t>
  </si>
  <si>
    <t>PURE AND APPLIED GEOPHYSICS</t>
  </si>
  <si>
    <t>Lofoten Basin eddy; winter-spring convection; argo floats; NAO; EAP</t>
  </si>
  <si>
    <t>NORTH-ATLANTIC; BAROCLINIC INSTABILITY; VERTICAL VELOCITY; DEEP CONVECTION; WATER FORMATION; VARIABILITY; VORTEX; STABILITY; OCEAN; TRANSFORMATION</t>
  </si>
  <si>
    <t>Strong oceanic convection plays a crucial role in the variability of the global climate. In this study, we investigate extreme convection in the Lofoten Basin (LB) of the Norwegian Sea using Argo profiles. Mixed layer depth (MLD) is the main metric characterizing convection intensity. MLD exceeds 1000 m in March-April and December 2010 in the Lofoten Basin Eddy (LBE), whereas the mean MLD is about 200 m and seldom exceeds 400 m in the basin. We connect the extreme convection events with water volume formed at mid-depth of the central LB, between 1000 m depth and the isosteric surface s07. Analytical assessments of final mixing depth demonstrate perfect correspondence to measured values of MLD, indicating variations in the buoyancy flux and stratification as the main reasons for MLD variability in the basin. This variability is easily explained as a result of heat release to the atmosphere over the basin. Atmospheric conditions during extreme convection events are described. Northerly winds are as common as dominating southwesterly winds during the months with extreme convective events. We analyze 32 cases of extreme convective events with MLD exceeding 350 m and reveal that composite maps of sea level pressure (SLP) and surface heat flux match well with the North Atlantic Oscillation (NAO)(-)/East Atlantic Pattern (EAP)(-) pattern of atmospheric variability in the Northern Atlantic, with the negative NAO pattern prevailing in the climate during winter-spring. The heat release is the major trigger of extreme convection. We establish the stronger heat release associated with the extreme convection events in the LB.</t>
  </si>
  <si>
    <t>[Fedorov, A. M.; Belonenko, T. V.; Novoselova, E. V.; Bashmachnikov, I. L.] St Petersburg State Univ, Univ Skaya Nab 7-9, St Petersburg 199034, Russia; [Fedorov, A. M.] Arctic &amp; Antarctic Res Inst, Bering Str 38, St Petersburg 199397, Russia; [Fedorov, A. M.; Bashmachnikov, I. L.] Nansen Int Environm &amp; Remote Sensing Ctr, NIERSC, 14th Line 7, St Petersburg 199034, Russia; [Raj, R. P.; Johannessen, J. A.; Pettersson, L. H.] Bjerknes Ctr Climate Res, Nansen Environm &amp; Remote Sensing Ctr, Thormohlens Gate 47, N-5006 Bergen, Norway</t>
  </si>
  <si>
    <t>Saint Petersburg State University; Arctic &amp; Antarctic Research Institute; Nansen Environmental &amp; Remote Sensing Center (NERSC); Bjerknes Centre for Climate Research; Nansen Environmental &amp; Remote Sensing Center (NERSC)</t>
  </si>
  <si>
    <t>Fedorov, AM (corresponding author), St Petersburg State Univ, Univ Skaya Nab 7-9, St Petersburg 199034, Russia.;Fedorov, AM (corresponding author), Arctic &amp; Antarctic Res Inst, Bering Str 38, St Petersburg 199397, Russia.;Fedorov, AM (corresponding author), Nansen Int Environm &amp; Remote Sensing Ctr, NIERSC, 14th Line 7, St Petersburg 199034, Russia.</t>
  </si>
  <si>
    <t>a.fedorov@spbu.ru</t>
  </si>
  <si>
    <t>Bashmachnikov, Igor/B-2879-2012; Novoselova, Elena V./AAZ-6650-2020; Pettersson, Lasse Herbert/AAM-9908-2020; Belonenko, Tatyana/K-2162-2013; Fedorov, Aleksandr/B-2695-2019</t>
  </si>
  <si>
    <t>Bashmachnikov, Igor/0000-0002-1257-4197; Novoselova, Elena V./0000-0002-6319-8937; Belonenko, Tatyana/0000-0003-4608-7781; Pettersson, Lasse/0000-0002-6005-7514; , Roshin/0000-0001-5863-5269; Fedorov, Aleksandr/0000-0001-6857-1393</t>
  </si>
  <si>
    <t>Saint Petersburg State University [75295423]; Research Council of Norway [261743]; Nansen Environmental and Remote Sensing Centre</t>
  </si>
  <si>
    <t>Saint Petersburg State University; Research Council of Norway(Research Council of Norway); Nansen Environmental and Remote Sensing Centre</t>
  </si>
  <si>
    <t>Saint Petersburg State University, project no. 75295423; Research Council of Norway, INPART-ARCONOR project (RCN #261743); Nansen Environmental and Remote Sensing Centre.</t>
  </si>
  <si>
    <t>SPRINGER BASEL AG</t>
  </si>
  <si>
    <t>PICASSOPLATZ 4, BASEL, 4052, SWITZERLAND</t>
  </si>
  <si>
    <t>0033-4553</t>
  </si>
  <si>
    <t>1420-9136</t>
  </si>
  <si>
    <t>PURE APPL GEOPHYS</t>
  </si>
  <si>
    <t>Pure Appl. Geophys.</t>
  </si>
  <si>
    <t>10.1007/s00024-021-02749-4</t>
  </si>
  <si>
    <t>TX9YZ</t>
  </si>
  <si>
    <t>WOS:000651360200002</t>
  </si>
  <si>
    <t>Cullen-Knox, C; Fleming, A; Lester, L; Ogier, E</t>
  </si>
  <si>
    <t>Cullen-Knox, Coco; Fleming, Aysha; Lester, Libby; Ogier, Emily</t>
  </si>
  <si>
    <t>Perceiving Environmental Science, Risk and Industry Regulation in the Mediatised Vicious Cycles of the Tasmanian Salmon Aquaculture Industry</t>
  </si>
  <si>
    <t>SOCIAL EPISTEMOLOGY</t>
  </si>
  <si>
    <t>Environment; risk; aquaculture; media; salmon; conflict; communication</t>
  </si>
  <si>
    <t>SOCIAL LICENSE; COMMUNICATION; CONTAMINATION; TRANSPARENCY; CONTROVERSY; SCIENTISTS; GOVERNANCE; POLICY</t>
  </si>
  <si>
    <t>This paper examines public conflict over the rapid growth of the Tasmanian salmon aquaculture industry and associated environmental and social impacts. By conducting a media analysis, triangulated with key stakeholder interviews, we find news media discourse was predominantly framed by environmental risk, expansion of the industry and the in/effectiveness of Government regulation. Environmental science and community interests were conflated within these themes, leading to a perceived lack of transparency and loss of trust in both environmental science information and regulation of environmental impacts. Government, salmon companies and science institutions were the most frequently mentioned stakeholder groups within news media, suggesting they had power to facilitate virtuous cycles - that is, shared goals and language. However, these stakeholder groups were portrayed to be outwardly opaque in their communications of, and lacking engagement in, decision-making processes. By revealing how science, societal values and decision-making were negotiated in news media through this conflict, we hope to contribute to the understanding of how vicious and virtuous cycles can be facilitated by various stakeholders and within media.</t>
  </si>
  <si>
    <t>[Cullen-Knox, Coco; Lester, Libby] Univ Tasmania, Media Sch, Hobart, Tas, Australia; [Cullen-Knox, Coco; Fleming, Aysha; Lester, Libby; Ogier, Emily] Univ Tasmania, Ctr Marine Socioecol, Hobart, Tas, Australia; [Fleming, Aysha] Univ Tasmania, CSIRO Land &amp; Water, Hobart, Tas, Australia; [Lester, Libby] Univ Tasmania, Inst Social Change, Hobart, Tas, Australia; [Ogier, Emily] Univ Tasmania, Inst Marine &amp; Antarctic Studies, Hobart, Tas, Australia</t>
  </si>
  <si>
    <t>University of Tasmania; University of Tasmania; Commonwealth Scientific &amp; Industrial Research Organisation (CSIRO); University of Tasmania; University of Tasmania; University of Tasmania</t>
  </si>
  <si>
    <t>Cullen-Knox, C (corresponding author), Univ Tasmania, Media Sch, Hobart, Tas, Australia.</t>
  </si>
  <si>
    <t>cullenc@utas.edu.au</t>
  </si>
  <si>
    <t>Fleming, Aysha/E-8753-2011; Lester, Libby/J-7148-2014</t>
  </si>
  <si>
    <t>Fleming, Aysha/0000-0001-9895-1928; Lester, Libby/0000-0003-1046-2412; Ogier, Emily/0000-0001-6157-5279</t>
  </si>
  <si>
    <t>Centre for Marine Socioecology; Australian Government Research Training Program Scholarship; Australian Government through the Australian Research Council's Discovery Projects funding scheme [DP150103454]</t>
  </si>
  <si>
    <t>Centre for Marine Socioecology; Australian Government Research Training Program Scholarship(Australian GovernmentDepartment of Industry, Innovation and Science); Australian Government through the Australian Research Council's Discovery Projects funding scheme</t>
  </si>
  <si>
    <t>The authors of this paper would like to acknowledge the support of The Centre for Marine Socioecology and the Australian Government Research Training Program Scholarship. This research was also supported in part by the Australian Government through the Australian Research Council's Discovery Projects funding scheme (DP150103454) 'Transnational Environmental Campaigns in the Australia-Asian Region'. This research did not receive any specific grant from funding agencies in the public, commercial or not-for-profit sectors. The authors would also like to thank all participants in the research and the anonymous reviewers for their contributions.</t>
  </si>
  <si>
    <t>0269-1728</t>
  </si>
  <si>
    <t>1464-5297</t>
  </si>
  <si>
    <t>SOC EPISTEMOL</t>
  </si>
  <si>
    <t>Soc. Epistemol.</t>
  </si>
  <si>
    <t>SEP 3</t>
  </si>
  <si>
    <t>10.1080/02691728.2021.1913661</t>
  </si>
  <si>
    <t>History &amp; Philosophy Of Science; Philosophy; Social Sciences, Interdisciplinary</t>
  </si>
  <si>
    <t>Social Science Citation Index (SSCI); Arts &amp; Humanities Citation Index (A&amp;HCI)</t>
  </si>
  <si>
    <t>History &amp; Philosophy of Science; Philosophy; Social Sciences - Other Topics</t>
  </si>
  <si>
    <t>TP8RP</t>
  </si>
  <si>
    <t>WOS:000651318300001</t>
  </si>
  <si>
    <t>Xiao, F; Zhang, SK; Li, JX; Geng, T; Xuan, Y; Li, F</t>
  </si>
  <si>
    <t>Xiao, Feng; Zhang, Shengkai; Li, Jiaxing; Geng, Tong; Xuan, Yue; Li, Fei</t>
  </si>
  <si>
    <t>Arctic sea ice thickness variations from CryoSat-2 satellite altimetry data</t>
  </si>
  <si>
    <t>CryoSat-2; Arctic sea ice; Thickness; Global change</t>
  </si>
  <si>
    <t>SNOW DEPTH; FREEBOARD; ANTARCTICA; VOLUME</t>
  </si>
  <si>
    <t>Arctic sea ice plays an important role in Earth's climate and environmental system. Sea ice thickness is one of the most important sea ice parameters. Accurately obtaining the sea ice thickness and its changes has great significance to Arctic and global change research. Satellite altimeters can be used to derive long-term and large-scale changes in sea ice thickness. The leads detection is vital in sea ice thickness estimation by using satellite altimetry. Different leads detection methods are compared with remote sensing images, and results show that the detection method that uses waveform parameters can obtain improved results. The model for the conversion of freeboard to thickness is optimized by considering the incomplete penetration of snow for radar altimeters. We derive the estimates of the Arctic sea ice thickness for November 2010 to December 2019 by using the CryoSat-2 altimetry data. The sea ice thickness from the IceBridge and draft data from the upward-looking sonar are used to validate our thickness results. Validations show that the accuracy of our thickness estimates is within 0.2 m. Variations in the Arctic sea ice thickness are analyzed using the PIOMAS model and air and sea surface temperatures. A sharp increase in sea ice thickness is found in 2014.</t>
  </si>
  <si>
    <t>[Xiao, Feng; Zhang, Shengkai; Li, Jiaxing; Geng, Tong; Xuan, Yue; Li, Fei] Wuhan Univ, Chinese Antarctic Ctr Surveying &amp; Mapping, Wuhan 430079, Peoples R China</t>
  </si>
  <si>
    <t>Li, F (corresponding author), Wuhan Univ, Chinese Antarctic Ctr Surveying &amp; Mapping, Wuhan 430079, Peoples R China.</t>
  </si>
  <si>
    <t>fli@whu.edu.cn</t>
  </si>
  <si>
    <t>Feng, Xiao/0000-0003-3742-9380</t>
  </si>
  <si>
    <t>National Key Research and Development Program of China [2017YFA0603104]; National Natural Science Foundation of China [41531069, 41706216]; LIESMARS Special Research Funding</t>
  </si>
  <si>
    <t>National Key Research and Development Program of China; National Natural Science Foundation of China(National Natural Science Foundation of China (NSFC)); LIESMARS Special Research Funding</t>
  </si>
  <si>
    <t>We sincerely thank the European Space Agency (ESA) for providing the CryoSat-2 data, the National Snow and Ice Data Center (NSIDC) for providing the OIB sea ice thickness product, the Woods Hole Oceanographic Institution for providing the UPS data; the National Oceanic and Atmospheric Administration (NOAA) for providing the AT and SST data. This work was supported by the National Key Research and Development Program of China (Grant No. 2017YFA0603104), the National Natural Science Foundation of China (Grant Nos.41531069, 41706216) and the LIESMARS Special Research Funding.</t>
  </si>
  <si>
    <t>10.1007/s11430-020-9777-9</t>
  </si>
  <si>
    <t>TG7IB</t>
  </si>
  <si>
    <t>WOS:000652990700001</t>
  </si>
  <si>
    <t>So, CJ; Kim, J; Cifre, AB; Gonzalez, RD; Bower, JL; Alfano, CA</t>
  </si>
  <si>
    <t>So, Christine J.; Kim, Jinu; Cifre, Anthony B.; Gonzalez, Rogelio D.; Bower, Joanne L.; Alfano, Candice A.</t>
  </si>
  <si>
    <t>Validation of the Mental Health Checklist (MHCL) during COVID-19 lockdown</t>
  </si>
  <si>
    <t>JOURNAL OF COMMUNITY PSYCHOLOGY</t>
  </si>
  <si>
    <t>COVID-19; factor structure; mental health; MHCL; questionnaire validation</t>
  </si>
  <si>
    <t>ANXIETY-STRESS SCALES; FIT INDEXES; DEPRESSION</t>
  </si>
  <si>
    <t>The COVID-19 pandemic resulted in unprecedented disruption to everyday life, including widespread social distancing and self-quarantining aimed at reducing the virus spread. The Mental Health Checklist (MHCL) is a measure developed to assess psychological health during extended periods of isolation and confinement, and has shown strong psychometric properties in community samples and during Antarctic missions. This study validated the MHCL in a sample of 359 U.S. and U.K adults during the peak of the COVID-19 lockdown. Confirmatory factor analysis (CFA) tested model fit, and convergent validity analyses were conducted to compare the MHCL with validated measures of depression, anxiety and stress, as well as insomnia. The MHCL exhibited good model fit for most CFA indices, and showed strong convergent validity with other measures of psychological well-being. Findings suggest that the MHCL is useful for assessing mental health in a variety of environments and conditions.</t>
  </si>
  <si>
    <t>[So, Christine J.; Kim, Jinu; Cifre, Anthony B.; Gonzalez, Rogelio D.; Alfano, Candice A.] Univ Houston, Dept Psychol, 4811 Calhoun Rd, Houston, TX 77004 USA; [Bower, Joanne L.] Univ East Anglia, Sch Psychol, Norwich, Norfolk, England</t>
  </si>
  <si>
    <t>University of Houston System; University of Houston; University of East Anglia</t>
  </si>
  <si>
    <t>Alfano, CA (corresponding author), Univ Houston, Dept Psychol, 4811 Calhoun Rd, Houston, TX 77004 USA.</t>
  </si>
  <si>
    <t>caalfano@uh.edu</t>
  </si>
  <si>
    <t>Bower, Joanne/AAC-1114-2019; So, Christine/AAF-8872-2020; Alfano, Candice/ABD-4455-2021</t>
  </si>
  <si>
    <t>Bower, Joanne/0000-0003-3485-391X; Alfano, Candice A/0000-0001-7437-5575; So, Christine/0000-0003-1223-4456; Cifre, Anthony/0000-0002-3755-8257</t>
  </si>
  <si>
    <t>0090-4392</t>
  </si>
  <si>
    <t>1520-6629</t>
  </si>
  <si>
    <t>J COMMUNITY PSYCHOL</t>
  </si>
  <si>
    <t>J. Community Psychol.</t>
  </si>
  <si>
    <t>10.1002/jcop.22600</t>
  </si>
  <si>
    <t>Public, Environmental &amp; Occupational Health; Psychology, Multidisciplinary; Social Work</t>
  </si>
  <si>
    <t>Public, Environmental &amp; Occupational Health; Psychology; Social Work</t>
  </si>
  <si>
    <t>XY1EV</t>
  </si>
  <si>
    <t>WOS:000651142500001</t>
  </si>
  <si>
    <t>Masello, JF; Barbosa, A; Kato, A; Mattern, T; Medeiros, R; Stockdale, JE; Kümmel, MN; Bustamante, P; Belliure, J; Benzal, J; Colominas-Ciuró, R; Menéndez-Blázquez, J; Griep, S; Goesmann, A; Symondson, WOC; Quillfeldt, P</t>
  </si>
  <si>
    <t>Masello, Juan F.; Barbosa, Andres; Kato, Akiko; Mattern, Thomas; Medeiros, Renata; Stockdale, Jennifer E.; Kuemmel, Marc N.; Bustamante, Paco; Belliure, Josabel; Benzal, Jesus; Colominas-Ciuro, Roger; Menendez-Blazquez, Javier; Griep, Sven; Goesmann, Alexander; Symondson, William O. C.; Quillfeldt, Petra</t>
  </si>
  <si>
    <t>How animals distribute themselves in space: energy landscapes of Antarctic avian predators</t>
  </si>
  <si>
    <t>MOVEMENT ECOLOGY</t>
  </si>
  <si>
    <t>Antarctica; Breeding success; Chinstrap penguin Pygoscelis antarcticus; Energy costs; Energy landscapes; Gentoo penguin Pygoscelis papua; Physiological condition; Physiological stress; Population trends; Sub-Antarctic</t>
  </si>
  <si>
    <t>SOUTH SHETLAND; PENGUIN POPULATIONS; FORAGING BEHAVIOR; PYGOSCELIS-PAPUA; BODY ACCELERATION; METABOLIC-RATE; LONG-TERM; FUR-SEAL; ISLAND; PENINSULA</t>
  </si>
  <si>
    <t>Background Energy landscapes provide an approach to the mechanistic basis of spatial ecology and decision-making in animals. This is based on the quantification of the variation in the energy costs of movements through a given environment, as well as how these costs vary in time and for different animal populations. Organisms as diverse as fish, mammals, and birds will move in areas of the energy landscape that result in minimised costs and maximised energy gain. Recently, energy landscapes have been used to link energy gain and variable energy costs of foraging to breeding success, revealing their potential use for understanding demographic changes. Methods Using GPS-temperature-depth and tri-axial accelerometer loggers, stable isotope and molecular analyses of the diet, and leucocyte counts, we studied the response of gentoo (Pygoscelis papua) and chinstrap (Pygoscelis antarcticus) penguins to different energy landscapes and resources. We compared species and gentoo penguin populations with contrasting population trends. Results Between populations, gentoo penguins from Livingston Island (Antarctica), a site with positive population trends, foraged in energy landscape sectors that implied lower foraging costs per energy gained compared with those around New Island (Falkland/Malvinas Islands; sub-Antarctic), a breeding site with fluctuating energy costs of foraging, breeding success and populations. Between species, chinstrap penguins foraged in sectors of the energy landscape with lower foraging costs per bottom time, a proxy for energy gain. They also showed lower physiological stress, as revealed by leucocyte counts, and higher breeding success than gentoo penguins. In terms of diet, we found a flexible foraging ecology in gentoo penguins but a narrow foraging niche for chinstraps. Conclusions The lower foraging costs incurred by the gentoo penguins from Livingston, may favour a higher breeding success that would explain the species' positive population trend in the Antarctic Peninsula. The lower foraging costs in chinstrap penguins may also explain their higher breeding success, compared to gentoos from Antarctica but not their negative population trend. Altogether, our results suggest a link between energy landscapes and breeding success mediated by the physiological condition.</t>
  </si>
  <si>
    <t>[Masello, Juan F.; Mattern, Thomas; Quillfeldt, Petra] Justus Liebig Univ Giessen, Dept Anim Ecol &amp; Systemat, Heinrich Buff Ring 26, D-35392 Giessen, Germany; [Barbosa, Andres; Colominas-Ciuro, Roger; Menendez-Blazquez, Javier] CSIC, Museo Nacl Ciencias Nat, Dept Ecol Evolut, C Jose Gutierrez Abascal 2, Madrid 28006, Spain; [Kato, Akiko] Univ La Rochelle, Ctr Etud Biol Chize, UMR7372 CNRS, F-79360 Villiers En Bois, France; [Mattern, Thomas] New Zealand Penguin Initiat, POB 6319, Dunedin 9022, New Zealand; [Medeiros, Renata; Stockdale, Jennifer E.; Symondson, William O. C.] Cardiff Univ, Cardiff Sch Biosci, Sir Martin Evans Bldg,Museum Av, Cardiff CF10 3AX, S Glam, Wales; [Medeiros, Renata] Cardiff Sch Dent, Heath Pk, Cardiff CF14 4XY, Wales; [Kuemmel, Marc N.; Griep, Sven; Goesmann, Alexander] Justus Liebig Univ Giessen, Inst Bioinformat &amp; Syst Biol, Heinrich Buff Ring 58, D-35392 Giessen, Germany; [Bustamante, Paco] Univ La Rochelle, CNRS, Littoral Environm &amp; Soc LIENSs, UMR 7266, F-17000 La Rochelle, France; [Bustamante, Paco] Inst Univ France IUF, 1 Rue Descartes, F-75005 Paris, France; [Belliure, Josabel] Univ Alcala, GLOCEE Global Change Ecol &amp; Evolut Grp, Madrid, Spain; [Benzal, Jesus] CSIC, Estn Expt Zonas Aridas, Almeria, Spain</t>
  </si>
  <si>
    <t>Justus Liebig University Giessen; Consejo Superior de Investigaciones Cientificas (CSIC); CSIC - Museo Nacional de Ciencias Naturales (MNCN); La Rochelle Universite; Cardiff University; Justus Liebig University Giessen; Centre National de la Recherche Scientifique (CNRS); CNRS - Institute of Ecology &amp; Environment (INEE); La Rochelle Universite; Institut Universitaire de France; Universidad de Alcala; Consejo Superior de Investigaciones Cientificas (CSIC); CSIC - Estacion Experimental de Zonas Aridas (EEZA)</t>
  </si>
  <si>
    <t>Masello, JF (corresponding author), Justus Liebig Univ Giessen, Dept Anim Ecol &amp; Systemat, Heinrich Buff Ring 26, D-35392 Giessen, Germany.</t>
  </si>
  <si>
    <t>juan.f.masello@bio.uni-giessen.de</t>
  </si>
  <si>
    <t>Menéndez-Blázquez, Javier/AAX-3852-2021; Bustamante, Paco/G-5833-2011; Belliure, Josabel/R-8513-2018; Mattern, Thomas/AAJ-6325-2020; Symondson, William OC/A-4476-2010; Colominas Ciuró, Roger/HOF-9267-2023; Masello, Juan Francisco/C-7133-2009; Colominas-Ciuro, Roger/ADL-7809-2022; Quillfeldt, Petra/A-9549-2009</t>
  </si>
  <si>
    <t>Menéndez-Blázquez, Javier/0000-0002-1882-7896; Bustamante, Paco/0000-0003-3877-9390; Belliure, Josabel/0000-0001-7697-3616; Mattern, Thomas/0000-0003-0745-8180; Griep, Sven/0000-0001-6736-9660; Masello, Juan Francisco/0000-0002-6826-4016; Colominas-Ciuro, Roger/0000-0001-6312-0702; Quillfeldt, Petra/0000-0002-4450-8688</t>
  </si>
  <si>
    <t>Deutsche Forschungsgemeinschaft (DFG, Germany) [SPP 1158, MA 2574/6-1]; Spanish Agency of Research (Spain) [CTM2015-64720-R]; German Federal Ministry of Education and Research (BMBF) [031A533]; CPER (Contrat de Projet Etat-Region); FEDER (Fonds Europeen de Developpement Regional); IUF (Institut Universitaire de France); Projekt DEAL; [NBAF967]</t>
  </si>
  <si>
    <t>Deutsche Forschungsgemeinschaft (DFG, Germany)(German Research Foundation (DFG)); Spanish Agency of Research (Spain); German Federal Ministry of Education and Research (BMBF)(Federal Ministry of Education &amp; Research (BMBF)); CPER (Contrat de Projet Etat-Region); FEDER (Fonds Europeen de Developpement Regional)(European Union (EU)); IUF (Institut Universitaire de France); Projekt DEAL;</t>
  </si>
  <si>
    <t>JFM work was supported by the Deutsche Forschungsgemeinschaft (DFG, Germany) in the framework of the priority programme Antarctic Research with comparative investigations in Arctic ice areas SPP 1158 by the following grant MA 2574/6-1. Martin Wikelski (Max Planck Institute of Animal Behaviour, Radolfzell, Germany) provided the earth&amp;Ocean GPS-TD data loggers. AB was supported by the grant CTM2015-64720-R from the Spanish Agency of Research (Spain). Diet analyses from New Island were funded by a Research Grant (NBAF967) for lab work at the Biomolecular Analysis Facility Sheffield (NBAF-S), Centre for Ecology &amp; Hydrology, Natural Environment Research Council (NERC), U.K. (to WOCS, RM and JFM). Funding for the operation and maintenance of the local Galaxy server is provided by the German Federal Ministry of Education and Research (BMBF) project Bielefeld-Gie ss en Center for Microbial Bioinformatics-BiGi (grant 031A533) within the German Network for Bioinformatics Infrastructure (de. NBI). Thanks to the CPER (Contrat de Projet Etat-Region) and the FEDER (Fonds Europeen de Developpement Regional) for funding the IRMS of LIENSs laboratory. The IUF (Institut Universitaire de France) is acknowledged for its support to PB as a Senior Member. Open Access funding enabled and organized by Projekt DEAL.</t>
  </si>
  <si>
    <t>2051-3933</t>
  </si>
  <si>
    <t>MOV ECOL</t>
  </si>
  <si>
    <t>Mov. Ecol.</t>
  </si>
  <si>
    <t>10.1186/s40462-021-00255-9</t>
  </si>
  <si>
    <t>SD6EZ</t>
  </si>
  <si>
    <t>WOS:000651469800001</t>
  </si>
  <si>
    <t>Vanhellemont, Q; Lambrechts, S; Savaglia, V; Tytgat, B; Verleyen, E; Vyverman, W</t>
  </si>
  <si>
    <t>Vanhellemont, Quinten; Lambrechts, Sam; Savaglia, Valentina; Tytgat, Bjorn; Verleyen, Elie; Vyverman, Wim</t>
  </si>
  <si>
    <t>Towards physical habitat characterisation in the Antarctic Sor Rondane Mountains using satellite remote sensing</t>
  </si>
  <si>
    <t>Antarctica; Ice-free regions; Digital surface model; Land surface temperature; Pleiades; Landsat 8</t>
  </si>
  <si>
    <t>DIGITAL ELEVATION MODEL; LANDSAT; ICE; SURFACE; AREA; RADIATION; ECOSYSTEMS; THICKNESS; IMAGERY; SYSTEM</t>
  </si>
  <si>
    <t>Ice-free areas occupy less than 0.25% of the Antarctic surface, and mainly occur along coastlines, or as inland nunataks protruding from the extensive ice sheet. Their extreme environment and geographical isolation have contributed to the evolution of highly adapted, and largely endemic terrestrial biota. Physical habitat mapping is important to identify the main drivers of spatial variation in soil biodiversity, to predict its response to climate change and to help conservation planning. In this paper we retrieved remotely sensed Land Surface Temperature (LST) and Digital Surface Models (DSM) for the Sor Rondane Mountains in East Antarctica from respectively the Thermal InfraRed Sensor (TIRS) on Landsat 8 and the Pl eiades constellation of high resolution optical imagers. Satellite data were combined with ground truth temperature and elevation measurements with the aim to assess the performance of these remotely sensed data. Over a 2 year period, satellite derived LST corresponded to in situ temperature with Mean Average Difference (MAD) of 2.5 K, and Root Mean Squared Difference (RMSD) of - 6.3 K. Lower biases were observed for periods when the data loggers were frozen or snow covered (MAD 1.8K) compared to intervals where the devices were not frozen (MAD 4 K), with larger scatter (RMSD 7 K) being observed during the latter. These larger MAD and RMSD are caused by the differential heating of the top of the gravel/rocks as observed by the satellite compared to their underside, where the loggers were installed, and are also impacted by the time step of the in situ logging (3 h) and the non-linear heating of the surface. In addition, for the different study sites different biases were observed as a result of the spatial resolution of the TIRS, depending on the composition, structure, geomorphology, and the surroundings of the logger position. Sites on a narrow rock outcrop (e.g. the Perlebandet and Utsteinen nunataks) show a negative bias due to the surrounding ice fields decreasing the satellite pixel average temperature compared to the in situ measured temperatures. For sites with a more extensive rock and gravel composition further away from the ice sheet (Dry and Yuboku Valleys), a positive bias was found as a result of the temperature differential between the exposed top and covered bottom of the rocks and gravel. The DSM derived from Pl ' eiades (without bias correction) showed in general a bias of - 6 m (MAD) and scatter of - 9 m (RMSD) when compared to the Reference Elevation Model of Antarctica and IceSAT-1 LIDAR data. Lowest errors were also found here for the extensive Dry and Yuboku Valley sites (respectively - 5 and 3 m MAD, 7 and 4 m RMSD). Correspondence with in situ logged GPS positions was slightly worse, with a positive bias of 12 m (MAD) and scatter of 15 m (RMSD) across the sites. An analysis on the basis of these LST and DSM datasets, show a clear separability of sites by their average temperature and solar exposition (in terms of slope and aspect) at the time of Landsat overpass. Due to the Landsat overpass times, the LST datasets are however strongly biased, and further work is needed for a better understanding of the light and temperature climate in the ice-free regions. This could for example be achieved by coupling the DSM to a solar irradiance and terrain shadowing model.</t>
  </si>
  <si>
    <t>[Vanhellemont, Quinten] Royal Belgian Inst Nat Sci, Operat Directorate Nat Environm, Vautierstr 29, B-1000 Brussels, Belgium; [Lambrechts, Sam; Savaglia, Valentina; Tytgat, Bjorn; Verleyen, Elie; Vyverman, Wim] Univ Ghent, Protistol &amp; Aquat Ecol, Krijgslaan 281 S8, B-9000 Ghent, Belgium; [Lambrechts, Sam] Univ Ghent, Dept Biochem &amp; Microbiol, Lab Microbiol, KL Ledeganckstr 35, B-9000 Ghent, Belgium; [Savaglia, Valentina] Univ Liege, InBios Ctr Prot Engn, Allee Six Aout 13, B-4000 Liege, Belgium</t>
  </si>
  <si>
    <t>Royal Belgian Institute of Natural Sciences; Ghent University; Ghent University; University of Liege</t>
  </si>
  <si>
    <t>Vanhellemont, Q (corresponding author), Royal Belgian Inst Nat Sci, Operat Directorate Nat Environm, Vautierstr 29, B-1000 Brussels, Belgium.</t>
  </si>
  <si>
    <t>quinten.vanhellemont@naturalsciences.be</t>
  </si>
  <si>
    <t>Savaglia, Valentina/0000-0002-8524-7795; Vanhellemont, Quinten/0000-0001-9195-6347; Lambrechts, Sam/0000-0002-8994-319X</t>
  </si>
  <si>
    <t>Federal Belgian Science Policy Office (BELSPO) under the BRAIN-be programme MICROBIAN project [BR/165/A1/MICROBIAN]; BELSPO research project [EA/34/1B, BR/143/A2/AEROCLOUD]; International Polar Foundation; Swiss Federal Institute for Forest, Snow and Landscape research</t>
  </si>
  <si>
    <t>Federal Belgian Science Policy Office (BELSPO) under the BRAIN-be programme MICROBIAN project; BELSPO research project; International Polar Foundation; Swiss Federal Institute for Forest, Snow and Landscape research</t>
  </si>
  <si>
    <t>This work was funded by the Federal Belgian Science Policy Office (BELSPO) under the BRAIN-be programme MICROBIAN project (BR/165/A1/MICROBIAN). NASA/USGS and ESA/Copernicus are thanked for the acquisition and free distribution of Landsat 8 and Sentinel-2 images. AIRBUS is thanked for the acquisition of the Pleiades imagery. M-J Noh and Ian Howat are kindly thanked for providing SETSM and support via email. The crew of the Princess Elisabeth Antarctica (PEA) station is thanked for the operation of the base and support of field activities, in particular Alain Hubert for leading the Belgian Antarctic Research Expedition (BELARE), and our field guides for the 2018 campaign, Pierre-Yves Terrettaz, and the 2019-2020 campaigns, Raphael Mayoraz. We acknowledge the Royal Meteorological Institute of Belgium (RMI) and BELSPO research project contracts EA/34/1B and BR/143/A2/AEROCLOUD for providing the radio sounding data at PEA. In addition, the radio soundings at PEA have been supported by the International Polar Foundation and the Swiss Federal Institute for Forest, Snow and Landscape research. Alexander Mangold is thanked for providing these data and recommendations for their use. Two anonymous reviewers are thanked for reviewing the manuscript.</t>
  </si>
  <si>
    <t>10.1016/j.rsase.2021.100529</t>
  </si>
  <si>
    <t>UD4ES</t>
  </si>
  <si>
    <t>WOS:000687161800001</t>
  </si>
  <si>
    <t>Hendry, AT; Rodger, CJ; Clilverd, MA; Morley, SK</t>
  </si>
  <si>
    <t>Hendry, A. T.; Rodger, C. J.; Clilverd, M. A.; Morley, S. K.</t>
  </si>
  <si>
    <t>Evidence of Sub-MeV EMIC-Driven Trapped Electron Flux Dropouts From GPS Observations</t>
  </si>
  <si>
    <t>EMIC waves; GPS CXD; sub-MeV electron loss; trapped electron flux</t>
  </si>
  <si>
    <t>VAN ALLEN PROBES; PRECIPITATION; WAVES; FIELD; NOAA</t>
  </si>
  <si>
    <t>For many years, it was believed that resonant interactions between electromagnetic ion cyclotron (EMIC) waves and radiation belt electrons were restricted to electron energies &gt;1-2 MeV. In recent years, however, a growing body of experimental evidence has shown that EMIC waves can cause the scattering loss of electrons down to sub-MeV energies. Using measurements of trapped electron flux from the Global Positioning System satellite constellation, we investigate the ability of EMIC waves to cause significant depletions of radiation belt electron populations between 4 &lt;= L* &lt;= 5. For the first time, we present statistical evidence demonstrating global decreases in sub-MeV trapped electron flux in response to EMIC wave activity. Although we find that electron losses extend down to sub-MeV energies, we also show strong statistical support for the ability of EMIC waves to preferentially cause substantial depletions of ultra-relativistic electrons in the radiation belts. Plain Language Summary Electromagnetic ion cyclotron (EMIC) waves are a type of extremely low frequency electromagnetic wave commonly found within the Earth's radiation belts. Although it has long been known that these waves are capable of driving energetic electrons out of the belts and into the Earth's atmosphere, the energy limits of this interaction are still a matter of considerable debate. In this study, we combine many years of data from electron detectors carried by multiple Global Positioning System satellites to statistically investigate the effects of EMIC waves on radiation belt electron populations. We show that these waves are capable of causing significant decreases in electron populations at energies much lower than that has previously been considered possible. This result has important ramifications not only for our models of how radiation belt electron populations change over time, but also for our understanding of how EMIC waves are linked to chemical changes in the Earth's atmosphere. Key Points Electromagnetic ion cyclotron waves can cause measurable depletion of sub-MeV trapped radiation belt electrons Primarily sub-MeV loss observations and primarily relativistic trapped-flux depletions are not in direct contradiction We present statistical evidence of ultra-relativistic trapped electron flux depletions, confirming existing published case study results</t>
  </si>
  <si>
    <t>[Hendry, A. T.; Rodger, C. J.] Univ Otago, Dept Phys, Dunedin, New Zealand; [Clilverd, M. A.] British Antarctic Survey UKRI NERC, Cambridge, England; [Morley, S. K.] Los Alamos Natl Lab, Space Sci &amp; Applicat, Los Alamos, NM USA</t>
  </si>
  <si>
    <t>University of Otago; UK Research &amp; Innovation (UKRI); Natural Environment Research Council (NERC); NERC British Antarctic Survey; United States Department of Energy (DOE); Los Alamos National Laboratory</t>
  </si>
  <si>
    <t>Hendry, AT (corresponding author), Univ Otago, Dept Phys, Dunedin, New Zealand.</t>
  </si>
  <si>
    <t>aaron.hendry@otago.ac.nz</t>
  </si>
  <si>
    <t>Rodger, Craig/A-1501-2011; Morley, Steven/AAP-5637-2021; Morley, Steven K/GVS-9398-2022</t>
  </si>
  <si>
    <t>Morley, Steven K/0000-0001-8520-0199; Rodger, Craig J./0000-0002-6770-2707</t>
  </si>
  <si>
    <t>Natural Environment Research Council; NERC Highlight Topic Grant [NE/P01738X/1]; U.S. Department of Energy; Laboratory Directed Research and Development (LDRD) program [20150127ER, 20190262ER]</t>
  </si>
  <si>
    <t>Natural Environment Research Council(UK Research &amp; Innovation (UKRI)Natural Environment Research Council (NERC)); NERC Highlight Topic Grant; U.S. Department of Energy(United States Department of Energy (DOE)); Laboratory Directed Research and Development (LDRD) program</t>
  </si>
  <si>
    <t>The authors would like to thank the CXD team at Los Alamos National Laboratory who develop, maintain, operate, and process the GPS CXD data used in this study. The authors acknowledge the SuperMAG collaborators (). MAC would like to acknowledge support for this work from the Natural Environment Research Council, NERC Highlight Topic Grant #NE/P01738X/1 (Rad-Sat). Contributions by S. K. Morley were performed under the auspices of the U.S. Department of Energy, with partial support from the Laboratory Directed Research and Development (LDRD) program, awards 20150127ER and 20190262ER.</t>
  </si>
  <si>
    <t>MAY 16</t>
  </si>
  <si>
    <t>e2021GL092664</t>
  </si>
  <si>
    <t>10.1029/2021GL092664</t>
  </si>
  <si>
    <t>TM4MB</t>
  </si>
  <si>
    <t>WOS:000675524000033</t>
  </si>
  <si>
    <t>Quiquet, A; Dumas, C; Paillard, D; Ramstein, G; Ritz, C; Roche, DM</t>
  </si>
  <si>
    <t>Quiquet, Aurelien; Dumas, Christophe; Paillard, Didier; Ramstein, Gilles; Ritz, Catherine; Roche, Didier M.</t>
  </si>
  <si>
    <t>Deglacial Ice Sheet Instabilities Induced by Proglacial Lakes</t>
  </si>
  <si>
    <t>grounding line instability; last deglaciation; North American ice sheet; proglacial lake</t>
  </si>
  <si>
    <t>INTERCOMPARISON PROJECT ISMIP6; GRISLI-LSCE CONTRIBUTION; LAST GLACIAL MAXIMUM; SEA-LEVEL RISE; CATASTROPHIC DRAINAGE; PHASE 6; MODEL; LAURENTIDE; EVOLUTION; COLLAPSE</t>
  </si>
  <si>
    <t>During the last deglaciation (21-7 kaBP), the gradual retreat of Northern Hemisphere ice sheet margins produced large proglacial lakes. While the climatic impacts of these lakes have been widely acknowledged, their role on ice sheet grounding line dynamics has received very little attention so far. Here, we show that proglacial lakes had dramatic implications for the North American ice sheet dynamics through a self-sustained mechanical instability which has similarities with the known marine ice sheet instability consequently providing fast retreat of large portions of the ice sheet over the continent. This instability mechanism is likely important in contributing to deglaciation of terrestrial glaciers and ice sheets with proglacial lakes at their margins as it can substantially accelerate the mass loss. Echoing our knowledge of Antarctic ice sheet dynamics, proglacial lakes are another manifestation of the importance of grounding line dynamics for ice sheet evolution. Plain Language Summary The last deglaciation provides a unique opportunity to understand the mechanisms behind large-scale ice sheet collapses. However, the mass loss accelerations that occurred during the deglaciation remain only partially explained despite recent improvements of ice sheet models which now better represent ice dynamics than they used to. Here we use such a model to quantify for the first time the importance of proglacial lakes on the dynamics of the North American ice sheet during the last deglaciation. We show that these lakes could be responsible for large-scale ice sheet collapses due to a floatation instability. The proglacial lake ice sheet instability could be an additional mechanism explaining the rapid ice sheet retreat during the deglaciation. Key Points The North American proglacial lakes induce an ice sheet instability during the last deglaciation. This instability is mechanically driven even though it is triggered by surface mass balance. The instability could explain half of the mass loss when the ice sheet reaches the region of the present-day Hudson Bay.</t>
  </si>
  <si>
    <t>[Quiquet, Aurelien; Dumas, Christophe; Paillard, Didier; Ramstein, Gilles; Roche, Didier M.] Univ Paris Saclay, Lab Sci Climat &amp; Environm, LSCE IPSL, CEA CNRS UVSQ, Gif Sur Yvette, France; [Quiquet, Aurelien] NumClimSolutions, Palaiseau, France; [Ritz, Catherine] Univ Grenoble Alpes, CNRS, IRD, Grenoble INP,IGE, Grenoble, France; [Roche, Didier M.] Vrije Univ Amsterdam, Fac Sci Cluster Earth &amp; Climate, Amsterdam, Netherlands</t>
  </si>
  <si>
    <t>CEA; Centre National de la Recherche Scientifique (CNRS); Universite Paris Saclay; Universite Paris Cite; Institut de Recherche pour le Developpement (IRD); Communaute Universite Grenoble Alpes; Universite Grenoble Alpes (UGA); Centre National de la Recherche Scientifique (CNRS); Institut National Polytechnique de Grenoble; Vrije Universiteit Amsterdam</t>
  </si>
  <si>
    <t>Quiquet, A (corresponding author), Univ Paris Saclay, Lab Sci Climat &amp; Environm, LSCE IPSL, CEA CNRS UVSQ, Gif Sur Yvette, France.;Quiquet, A (corresponding author), NumClimSolutions, Palaiseau, France.</t>
  </si>
  <si>
    <t>aurelien.quiquet@lsce.ipsl.fr</t>
  </si>
  <si>
    <t>Quiquet, Aurélien/P-6180-2014; Ramstein, Gilles/L-3328-2014; Roche, Didier M./C-9875-2010</t>
  </si>
  <si>
    <t>Quiquet, Aurélien/0000-0001-6207-3043; Ramstein, Gilles/0000-0002-1522-917X; Roche, Didier M./0000-0001-6272-9428; Ritz, Catherine/0000-0003-0785-8571</t>
  </si>
  <si>
    <t>European Research Council under the European Union's Seventh Framework Program (FP7/2007-2013) [339108]; SCOR foundation project COASTRISK</t>
  </si>
  <si>
    <t>European Research Council under the European Union's Seventh Framework Program (FP7/2007-2013)(European Research Council (ERC)); SCOR foundation project COASTRISK</t>
  </si>
  <si>
    <t>The research leading to these results has received funding from the European Research Council under the European Union's Seventh Framework Program (FP7/2007-2013 Grant agreement n degrees 339108) and from the SCOR foundation project COASTRISK.</t>
  </si>
  <si>
    <t>e2020GL092141</t>
  </si>
  <si>
    <t>10.1029/2020GL092141</t>
  </si>
  <si>
    <t>WOS:000675524000052</t>
  </si>
  <si>
    <t>Chen, CL; Wang, GH</t>
  </si>
  <si>
    <t>Chen, Changlin; Wang, Guihua</t>
  </si>
  <si>
    <t>Simulated Southern Ocean Upwelling at the Last Glacial Maximum and Early Deglaciation: The Role of Eddy-Induced Overturning Circulation</t>
  </si>
  <si>
    <t>WESTERLY WIND CHANGES; ANTARCTIC SEA-ICE; ATMOSPHERIC CO2; SENSITIVITY; STRATIFICATION; CYCLE; LGM</t>
  </si>
  <si>
    <t>We explore the changes in Southern Ocean upwelling patterns during the last glacial maximum (LGM) and early deglaciation using a fully coupled climate model with ocean eddies parameterized via the Gent-McWilliams scheme. Relative to the preindustrial climate, the model simulates an equatorward shift of the upwelling of the residual circulation in the Southern Ocean during the LGM, which is consistent with paleo-evidence of export production. This change in upwelling primarily arose from an altered eddy-induced meridional overturning circulation (MOC) that resulted from the expanded sea ice and enhanced buoyancy loss around Antarctica during the LGM, which modulated the slope of buoyancy surface in the Southern Ocean. We have also found that there was a poleward shift of the upwelling of the residual circulation in the Southern Ocean during the early deglaciation, which was different than the change in the wind-driven upwelling and primarily driven by variations in the eddy-induced MOC. Plain Language Summary Upwelling in the Southern Ocean exerts a huge influence on the climate and oceanic ecosystem. This upwelling is set up by a balance between the surface westerly winds, surface buoyancy forcing, and eddy activity. However, the role of eddy activity in the Southern Ocean upwelling patterns during the last glacial maximum (LGM) and last deglaciation remains unclear. In this study, we explore the changes in Southern Ocean upwelling during the LGM and early deglaciation using a fully coupled climate model. The model simulates an equatorward shift of the upwelling of the residual circulation in the Southern Ocean during the LGM relative to preindustrial climate, which is consistent with changes in upwelling inferred from paleo-evidence. A poleward shift of the upwelling of the residual circulation in the Southern Ocean was also found to occur during the early deglaciation. The change in the residual upwelling cannot be explained by the changes in wind-driven upwelling but was mainly driven by variations in the eddy-induced vertical velocity field. Key Points A climate model simulates an equatorward shift in the Southern Ocean upwelling at last glacial maximum relative to preindustrial climate The coupled model also simulates a poleward shift in the Southern Ocean upwelling during the early deglaciation The change in upwelling primarily arose from an altered vertical velocity field that was eddy-induced rather than wind-driven</t>
  </si>
  <si>
    <t>[Chen, Changlin; Wang, Guihua] Fudan Univ, Dept Atmospher &amp; Ocean Sci, Shanghai, Peoples R China; [Chen, Changlin; Wang, Guihua] Fudan Univ, Inst Atmospher Sci, Shanghai, Peoples R China; [Chen, Changlin] Southern Marine Sci &amp; Engn Guangdong Lab Zhuhai, Zhuhai, Peoples R China; [Wang, Guihua] Fudan Univ, Big Data Inst Carbon Emiss &amp; Environm Pollut, Shanghai, Peoples R China</t>
  </si>
  <si>
    <t>Fudan University; Fudan University; Southern Marine Science &amp; Engineering Guangdong Laboratory; Southern Marine Science &amp; Engineering Guangdong Laboratory (Zhuhai); Fudan University</t>
  </si>
  <si>
    <t>Chen, CL (corresponding author), Fudan Univ, Dept Atmospher &amp; Ocean Sci, Shanghai, Peoples R China.;Chen, CL (corresponding author), Fudan Univ, Inst Atmospher Sci, Shanghai, Peoples R China.;Chen, CL (corresponding author), Southern Marine Sci &amp; Engn Guangdong Lab Zhuhai, Zhuhai, Peoples R China.</t>
  </si>
  <si>
    <t>chencl@fudan.edu.cn</t>
  </si>
  <si>
    <t>Wang, Guihua/B-4458-2010</t>
  </si>
  <si>
    <t>National Natural Science Foundation of China [42076018]</t>
  </si>
  <si>
    <t>This work is supported by the National Natural Science Foundation of China (42076018).</t>
  </si>
  <si>
    <t>e2021GL092880</t>
  </si>
  <si>
    <t>10.1029/2021GL092880</t>
  </si>
  <si>
    <t>WOS:000675524000071</t>
  </si>
  <si>
    <t>Thresher, RE; Fallon, SJ</t>
  </si>
  <si>
    <t>Thresher, Ronald E.; Fallon, Stewart J.</t>
  </si>
  <si>
    <t>Apparent Periodic and Long-Term Changes in AAIW and UCDW Properties at Fixed Depths in the Southwest Pacific, With Indications of a Regime Shift in the 1930s</t>
  </si>
  <si>
    <t>AAIW; coral proxies; orange roughy; Southern Ocean; time series; UCDW</t>
  </si>
  <si>
    <t>ANTARCTIC INTERMEDIATE WATER; SOUTHERN-OCEAN; SKELETAL COMPOSITION; CLIMATE VARIABILITY; SW PACIFIC; CORAL; CIRCULATION; MODE; TEMPERATURE; LATITUDE</t>
  </si>
  <si>
    <t>Metal/calcium ratios in two long-lived deep-sea gorgonian corals (Lepidisis and Corallium spp.) in the Southwest Pacific evidence periodic decadal variability at depths that correspond to Antarctic Intermediate Water (AAIW) and shallow Upper Circumpolar Deep Water, and a shift in the mid-1930s to late-1930s in mean ambient temperatures, barium/silicate concentrations and possibly pH, the rate at which these properties change over time, and the relationship between temperatures at fixed depth and the Southern Annular Mode (SAM). The decadal periodicity, which is evident in other biological indices in the study area, can be accounted for by water mass heave on the order of 100-150 m, which is consistent with observed scales of variability in the AAIW. The proximate and ultimate causes of the midcentury shifts are unclear, but could be related to suggested mid-20th century changes in climate parameters globally and, more specifically, in the subpolar SW Pacific. Plain Language Summary The dynamics of the Southern Ocean play a critical role in global climate and oceanography, but sparse historical instrumental data make it difficult to assess the significance of recently observed changes. We help fill this information gap by analyzing apparent proxies for ambient temperature, barium/silicate concentrations, and possibly pH in the carbonate skeletons of a pair of very long-lived deep-sea corals. The data strongly suggest a previously unreported similar to 23-year periodicity in two Southern Ocean water masses (Antarctic Intermediate Water and Upper Circumpolar Deep Water), which is likely to be the result of vertical shifts in water mass distributions. The long-term data also suggest the water masses cooled, became less acidic and had declining barium/silicate concentrations from at least the early 1700s until the early to mid-1900s, after which the sign of the long-term trends reversed. The causes of the long-term trends and their reversal are not clear, but may be related to changes to climate parameters globally, but more specifically to those in the SE Pacific, where Antarctic Intermediate Water is formed. Key Points Three environmental proxies were examined in skeletal composition of long-lived deep-water gorgonian corals in the SW Pacific The time series indicate coherent ca. 23-year periodicity at depths corresponding to the AAIW and UCDW Long-term trends in all three proxies reversed sign in the early to mid-1900s, along with their relationship with the SAM</t>
  </si>
  <si>
    <t>[Thresher, Ronald E.] CSIRO Oceans &amp; Atmosphere, Hobart, Tas, Australia; [Fallon, Stewart J.] Australian Natl Univ, Res Sch Earth Sci, Canberra, ACT, Australia</t>
  </si>
  <si>
    <t>Commonwealth Scientific &amp; Industrial Research Organisation (CSIRO); Australian National University</t>
  </si>
  <si>
    <t>Thresher, RE (corresponding author), CSIRO Oceans &amp; Atmosphere, Hobart, Tas, Australia.</t>
  </si>
  <si>
    <t>ron.thresher@csiro.au</t>
  </si>
  <si>
    <t>Thresher, Ronald/C-7442-2009; Fallon, Stewart/G-6645-2011</t>
  </si>
  <si>
    <t>Fallon, Stewart/0000-0002-8064-5903</t>
  </si>
  <si>
    <t>e2020GL092329</t>
  </si>
  <si>
    <t>10.1029/2020GL092329</t>
  </si>
  <si>
    <t>WOS:000675524000042</t>
  </si>
  <si>
    <t>Fleming, EL; Liang, Q; Oman, LD; Newman, PA; Li, F; Hurwitz, MM</t>
  </si>
  <si>
    <t>Fleming, Eric L.; Liang, Qing; Oman, Luke D.; Newman, Paul A.; Li, Feng; Hurwitz, Margaret M.</t>
  </si>
  <si>
    <t>Stratospheric Impacts of Continuing CFC-11 Emissions Simulated in a Chemistry-Climate Model</t>
  </si>
  <si>
    <t>Brewer-chlorofluorocarbons; greenhouse gas; ozone depletion; stratosphere; surface emissions</t>
  </si>
  <si>
    <t>OZONE-DEPLETING SUBSTANCES; BREWER-DOBSON CIRCULATION; EARTH OBSERVING SYSTEM; TEMPERATURE TRENDS; GREENHOUSE GASES; POLAR VORTEX; RETURN DATES; INCREASE; SENSITIVITY; MECHANISMS</t>
  </si>
  <si>
    <t>Trichlorofluoromethane (CFC-11, CFCl3) is a major anthropogenic ozone-depleting substance and greenhouse gas, and its production and consumption are controlled under the Montreal Protocol. However, recent studies show that CFC-11 emissions increased during 2014-2017 relative to 2008-2012. In this study, we use a chemistry-climate model to investigate the stratospheric impacts of potential CFC-11 emissions continuing into the future. As a sensitivity test, we use a high CFC-11 scenario in which the inferred 2013-2016 average emissions of 72.5 Gg/yr is sustained to year 2100. This increases equivalent effective stratospheric chlorine by 15% in 2100, relative to the WMO (2018) baseline scenario in which future emissions decay with a bank release rate of 6.4%/year. Consistent with recent studies, the resulting ozone response has a linear dependence on the accumulated CFC-11 emissions, yielding global and Antarctic spring total ozone sensitivity per 1,000 Gg of -0.37 and -3.9 DU, respectively, averaged over 2017-2100. The deepened ozone hole reduces UV heating, causing a colder Antarctic lower stratosphere in spring/early summer. Through thermal wind balance, this accelerates the circumpolar jet which in turn alters planetary and gravity wave propagation through the Southern Hemisphere stratosphere, and modifies the Brewer-Dobson circulation. Age of air in the high scenario is slightly younger than the baseline in the lower stratosphere globally during 2090-2099, with a maximum change of -0.1 years. Coupled atmosphere-ocean model simulations show that the resulting greenhouse gas impact of CFC-11 is small and not statistically significant throughout the troposphere and stratosphere.</t>
  </si>
  <si>
    <t>[Fleming, Eric L.; Liang, Qing; Oman, Luke D.; Newman, Paul A.; Li, Feng] NASA, Goddard Space Flight Ctr, Greenbelt, MD 20771 USA; [Fleming, Eric L.] Sci Syst &amp; Applicat Inc, Lanham, MD 20706 USA; [Li, Feng] Univ Space Res Assoc, Columbia, MD USA; [Hurwitz, Margaret M.] NOAA, Natl Weather Serv, Forecast Serv Div, Silver Spring, MD 20910 USA</t>
  </si>
  <si>
    <t>National Aeronautics &amp; Space Administration (NASA); NASA Goddard Space Flight Center; Science Systems and Applications Inc; Universities Space Research Association (USRA); National Oceanic Atmospheric Admin (NOAA) - USA</t>
  </si>
  <si>
    <t>Fleming, EL (corresponding author), NASA, Goddard Space Flight Ctr, Greenbelt, MD 20771 USA.;Fleming, EL (corresponding author), Sci Syst &amp; Applicat Inc, Lanham, MD 20706 USA.</t>
  </si>
  <si>
    <t>egfleming77@gmail.com</t>
  </si>
  <si>
    <t>Liang, Qing/GPX-8988-2022; Li, Feng/H-2241-2012; Liang, Qing/B-1276-2011; Oman, Luke/C-2778-2009; Newman, Paul A./D-6208-2012</t>
  </si>
  <si>
    <t>Liang, Qing/0000-0002-8430-0515; Liang, Qing/0000-0002-8430-0515; Oman, Luke/0000-0002-5487-2598; Newman, Paul A./0000-0003-1139-2508; Li, Feng/0000-0002-7928-0775</t>
  </si>
  <si>
    <t>NASA's Atmospheric Composition Modeling and Analysis Program; NASA's Modeling, Analysis, and Prediction Program</t>
  </si>
  <si>
    <t>NASA's Atmospheric Composition Modeling and Analysis Program; NASA's Modeling, Analysis, and Prediction Program(National Aeronautics &amp; Space Administration (NASA))</t>
  </si>
  <si>
    <t>We thank three anonymous reviewers for helpful comments and suggestions. This work was supported in part by NASA's Atmospheric Composition Modeling and Analysis Program and NASA's Modeling, Analysis, and Prediction Program. GEOSCCM model description, configuration, input parameters and forcing datasets, and associated references are provided in Section 2 of the main text.</t>
  </si>
  <si>
    <t>e2020JD033656</t>
  </si>
  <si>
    <t>10.1029/2020JD033656</t>
  </si>
  <si>
    <t>SK3XQ</t>
  </si>
  <si>
    <t>WOS:000656152800037</t>
  </si>
  <si>
    <t>Lang, F; Huang, Y; Protat, A; Truong, SCH; Siems, ST; Manton, MJ</t>
  </si>
  <si>
    <t>Lang, F.; Huang, Y.; Protat, A.; Truong, S. C. H.; Siems, S. T.; Manton, M. J.</t>
  </si>
  <si>
    <t>Shallow Convection and Precipitation Over the Southern Ocean: A Case Study During the CAPRICORN 2016 Field Campaign</t>
  </si>
  <si>
    <t>MESOSCALE CELLULAR CONVECTION; ATMOSPHERIC BOUNDARY-LAYER; IN-SITU OBSERVATIONS; PART I; SPATIAL VARIABILITY; R/V INVESTIGATOR; CLOSURE-MODEL; LIQUID WATER; OPEN CELLS; CLOUD</t>
  </si>
  <si>
    <t>Marine boundary layer clouds and precipitation observed in a sustained period of open mesoscale cellular convection (MCC) over the Southern Ocean (SO) are investigated using Clouds, Aerosols, Precipitation, Radiation, and atmospherIc Composition Over the southeRn oceaN 2016 observations, Himawari-8 products, and numerical simulations. The shallow convection was characterized by the presence of supercooled liquid water and mixed-phase clouds in the sub-freezing temperature range, consistent with earlier in-situ observations where ice multiplication is found to be active in producing large quantities of ice in open MCC clouds. Ice-phase precipitation was observed to melt below cloud base with evidence of cold pools produced in a decoupled boundary layer. Convection-permitting simulations using the weather research and forecasting model were able to reproduce many of the surface meteorological features and their evolution. However, the evolution of the boundary layer height and the degree of decoupling were poorly simulated, along with the absence of cold pools. The observed cloud morphology and microphysical characteristics were also not well reproduced in the control simulation with the Thompson microphysics scheme, where too much supercooled water was simulated in a too homogenous cloud field. Sensitivity experiments with modified microphysical parameters led to a higher production of glaciated clouds and precipitation. Sensitivity experiments with different boundary layer schemes and vertical resolution, however, showed a smaller impact. A bias of similar to 4 degrees C in the initial boundary conditions of the sea surface temperature is discussed. This study highlights the challenge of representing the complex physical processes that underpin the cloud, precipitation, and boundary layer characteristics of the open MCC over the SO.</t>
  </si>
  <si>
    <t>[Lang, F.; Truong, S. C. H.; Siems, S. T.; Manton, M. J.] Monash Univ, Sch Earth Atmosphere &amp; Environm, Melbourne, Vic, Australia; [Huang, Y.] Univ Melbourne, Sch Earth Sci, Melbourne, Vic, Australia; [Huang, Y.; Truong, S. C. H.; Siems, S. T.] Australian Res Council Ctr Excellence Climate Ext, Melbourne, Vic, Australia; [Protat, A.] Australian Bur Meteorol, Melbourne, Vic, Australia</t>
  </si>
  <si>
    <t>Monash University; Melbourne Genomics Health Alliance; University of Melbourne; Melbourne Bioinformatics; Melbourne Genomics Health Alliance; Bureau of Meteorology - Australia</t>
  </si>
  <si>
    <t>Lang, F (corresponding author), Monash Univ, Sch Earth Atmosphere &amp; Environm, Melbourne, Vic, Australia.</t>
  </si>
  <si>
    <t>francisco.lang@monash.edu</t>
  </si>
  <si>
    <t>Siems, Steven T/C-8339-2013; Truong, Son C. H./HKW-5107-2023</t>
  </si>
  <si>
    <t>Siems, Steven T/0000-0002-8478-533X; Truong, Son C. H./0000-0001-6498-5214; Huang, Yi/0000-0001-8144-1227; Lang, Francisco/0000-0002-8595-4836</t>
  </si>
  <si>
    <t>Australian Research Council [DP190101362]; National Environmental Science Program (NESP), Australia; Australian Antarctic Program Partnership (AAPP)</t>
  </si>
  <si>
    <t>Australian Research Council(Australian Research Council); National Environmental Science Program (NESP), Australia; Australian Antarctic Program Partnership (AAPP)</t>
  </si>
  <si>
    <t>This work is supported by Australian Research Council Discovery Projects DP190101362. The Bureau of Meteorology's contribution to this study was partly funded by the National Environmental Science Program (NESP), Australia, and the Australian Antarctic Program Partnership (AAPP). The authors wish to thank the CSIRO Marine National Facility for its grant of sea time on Investigator and associated personnel, scientific equipment, and data management.</t>
  </si>
  <si>
    <t>e2020JD034088</t>
  </si>
  <si>
    <t>10.1029/2020JD034088</t>
  </si>
  <si>
    <t>WOS:000656152800021</t>
  </si>
  <si>
    <t>Pan, ZX; Rosenfeld, D; Zhu, YN; Mao, FY; Gong, W; Zang, L; Lu, X</t>
  </si>
  <si>
    <t>Pan, Zengxin; Rosenfeld, Daniel; Zhu, Yannian; Mao, Feiyue; Gong, Wei; Zang, Lin; Lu, Xin</t>
  </si>
  <si>
    <t>Observational Quantification of Aerosol Invigoration for Deep Convective Cloud Lifecycle Properties Based on Geostationary Satellite</t>
  </si>
  <si>
    <t>aerosol; deep convective cloud; geostationary satellite; lifetime; rainfall amount</t>
  </si>
  <si>
    <t>LAND-OCEAN CONTRAST; CONDENSATION NUCLEI; PRECIPITATION; MICROPHYSICS; POLLUTION; INTENSIFICATION; RAIN</t>
  </si>
  <si>
    <t>Aerosols affect cloud microstructure, dynamics, and precipitation by acting as cloud condensation nuclei (CCN) and ice nuclei with a large uncertainty for deep convective clouds (DCCs). Here, we quantify the relationships between aerosols and DCC properties after isolating aerosol impacts from meteorology based on the METEOSAT geostationary satellite and Modern-Era Retrospective Analysis for Research and Application Version 2 (MERRA-2) reanalysis data. Results show that fine aerosols (radius &lt;1 mu m), which serve as the best proxy for CCN from MERRA-2, exhibit the strongest aerosol invigoration for DCC compared with aerosol optical depth and coarse aerosols. Overall, added fine aerosols result in colder cloud top temperatures (CTTs), longer lifetime, and more rainfall amounts, especially over land. As CTT decreases monotonically with added aerosols, cloud lifetime and rainfall amount reach a maximum at aerosol loading of 5 and 1.5 mu g/m(3) over land and ocean, respectively. Added precipitable water (PW) vapor and convective available potential energy (CAPE) are conducive to the development of more vigorous DCC. For fixed PW and CAPE, CTT decreases by up to -12.2 degrees C +/- 0.5 degrees C with fine aerosol concentration over land and up to -4.4 degrees C +/- 1.0 degrees C over ocean. The DCC lifetime is lengthened by a factor of 1.3 +/- 0.1 from clean condition to optimal aerosol loading over land. A respective enhancement in rainfall amounts over land is indicated by a factor of 2.6 +/- 0.4. The decreases in lifetime and rainfall beyond the optimal aerosol concentration are likely due to less aerosol wet scavenging from smaller and less rainy DCCs. The increases in the lifetime and rainfall amounts over ocean are much weaker.</t>
  </si>
  <si>
    <t>[Pan, Zengxin; Rosenfeld, Daniel] Hebrew Univ Jerusalem, Inst Earth Sci, Jerusalem, Israel; [Rosenfeld, Daniel; Mao, Feiyue; Gong, Wei; Lu, Xin] Wuhan Univ, State Key Lab Informat Engn Surveying Mapping &amp; R, Wuhan, Peoples R China; [Zhu, Yannian] Nanjing Univ, Sch Atmospher Sci, Nanjing, Peoples R China; [Zhu, Yannian] Nanjing Univ, Joint Int Res Lab Atmospher &amp; Earth Syst Sci, Nanjing, Peoples R China; [Zhu, Yannian] Nanjing Univ, Inst Climate &amp; Global Change Res, Nanjing, Peoples R China; [Mao, Feiyue] Wuhan Univ, Sch Remote Sensing &amp; Informat Engn, Wuhan, Peoples R China; [Gong, Wei] Wuhan Univ, Sch Elect Informat, Wuhan, Peoples R China; [Zang, Lin] Wuhan Univ, Chinese Antarctic Ctr Surveying &amp; Mapping, Wuhan, Peoples R China</t>
  </si>
  <si>
    <t>Hebrew University of Jerusalem; Wuhan University; Nanjing University; Nanjing University; Nanjing University; Wuhan University; Wuhan University; Wuhan University</t>
  </si>
  <si>
    <t>Rosenfeld, D (corresponding author), Hebrew Univ Jerusalem, Inst Earth Sci, Jerusalem, Israel.;Rosenfeld, D (corresponding author), Wuhan Univ, State Key Lab Informat Engn Surveying Mapping &amp; R, Wuhan, Peoples R China.</t>
  </si>
  <si>
    <t>daniel.rosenfeld@huli.ac.il</t>
  </si>
  <si>
    <t>Zhu, Yannian/GYE-1080-2022; Rosenfeld, Daniel/F-6077-2016</t>
  </si>
  <si>
    <t>Rosenfeld, Daniel/0000-0002-0784-7656; Zhu, Yannian/0000-0002-8371-1830</t>
  </si>
  <si>
    <t>National Natural Science Foundation of China [41971285, 41627804]; National Key Research and Development Program of China [2017YFC0212600]</t>
  </si>
  <si>
    <t>This study is supported by the National Natural Science Foundation of China (41971285 and 41627804) and the National Key Research and Development Program of China (2017YFC0212600). The numerical calculations in this paper have been done on the supercomputing system in the Supercomputing Center of Wuhan University.</t>
  </si>
  <si>
    <t>e2020JD034275</t>
  </si>
  <si>
    <t>10.1029/2020JD034275</t>
  </si>
  <si>
    <t>WOS:000656152800016</t>
  </si>
  <si>
    <t>Terpstra, A; Gorodetskaya, IV; Sodemann, H</t>
  </si>
  <si>
    <t>Terpstra, Annick; Gorodetskaya, Irina, V; Sodemann, Harald</t>
  </si>
  <si>
    <t>Linking Sub-Tropical Evaporation and Extreme Precipitation Over East Antarctica: An Atmospheric River Case Study</t>
  </si>
  <si>
    <t>EXTRATROPICAL CYCLONES; LAGRANGIAN ANALYSIS; WATER ISOTOPES; MOISTURE; SNOWFALL; CLIMATE; BLOCKING; STATION; SURFACE; BUDGET</t>
  </si>
  <si>
    <t>We investigate an intense snowfall event between 15 and 18 February 2011 over the East Antarctic coastal region which contributed to roughly 24% of the annual snow accumulation. The event was previously associated with an atmospheric river, and here we use both Eulerian and Lagrangian analysis to gain an understanding of the processes contributing to the atmospheric river signature. The planetary-scale configuration during the event consisted of a persistent blocking situation resulting in a sustained meridional flow from the sub-tropics to the Antarctic ice sheet between 20 and 50 degrees E. Within this configuration, synoptic-scale cyclogenesis contributed to slantwise ascent of moisture loaded air parcels toward Antarctica. Landfall of this cyclone's warm sector coincided with the onset of Antarctic precipitation. Subsequently, a secondary cyclone developed along a pre-existing baroclinic zone. The rapid intensification and propagation speed of this mesoscale cyclone alongside the warm, moist air mass resulted in strong moisture flux convergence ahead of the cyclone, providing additional poleward moisture transport. The poleward progression of warm moist air and a corresponding decrease of sea-surface temperatures implied downward surface sensible and latent heat fluxes throughout the region of intense poleward moisture, roughly between 40 and 60 degrees S. Hence, moisture uptake via surface evaporation was suppressed between the sub-tropics and the polar continent, favoring long-range transport. Identification of the surface moisture uptake region by tracing changes in moisture in air parcels confirmed the limited uptake of moisture during the poleward transport in this case study, with the primary moisture source for Antarctic precipitation located in the sub-tropics.</t>
  </si>
  <si>
    <t>[Terpstra, Annick; Sodemann, Harald] Univ Bergen, Norway &amp; Bjerkness Ctr Climate Res, Geophys Inst, Bergen, Norway; [Terpstra, Annick; Gorodetskaya, Irina, V] Univ Aveiro, CESAM Ctr Environm &amp; Marine Studies, Dept Phys, Aveiro, Portugal</t>
  </si>
  <si>
    <t>University of Bergen; Universidade de Aveiro</t>
  </si>
  <si>
    <t>Terpstra, A (corresponding author), Univ Bergen, Norway &amp; Bjerkness Ctr Climate Res, Geophys Inst, Bergen, Norway.;Terpstra, A (corresponding author), Univ Aveiro, CESAM Ctr Environm &amp; Marine Studies, Dept Phys, Aveiro, Portugal.</t>
  </si>
  <si>
    <t>annick.terpstra@uib.no</t>
  </si>
  <si>
    <t>Gorodetskaya, Irina/K-1987-2015</t>
  </si>
  <si>
    <t>Gorodetskaya, Irina/0000-0002-2294-7823; Sodemann, Harald/0000-0002-8167-0860</t>
  </si>
  <si>
    <t>Research Council of Norway [262110]; European Union [608695]; Portuguese national funding agency for science, research and technology [BPD/CESAM/0080/UID/AMB/50017]; CESAM [UID/AMB/50017/2016 - POCI-01-145-FEDER-007638]; FCT/MEC; FEDER, within the PT2020 Partnership Agreement; FCT/MCTES [UIDP/50017/2020+UIDB/50017/2020]; project ATLACE [CIRCNA/CAC/0273/2019]; FRINATEK program of the Norwegian Research Council as part of the project SNOWPACE [262710]; Compete 2020</t>
  </si>
  <si>
    <t>Research Council of Norway(Research Council of Norway); European Union(European Union (EU)); Portuguese national funding agency for science, research and technology(Fundacao para a Ciencia e a Tecnologia (FCT)); CESAM; FCT/MEC(Fundacao para a Ciencia e a Tecnologia (FCT)); FEDER, within the PT2020 Partnership Agreement(Marie Curie Actions); FCT/MCTES(Fundacao para a Ciencia e a Tecnologia (FCT)); project ATLACE; FRINATEK program of the Norwegian Research Council as part of the project SNOWPACE; Compete 2020</t>
  </si>
  <si>
    <t>AT is partly supported by the Research Council of Norway as part of the project DYNAMISM (262110), by the European Union's Seventh Framework Programme for research, technological development, and demonstration under the Marie Curie Grant Agreement 608695, and by the Portuguese national funding agency for science, research and technology via grant: BPD/CESAM/0080/UID/AMB/50017. IG acknowledges financial support from CESAM (UID/AMB/50017/2016 - POCI-01-145-FEDER-007638), FCT/MEC through national funds, co-funding by the FEDER, within the PT2020 Partnership Agreement and Compete 2020; FCT/MCTES (UIDP/50017/2020+UIDB/50017/2020), and project ATLACE (CIRCNA/CAC/0273/2019) through national funds. HS acknowledges funding through the FRINATEK program of the Norwegian Research Council as part of the project SNOWPACE (262710). Irina V. Gorodetskaya conceived and initiated this work. Annick Terpstra conduced the analysis and manuscript preparation with contributions from all authors.</t>
  </si>
  <si>
    <t>e2020JD033617</t>
  </si>
  <si>
    <t>10.1029/2020JD033617</t>
  </si>
  <si>
    <t>WOS:000656152800026</t>
  </si>
  <si>
    <t>Spreitzer, SK; Walters, JB; Cruz-Uribe, A; Williams, ML; Yates, MG; Jercinovic, MJ; Grew, ES; Carson, CJ</t>
  </si>
  <si>
    <t>Spreitzer, Steven K.; Walters, Jesse B.; Cruz-Uribe, Alicia; Williams, Michael L.; Yates, Martin G.; Jercinovic, Michael J.; Grew, Edward S.; Carson, Christopher J.</t>
  </si>
  <si>
    <t>Monazite petrochronology of polymetamorphic granulite-facies rocks of the Larsemann Hills, Prydz Bay, East Antarctica</t>
  </si>
  <si>
    <t>JOURNAL OF METAMORPHIC GEOLOGY</t>
  </si>
  <si>
    <t>anatectic pegmatites; monazite; petrochronology; Prydz Bay; pseudosection modelling</t>
  </si>
  <si>
    <t>PHASE-EQUILIBRIA; SM-ND; GEOLOGICAL RELATIONSHIPS; BRATTSTRAND BLUFFS; REACTION TEXTURES; MAFIC GRANULITES; SOSTRENE ISLAND; METAMORPHISM; CONSTRAINTS; REGION</t>
  </si>
  <si>
    <t>The Prydz Bay coast, including the Larsemann Hills, features relatively extensive bedrock exposures of interest because of the proximity to a hypothesized suture associated with Gondwana assembly. Critical units are the basement Sostrene Orthogneiss (1,126 +/- 11 Ma protolith) and cover Brattstrand Paragneiss (maximum depositional age 1,023 +/- 19 Ma). The two units share a polymetamorphic history with events at similar to 900 Ma (D-1) and similar to 530 Ma (D2-4). Here we present electron microprobe dates of monazite growth zones and Perple_X pseudosection models of granulite-facies rocks from the Sostrene Orthogneiss, Brattstrand Paragneiss, and D2-4 pegmatites of the Larsemann Hills. We propose a scenario for Cambrian metamorphism involving a peak stage at 6-7.5 kbar and 800-860 degrees C (D-2 convergence), melt crystallization and garnet breakdown during decompression to early retrograde conditions of 3-4.5 kbar and 700-750 degrees C (D-2 convergence, D-3 extension), and a late retrograde stage with decompression and cooling to 3-3.5 kbar and 550-650 degrees C (D-4). We combine monazite chemistry with phase assemblages predicted by pseudosection modelling to link specific monazite growth domains to individual tectonic stages. Monazite domains containing moderate Th and low to moderate Y are interpreted to be preserved from the prograde path when garnet was stable, and constrain the timing of prograde metamorphism at 536 +/- 4 Ma. High-Th, low-Y domains, dated at 527 +/- 2 Ma, represent the earliest stages of post-peak melt crystallization. Monazite domains with elevated Y and low-moderate Th are interpreted to represent monazite growth during garnet breakdown at 514 +/- 2 Ma. Our monazite ages, combined with published biotite Ar-Ar cooling ages, yield a two-stage history of cooling at 3-8 degrees C/Myr from similar to 530 Ma to similar to 510 Ma followed by cooling at 18-25 degrees C/Myr from similar to 510 Ma to similar to 490 Ma, corresponding to 0.2-0.6 mm/yr of exhumation. This duration of granulite-facies metamorphism in the Larsemann Hills is consistent with estimates for Precambrian granulite facies metamorphic complexes elsewhere.</t>
  </si>
  <si>
    <t>[Spreitzer, Steven K.; Walters, Jesse B.; Cruz-Uribe, Alicia; Yates, Martin G.; Grew, Edward S.] Univ Maine, Sch Earth &amp; Climate Sci, 5790 Bryand Global Sci Ctr, Orono, ME 04469 USA; [Williams, Michael L.; Jercinovic, Michael J.] Univ Massachusetts, Dept Geosci, Amherst, MA 01003 USA; [Carson, Christopher J.] Geosci Australia, Canberra, ACT, Australia</t>
  </si>
  <si>
    <t>University of Maine System; University of Maine Orono; University of Massachusetts System; University of Massachusetts Amherst; Geoscience Australia</t>
  </si>
  <si>
    <t>Cruz-Uribe, A (corresponding author), Univ Maine, Sch Earth &amp; Climate Sci, 5790 Bryand Global Sci Ctr, Orono, ME 04469 USA.</t>
  </si>
  <si>
    <t>alicia.cruzuribe@maine.edu</t>
  </si>
  <si>
    <t>Carson, Christopher J. J/M-8795-2014</t>
  </si>
  <si>
    <t>Cruz-Uribe, Alicia/0000-0001-7270-0573; Jercinovic, Michael/0000-0001-5917-9509; Walters, Jesse/0000-0002-1275-8826</t>
  </si>
  <si>
    <t>Office of Polar Programs [0228842]; Australian Antarctic Division [2350]; Office of Polar Programs (OPP); Directorate For Geosciences [0228842] Funding Source: National Science Foundation</t>
  </si>
  <si>
    <t>Office of Polar Programs(National Science Foundation (NSF)NSF - Directorate for Geosciences (GEO)); Australian Antarctic Division; Office of Polar Programs (OPP); Directorate For Geosciences(National Science Foundation (NSF)NSF - Directorate for Geosciences (GEO))</t>
  </si>
  <si>
    <t>Office of Polar Programs, Grant/Award Number: 0228842; Australian Antarctic Division, Grant/Award Number: 2350</t>
  </si>
  <si>
    <t>0263-4929</t>
  </si>
  <si>
    <t>1525-1314</t>
  </si>
  <si>
    <t>J METAMORPH GEOL</t>
  </si>
  <si>
    <t>J. Metamorph. Geol.</t>
  </si>
  <si>
    <t>10.1111/jmg.12607</t>
  </si>
  <si>
    <t>WR7GN</t>
  </si>
  <si>
    <t>WOS:000650940000001</t>
  </si>
  <si>
    <t>Bastias, J; Spikings, R; Riley, T; Ulianov, A; Grunow, A; Chiaradia, M; Hervé, F</t>
  </si>
  <si>
    <t>Bastias, Joaquin; Spikings, Richard; Riley, Teal; Ulianov, Alexey; Grunow, Anne; Chiaradia, Massimo; Herve, Francisco</t>
  </si>
  <si>
    <t>Data on the arc magmatism developed in the Antarctic Peninsula and Patagonia during the Late Triassic-Jurassic: A compilation of new and previous geochronology, geochemistry and isotopic tracing results</t>
  </si>
  <si>
    <t>Gondwana; West Antarctica; Arc magmatism; Flat-slab; Andes; Tectonics</t>
  </si>
  <si>
    <t>RARE-EARTH-ELEMENTS; ZIRCON U-PB; LU-HF; WESTERN CORDILLERA; MANTLE PLUME; PALMER LAND; BREAK-UP; GONDWANA; CONSTRAINTS; STANDARDS</t>
  </si>
  <si>
    <t>We present the results of U-Pb zircon dating conducted using laser ablation-inductively coupled plasma mass spectrometry (LA-ICP-MS), isotopic tracing analyses of Hf in zircon and Sr-Nd in whole-rock and whole-rock major oxides, and trace element abundances of 12 plutonic and volcanic rocks present on the Antarctic Peninsula. The dataset is presented in combination with the results of previous studies conducted in both Patagonia and the Antarctic Peninsula. These results were filtered for concordant Pb-206-U-238 zircon ages and topology of the 40Ar/39Ar age spectra. These results may be useful for researchers studying the geological evolution of southern Gondwana, West Antarctica or Patagonia. The interpretation of this dataset is found in the co-submitted paper by Bastias, et al. (2021a) titled A revised interpretation of the Chon Aike magmatic province: active margin origin and implications for the opening of the Weddell Sea. (C) 2021 The Author(s). Published by Elsevier Inc. This is an open access article under the CC BY-NC-ND license (http://creativecommons.org/licenses/by-nc-nd/4.0/)</t>
  </si>
  <si>
    <t>[Bastias, Joaquin; Spikings, Richard; Chiaradia, Massimo] Univ Geneva, Dept Earth Sci, CH-1205 Geneva, Switzerland; [Bastias, Joaquin] Univ Santo Tomas, Fac Ingn, Escuela Geol, Ejercito 146, Santiago, Chile; [Riley, Teal] British Antarctic Survey, Madingley Rd, Cambridge CB3 0ET, England; [Ulianov, Alexey] Univ Lausanne, Inst Earth Sci, CH-1015 Lausanne, Switzerland; [Grunow, Anne] Ohio State Univ, Byrd Polar Res Ctr, 108 Scott Hall,1090 Carmack Rd, Columbus, OH 43210 USA; [Herve, Francisco] Univ Andres Bello, Fac Ingn, Carrera Geol, Santiago 8370106, Chile; [Herve, Francisco] Univ Chile, Dept Geol, Santiago 8370450, Chile</t>
  </si>
  <si>
    <t>University of Geneva; Universidad Santo Tomas; UK Research &amp; Innovation (UKRI); Natural Environment Research Council (NERC); NERC British Antarctic Survey; University of Lausanne; University System of Ohio; Ohio State University; Universidad Andres Bello; Universidad de Chile</t>
  </si>
  <si>
    <t>Bastias, J (corresponding author), Univ Geneva, Dept Earth Sci, CH-1205 Geneva, Switzerland.;Bastias, J (corresponding author), Univ Santo Tomas, Fac Ingn, Escuela Geol, Ejercito 146, Santiago, Chile.</t>
  </si>
  <si>
    <t>joaquin.bastias@unige.ch</t>
  </si>
  <si>
    <t>Bastias, Joaquin/A-6995-2016; Herve, Francisco/HDO-6628-2022</t>
  </si>
  <si>
    <t>Bastias, Joaquin/0000-0001-6678-3173; Riley, Teal/0000-0002-3333-5021</t>
  </si>
  <si>
    <t>National Science Foundation [OPP-1643713]; Chilean Antarctic Institute Project [RT06-14]; University of Geneva; CONICYT-Chile</t>
  </si>
  <si>
    <t>National Science Foundation(National Science Foundation (NSF)); Chilean Antarctic Institute Project; University of Geneva; CONICYT-Chile(Comision Nacional de Investigacion Cientifica y Tecnologica (CONICYT))</t>
  </si>
  <si>
    <t>The authors are grateful for the extensive logistical support provided by the Instituto Antartico Chileno (INACH) during two field campaigns to the Antarctic Peninsula. This manuscript is based on rocks provided by the British Antarctic Survey and the Polar Rock Repository with support from the National Science Foundation, under Cooperative Agreement OPP1643713. Support was provided by the staff and laboratories of the Isotope Geochemistry Group of the University of Geneva. This Project was funded by the Chilean Antarctic Institute Project RT06-14 and the University of Geneva. J.B. holds a PhDscholarship from CONICYT-Chile.</t>
  </si>
  <si>
    <t>10.1016/j.dib.2021.107042</t>
  </si>
  <si>
    <t>TD0TP</t>
  </si>
  <si>
    <t>WOS:000669049600007</t>
  </si>
  <si>
    <t>Venning, KRW; Saltré, F; Bradshaw, CJA</t>
  </si>
  <si>
    <t>Venning, Kathryn R. W.; Saltre, Frederik; Bradshaw, Corey J. A.</t>
  </si>
  <si>
    <t>Predicting targets and costs for feral-cat reduction on large islands using stochastic population models</t>
  </si>
  <si>
    <t>culling model; eradication costs; feral cats; invasive species; Kangaroo Island; Leslie matrix; matrix population model</t>
  </si>
  <si>
    <t>TRAP-NEUTER-RETURN; ANTARCTIC MARION-ISLAND; FELIS-CATUS; KANGAROO ISLAND; ERADICATION; MANAGEMENT; PROGRAMS; EUTHANASIA; PREDATOR; REPRODUCTION</t>
  </si>
  <si>
    <t>Feral cats are some of the most destructive invasive predators worldwide, particularly in insular environments; hence, density-reduction campaigns are often applied to alleviate the predation mortality they add to native fauna. Density-reduction and eradication efforts are costly procedures with important outcomes for native fauna recovery, so they require adequate planning to be successful. These plans should include empirical density-reduction models that can guide yearly culling quotas, and resource roll-out for the duration of the culling period. This ensures densities are reduced over the long term and that resources are not wasted. We constructed a stochastic population model with cost estimates to test the relative effectiveness and cost-efficiency of two main culling scenarios for a 10-year eradication campaign of cats on Kangaroo Island, Australia: (a) constant proportional annual cull (one-phase), and (b) high initial culling followed by a constant proportional maintenance cull (two-phase). A one-phase cull of at least 0.35 of the annual population size would reduce the final population to 0.1 of its original size, while a two-phase cull with an initial cull of minimum 0.6 and minimum 0.5 maintenance cull would reduce the final population to 0.01 of its initial size within the 10-year time frame. Cost estimates varied widely depending on the methods applied (shooting, trapping, aerial poison baits, Felixer (TM) poison-delivery system), but using baiting, trapping and Felixers with additional shooting to meet culling quotas was the most cost-effective combination (minimum cost: AU$19.56 million; range: AU$16.87 million-AU$20.69 million). Our model provides an adaptable and general assessment tool for cat reductions in Australia and potentially elsewhere, and provides relative culling costs for the Kangaroo Island campaign specifically.</t>
  </si>
  <si>
    <t>[Venning, Kathryn R. W.; Saltre, Frederik; Bradshaw, Corey J. A.] Flinders Univ S Australia, Global Ecol Partuyarta Ngadluku Wardli, Coll Sci &amp; Engn, Tarndanya Adelaide, SA, Australia</t>
  </si>
  <si>
    <t>Flinders University South Australia</t>
  </si>
  <si>
    <t>Venning, KRW (corresponding author), Flinders Univ S Australia, Coll Sci &amp; Engn, Global Ecol, GPO Box 2100, Adelaide, SA 5001, Australia.</t>
  </si>
  <si>
    <t>kathryn.venning@flinders.edu.au</t>
  </si>
  <si>
    <t>Bradshaw, Corey J. A./A-1311-2008; Saltré, Frédérik/I-4961-2012</t>
  </si>
  <si>
    <t>Bradshaw, Corey J. A./0000-0002-5328-7741; Saltré, Frédérik/0000-0002-5040-3911; Venning, Kathryn/0000-0003-4374-3974</t>
  </si>
  <si>
    <t>e448</t>
  </si>
  <si>
    <t>10.1111/csp2.448</t>
  </si>
  <si>
    <t>TT0WJ</t>
  </si>
  <si>
    <t>WOS:000650720300001</t>
  </si>
  <si>
    <t>Ray, C; Glein, CR; Waite, JH; Teolis, B; Hoehler, T; Huber, JA; Lunine, J; Postberg, F</t>
  </si>
  <si>
    <t>Ray, Christine; Glein, Christopher R.; Waite, J. Hunter; Teolis, Ben; Hoehler, Tori; Huber, Julie A.; Lunine, Jonathan; Postberg, Frank</t>
  </si>
  <si>
    <t>Oxidation processes diversify the metabolic menu on Enceladus</t>
  </si>
  <si>
    <t>ICARUS</t>
  </si>
  <si>
    <t>Enceladus; Oxidants; Metabolism</t>
  </si>
  <si>
    <t>HYDROGEN-PEROXIDE; ENERGY-REQUIREMENTS; METHANE OXIDATION; PLUME; WATER; H2O2; LIFE; H-2; CONSTRAINTS; TEMPERATURE</t>
  </si>
  <si>
    <t>The Cassini mission to the Saturn system discovered a plume of ice grains and water vapor erupting from cracks on the icy surface of the satellite Enceladus. This moon has a global ocean in contact with a rocky core beneath its icy exterior, making it a promising location to search for evidence of extraterrestrial life in the solar system. The previous detection of molecular hydrogen (H-2) in the plume indicates that there is free energy available for methanogenesis, the metabolic reaction of H-2 with CO2 to form methane and water. Additional metabolic pathways could also provide sources of energy in Enceladus' ocean, but they require the use of other oxidants that have not been detected in the plume. Here, we perform chemical modeling to determine how the production of radiolytic O-2 and H2O2, and abiotic redox chemistry in the ocean and rocky core, contribute to chemical disequilibria that could support metabolic processes in Enceladus' ocean. We consider three possible cases for ocean redox chemistry: Case I in which reductants are not present in appreciable amounts and O-2 and H2O2 accumulate over time, and Cases II and III in which aqueous reductants or seafloor minerals, respectively, convert O-2 and H2O2 in the ocean to SO42- and ferric oxyhydroxides. We calculate the upper limits on the concentrations of oxidants and on the chemical energy available for metabolic reactions in all three cases, neglecting any additional abiotic reactions which could further affect energy availability. For all three cases, we find that many aerobic and anaerobic metabolic reactions used by microbes on Earth could meet the minimum free energy threshold, Delta G(min), required for terrestrial life to convert ADP to ATP. We show that aerobic metabolisms could sustain up to similar to 1 cell cm(-3) within a 20 m depth across Enceladus' seafloor, even in our second case where O-2 and H2O2 are scarce. Additionally, anaerobic metabolisms could sustain up to similar to 1 cell for every two cm(-3) within this volume in our latter two cases. In contrast, methanogenesis could support up to 6 x 10(2) cells cm(-3) throughout this depth, due to the potential for a high hydrogen production rate at the seafloor as indicated by H-2 measurements from Enceladus' plume. While methanogenesis is the only metabolism that predicts cell density values close to those reported in Earth's oceans and Antarctic subglacial lakes at this depth, our reported values depend on the area considered to be inhabited, which could be smaller than the entire Enceladus seafloor. Overall, the capacity for aerobic and anaerobic metabolisms to meet or exceed Delta G(min) as well as sustain positive cell density values indicate that oxidant production and oxidation chemistry could contribute to supporting possible life and a metabolically diverse microbial community on Enceladus.</t>
  </si>
  <si>
    <t>[Ray, Christine; Waite, J. Hunter; Teolis, Ben] Univ Texas San Antonio, Dept Phys &amp; Astron, San Antonio, TX 78285 USA; [Ray, Christine; Glein, Christopher R.; Waite, J. Hunter; Teolis, Ben] Southwest Res Inst, Space Sci &amp; Engn Div, San Antonio, TX USA; [Hoehler, Tori] NASA, Ames Res Ctr, Moffett Field, CA 94035 USA; [Huber, Julie A.] Woods Hole Oceanog Inst, Marine Chem &amp; Geochem, Woods Hole, MA 02543 USA; [Lunine, Jonathan] Cornell Univ, Dept Astron, Ithaca, NY 14853 USA; [Lunine, Jonathan] Cornell Univ, Carl Sagan Inst, Ithaca, NY 14853 USA; [Postberg, Frank] Free Univ Berlin, Inst Geolog Wissensch, Berlin, Germany</t>
  </si>
  <si>
    <t>University of Texas System; University of Texas at San Antonio (UTSA); Southwest Research Institute; National Aeronautics &amp; Space Administration (NASA); NASA Ames Research Center; Woods Hole Oceanographic Institution; Cornell University; Cornell University; Free University of Berlin</t>
  </si>
  <si>
    <t>Ray, C (corresponding author), Univ Texas San Antonio, Dept Phys &amp; Astron, San Antonio, TX 78285 USA.</t>
  </si>
  <si>
    <t>christine.ray@contractor.swri.org</t>
  </si>
  <si>
    <t>Lunine, Jonathan/0000-0003-2279-4131; Huber, Julie/0000-0002-4790-7633</t>
  </si>
  <si>
    <t>Cassini INMS from NASA JPL, USA [NAS703001TONMO711123, 1405853]; NASA Astrobiology Institute, USA; NASA's Planetary Science Division Research Program; European Research Council (ERC) [724908-Habitat OASIS]; NSF Center for Dark Energy Biosphere Investigations, USA [C-DEBI OCE-0939564]; NASA ICEE2, USA [80NSSC19K0611]; Cassini Project</t>
  </si>
  <si>
    <t>Cassini INMS from NASA JPL, USA; NASA Astrobiology Institute, USA; NASA's Planetary Science Division Research Program; European Research Council (ERC)(European Research Council (ERC)Spanish Government); NSF Center for Dark Energy Biosphere Investigations, USA; NASA ICEE2, USA; Cassini Project</t>
  </si>
  <si>
    <t>This work was supported by the Cassini INMS subcontract from NASA JPL, USA (NASA contract NAS703001TONMO711123, JPL subcontract 1405853) and the Cassini Project; C.R.G. was also supported by the NASA Astrobiology Institute, USA. Support for T.M.H. was provided by NASA's Planetary Science Division Research Program. The work of F.P. was supported by the European Research Council (ERC Consolidator Grant 724908-Habitat OASIS). The NSF Center for Dark Energy Biosphere Investigations, USA (C-DEBI OCE-0939564) and NASA ICEE2, USA grant 80NSSC19K0611 supported the participation of J.A.H.</t>
  </si>
  <si>
    <t>0019-1035</t>
  </si>
  <si>
    <t>1090-2643</t>
  </si>
  <si>
    <t>Icarus</t>
  </si>
  <si>
    <t>10.1016/j.icarus.2020.114248</t>
  </si>
  <si>
    <t>SE4QM</t>
  </si>
  <si>
    <t>WOS:000652057800001</t>
  </si>
  <si>
    <t>First record of the amphibamiform Micropholis stowi from the lower Fremouw Formation (Lower Triassic) of Antarctica</t>
  </si>
  <si>
    <t>LYDEKKERINA-HUXLEYI TETRAPODA; FACULTATIVE PEDOMORPHOSIS; ASSEMBLAGE ZONE; BEAUFORT GROUP; TEMNOSPONDYLI DISSOROPHOIDEA; EVOLUTION; AMPHIBIANS; ORIGIN; PHYLOGENY; INTERRELATIONSHIPS</t>
  </si>
  <si>
    <t>The fossil record of temnospondyl amphibians in the immediate wake of the Permo-Triassic mass extinction captures extensive taxic and ecological diversity, with most records known from high paleolatitudinal settings. In southern Pangea, the most substantial records come from South Africa and Australia, with a total of over 20 taxa presently recognized. Temnospondyls have also been known from correlated horizons in the lower Fremouw Formation of Antarctica since the late 1960s, but these records are mostly fragmentary, thereby limiting taxonomic resolution to the family level and subsequent biostratigraphic correlations and comparisons between high-latitude basins. Here we report substantial new material of the amphibamiform Micropholis stowi, a relic dissorophoid previously known only from the Katberg Formation (Lystrosaurus declivis Assemblage Zone) of South Africa, from the lower Fremouw Formation. The exceptional preservation of the recently recovered material permits not only confident taxonomic referral but also tentative association of several individuals to the broad-headed morph of the taxon. The recognition of M. stowi in Antarctica represents only the fourth geographic occurrence of a dissorophoid from southern Pangea and supports the hypothesis that high-latitude environments served as refugia for temnospondyls during the mass extinction. In the case of M. stowi, such refugia permitted the persistence of a predominantly Permo-Carboniferous clade, and the Antarctic records discussed here further hint at a poorly sampled cryptic distribution, both of amphibamiforms in southern Pangea and of small-bodied temnospondyls in early Mesozoic deposits.</t>
  </si>
  <si>
    <t>[Gee, Bryan M.; Sidor, Christian A.] Univ Washington, Burke Museum, Seattle, WA 98195 USA; [Gee, Bryan M.; Sidor, Christian A.] Univ Washington, Dept Biol, Seattle, WA 98195 USA</t>
  </si>
  <si>
    <t>Gee, BM (corresponding author), Univ Washington, Burke Museum, Seattle, WA 98195 USA.;Gee, BM (corresponding author), Univ Washington, Dept Biol, Seattle, WA 98195 USA.</t>
  </si>
  <si>
    <t>NSF [ANT-1947094]; National Science Foundation through the U.S. Antarctic Program</t>
  </si>
  <si>
    <t>Fieldwork resulting in the recovery of the specimen described here was supported by NSF ANT-1341304, with additional research and analysis supported by NSF ANT-1947094. We thank R. Masek for his excellent preparation and C. Shin for her illustration in. Logistical support in Antarctica was provided by the National Science Foundation through the U.S. Antarctic Program. We acknowledge the 2017-18 Shackleton Glacier team (P. Braddock, P. Makovicky, J. McIntosh, A. Shinya, N. Smith, R. Smith, N. Tabor, M. Whitney, and C. Wooley) and field camp support staff for their assistance and contributions. Thanks to the two reviewers, the technical editor (J. Harris), and the handling editor (J. Frobisch) for constructive comments that improved this manuscript.</t>
  </si>
  <si>
    <t>JAN 2</t>
  </si>
  <si>
    <t>10.1080/02724634.2021.1904251</t>
  </si>
  <si>
    <t>UQ4DN</t>
  </si>
  <si>
    <t>WOS:000653002200001</t>
  </si>
  <si>
    <t>Polyakova, YI; Kryukova, IM; Martynov, FM; Novikhin, AE; Abramova, EN; Kassens, H; Hölemann, J</t>
  </si>
  <si>
    <t>Polyakova, Ye, I; Kryukova, I. M.; Martynov, F. M.; Novikhin, A. E.; Abramova, E. N.; Kassens, H.; Holemann, J.</t>
  </si>
  <si>
    <t>Community structure and spatial distribution of phytoplankton in relation to hydrography in the Laptev Sea and the East Siberian Sea (autumn 2008)</t>
  </si>
  <si>
    <t>Laptev Sea; East Siberian Sea; Phytoplankton; Diatoms; Dinoflagellates</t>
  </si>
  <si>
    <t>ARCTIC-OCEAN; ORGANIC-CARBON; LENA RIVER; VARIABILITY; FLUXES; PRODUCTIVITY; CHLOROPHYLL; NUTRIENTS; SINKING; DIATOM</t>
  </si>
  <si>
    <t>The Laptev Sea and the East Siberian Sea are remote areas of the Arctic region where detailed data on phytoplankton composition and spatial distribution remain limited. In the context of the ongoing environmental changes (increasing warming and ice melting) and prospective exploration activities (oil and gas production) on the Arctic shelves, understanding of the seasonal and interannual phytoplankton community dynamics is of critical importance. Our study provides new specifying data on species composition of phytoplankton over the vast area of the Laptev Sea shelf and the East Siberian Sea shelf. We found that the outer shelf of the Laptev and East Siberian seas was characterized by typical late spring diatom species (Chaetoceros furcellatus, Chaetoceros diadema, Chaetoceros debilis, Chaetoceros constrictus). On the inner shelf of the Laptev Sea, which is strongly affected by the Lena River water masses, the phytoplankton were characterized by the transition from the summer to an autumn stage of development. Local algal assemblages were composed by mixo- and heterotrophic dinoflagellates (Dinophysis and Protoperidinium genera) together with marine and brackish water-marine diatoms (Thalassiosira hyperborea, Thalassiosira baltica, Thalassiosira gravida, Thalassiosira nordenskioeldii) accompanied by sporadically occurring freshwater riverine planktonic diatom species (Aulacoseira granulata, Aulacoseira italica, Asterionella formosa). These variations in species composition over the Laptev Sea shelf were attributed to differences in the hydrography, marine chemical conditions, and the sea-ice regime.</t>
  </si>
  <si>
    <t>[Polyakova, Ye, I] Lomonosov Moscow State Univ, Geog Fac, GSP 1, Moscow 119991, Russia; [Kryukova, I. M.] Russian Acad Sci, PP Shirshov Inst Oceanol, Nakhimovskiy Pr 36, Moscow 117997, Russia; [Martynov, F. M.; Novikhin, A. E.] Arctic &amp; Antarctic Sci Res Inst, Bering St 38, St Petersburg 199397, Russia; [Abramova, E. N.] Lena Delta Nat State Reserve, Tiksi 678400, Yakutia, Russia; [Kassens, H.] GEOMAR Helmholtz Ctr Ocean Res Kiel, Wischhofstr 1-3, D-24148 Kiel, Germany; [Holemann, J.] Alfred Wegener Inst Polar &amp; Marine Res AWI, Klussmannstr 3d, D-27570 Bremerhaven, Germany</t>
  </si>
  <si>
    <t>Lomonosov Moscow State University; Russian Academy of Sciences; Shirshov Institute of Oceanology; Helmholtz Association; GEOMAR Helmholtz Center for Ocean Research Kiel; Helmholtz Association; Alfred Wegener Institute, Helmholtz Centre for Polar &amp; Marine Research</t>
  </si>
  <si>
    <t>Polyakova, YI (corresponding author), Lomonosov Moscow State Univ, Geog Fac, GSP 1, Moscow 119991, Russia.</t>
  </si>
  <si>
    <t>ye.polyakova@mail.ru</t>
  </si>
  <si>
    <t>Hoelemann, Jens/N-3608-2016</t>
  </si>
  <si>
    <t>Hoelemann, Jens/0000-0001-5102-4086</t>
  </si>
  <si>
    <t>German Federal Ministry of Education and Research [BMBF 03G0833]; Ministry of Education and Science of the Russian Federation; Ministry of Science and High Education, Russia [0149-2019-0007]</t>
  </si>
  <si>
    <t>German Federal Ministry of Education and Research(Federal Ministry of Education &amp; Research (BMBF)); Ministry of Education and Science of the Russian Federation(Ministry of Education and Science, Russian Federation); Ministry of Science and High Education, Russia</t>
  </si>
  <si>
    <t>This work was carried out as part of the German-Russian cooperation Laptev Sea System, funded by German Federal Ministry of Education and Research (Grant BMBF 03G0833) and the Ministry of Education and Science of the Russian Federation. This research was carried out in the framework of the State Assignment of Ministry of Science and High Education, Russia (Theme No. 0149-2019-0007 and Paleogeographic reconstructions of natural geosystems and forecasting of their changes).</t>
  </si>
  <si>
    <t>10.1007/s00300-021-02873-w</t>
  </si>
  <si>
    <t>WOS:000650811200001</t>
  </si>
  <si>
    <t>Hay, B</t>
  </si>
  <si>
    <t>Hay, Bill</t>
  </si>
  <si>
    <t>MAY 15</t>
  </si>
  <si>
    <t>SE1MG</t>
  </si>
  <si>
    <t>WOS:000651838600042</t>
  </si>
  <si>
    <t>Villamayor, J; Khodri, M; Villalba, R; Daux, V</t>
  </si>
  <si>
    <t>Villamayor, Julian; Khodri, Myriam; Villalba, Ricardo; Daux, Valerie</t>
  </si>
  <si>
    <t>Causes of the long-term variability of southwestern South America precipitation in the IPSL-CM6A-LR model</t>
  </si>
  <si>
    <t>Subtropical Andes drying trend; Hadley Cell expansion; Decadal variability; External forcing; CMIP6; Detection and attribution; Future scenarios</t>
  </si>
  <si>
    <t>HADLEY CIRCULATION; HYDROLOGICAL CYCLE; CENTRAL CHILE; EXTRATROPICAL CIRCULATION; ANTARCTIC OSCILLATION; RAINFALL VARIABILITY; POLEWARD EXPANSION; ANNULAR MODES; PACIFIC; REANALYSIS</t>
  </si>
  <si>
    <t>Southwestern South America (SWSA) has undergone frequent and persistent droughts in recent decades with severe impacts on water resources, and consequently, on socio-economic activities at a sub-continental scale. The local drying trend in this region has been associated with the expansion of the subtropical drylands over the last decades. It has been shown that SWSA precipitation is linked to large-scale dynamics modulated by internal climate variability and external forcing. This work aims at unravelling the causes of this long-term trend toward dryness in the context of the emerging climate change relying on a large set simulations of the state-of-the-art IPSL-CM6A-LR climate model from the 6th phase of the Coupled Model Intercomparison Project. Our results identify the leading role of dynamical changes induced by external forcings, over the local thermodynamical effects and teleconnections with internal global modes of sea surface temperature. Our findings show that the simulated long-term changes of SWSA precipitation are dominated by externally forced anomalous expansion of the Southern Hemisphere Hadley Cell (HC) and a persistent positive Southern Annular Mode (SAM) trend since the late 1970s. Long-term changes in the HC extent and the SAM show strong co-linearity. They are attributable to stratospheric ozone depletion in austral spring-summer and increased atmospheric greenhouse gases all year round. Future ssp585 and ssp126 scenarios project a dominant role of anthropogenic forcings on the HC expansion and the subsequent SWSA drying, exceeding the threshold of extreme drought due to internal variability as soon as the 2040s, and suggest that these effects will persist until the end of the twenty-first century.</t>
  </si>
  <si>
    <t>[Villamayor, Julian; Khodri, Myriam] Sorbonne Univ, LOCEAN IPSL, CNRS, IRD,MNHN, 4 Pl Jussieu, F-75005 Paris, France; [Villalba, Ricardo] Consejo Nacl Invest Cient &amp; Tecn, Inst Argentino Nivol Glaciol &amp; Ciencias Ambiental, Mendoza, Argentina; [Daux, Valerie] UVSQ, CEA, Lab Sci Climat &amp; Environm LSCE, CNRS, Gif Sur Yvette, France</t>
  </si>
  <si>
    <t>Centre National de la Recherche Scientifique (CNRS); Sorbonne Universite; Museum National d'Histoire Naturelle (MNHN); Institut de Recherche pour le Developpement (IRD); Consejo Nacional de Investigaciones Cientificas y Tecnicas (CONICET); Universite Paris Saclay; CEA; Centre National de la Recherche Scientifique (CNRS); Universite Paris Cite</t>
  </si>
  <si>
    <t>Villamayor, J (corresponding author), Sorbonne Univ, LOCEAN IPSL, CNRS, IRD,MNHN, 4 Pl Jussieu, F-75005 Paris, France.</t>
  </si>
  <si>
    <t>julian.villamayor@locean.ipsl.fr</t>
  </si>
  <si>
    <t>Villamayor, Julián/AAA-9001-2020; Khodri, Myriam/K-1399-2016</t>
  </si>
  <si>
    <t>Villamayor, Julián/0000-0002-8844-7389; Villalba, Ricardo/0000-0001-8183-0310; Khodri, Myriam/0000-0003-1941-1646</t>
  </si>
  <si>
    <t>BNP-Paribas Foundation; CNRS, Sorbonne Universite; Ecole Polytechnique; CNES</t>
  </si>
  <si>
    <t>BNP-Paribas Foundation; CNRS, Sorbonne Universite; Ecole Polytechnique; CNES(Centre National D'etudes Spatiales)</t>
  </si>
  <si>
    <t>The authors thank editor Dr. Corti and the two anonymous reviewers for their fundamental duty in the publishing process of this paper and their helpful comments. This work was undertaken in the framework of the THEMES project under the BNP-Paribas Foundation grant and the IPSL Climate Graduate School EUR. The CMIP6 project at IPSL used the HPC resources of TGCC under the allocations 2016-A0030107732, 2017-R0040110492 and 2018-R0040110492 (project gencmip6) provided by GENCI (Grand Equipement National de Calcul Intensif). This study benefited from the ESPRI (Ensemble de Services Pour la Recherche l'IPSL) computing and data centre (https://mesocentre.ipsl.fr) which is supported by CNRS, Sorbonne Universite, Ecole Polytechnique and CNES and through national and international grants. Special thanks to Juan Rivera for providing us with observational precipitation data from rain gauges and his helpful comments on the model validation.</t>
  </si>
  <si>
    <t>9-10</t>
  </si>
  <si>
    <t>10.1007/s00382-021-05811-y</t>
  </si>
  <si>
    <t>WI1BB</t>
  </si>
  <si>
    <t>WOS:000650835400003</t>
  </si>
  <si>
    <t>Chen, ZY; Lu, ZB; Gao, Y; Hao, Q; He, JF</t>
  </si>
  <si>
    <t>Chen, Zhiyi; Lu, Zhibo; Gao, Yuan; Hao, Qiang; He, Jianfeng</t>
  </si>
  <si>
    <t>Determination of Bacterioplankton Abundance, Production and Carbon Budget in the Northwest Weddell Sea</t>
  </si>
  <si>
    <t>GEOMICROBIOLOGY JOURNAL</t>
  </si>
  <si>
    <t>Abundance; bacterioplankton; carbon budget; environmental factors; production; Weddell Sea</t>
  </si>
  <si>
    <t>AUSTRAL SUMMER; COMMUNITY STRUCTURE; PHYTOPLANKTON BIOMASS; MICROBIAL COMMUNITIES; BACTERIAL PRODUCTION; SPATIAL-DISTRIBUTION; BRANSFIELD STRAIT; STANDING STOCK; ORGANIC-CARBON; FLOW-CYTOMETRY</t>
  </si>
  <si>
    <t>Bacteria are an essential part of the microbial loops and play key roles in carbon cycling. To understand their ecological contributions in polar regions, they were measured in the northwest Weddell Sea during the 32nd Chinese National Antarctic Research Expedition in the austral summer of 2016. The results showed a range of bacterial abundance from 0.20 to 3.34 x 10(8) cells/L with an average of 1.03 x 10(8) cells/dm(3). Bacterial production varied between 0.06 and 2.42 mg C/(m(3) d) with an average of 0.44 mg C/(m(3) d). Bacterial carbon budgets were unevenly distributed in the northwest Weddle Sea, and surpluses appeared in the autotrophic area such as Weddell Surface Water and Transitional Zonal Water with Weddell Sea influence (TWW), and deficits in the Weddell-Scotia Confluence (heterotrophic area). A t-test result suggested that the unbalanced bacterial carbon budgets were mainly caused by distributions of Chl a. Bacterial abundance was uncorrelated with environmental and biological factors in the autotrophic region. At the same time, production was positively correlated with temperature and Chl a. In the heterotrophic area, bacterial abundance was positively correlated with temperature. Production was significantly positively correlated with temperature, and Chl a. Bacterial production had a small contribution to the increase of bacterial abundance because of a strong top-down control in the northwest Weddell Sea.</t>
  </si>
  <si>
    <t>[Chen, Zhiyi; Lu, Zhibo] Tongji Univ, Coll Environm Sci &amp; Engn, Shanghai, Peoples R China; [Chen, Zhiyi; Gao, Yuan; He, Jianfeng] Polar Res Inst China, Minist Nat Resources Key Lab Polar Sci, Shanghai 200136, Peoples R China; [Hao, Qiang] Minist Nat Resources, Inst Oceanog 2, Key Lab Marine Ecosyst Dynam, Hangzhou, Peoples R China</t>
  </si>
  <si>
    <t>Tongji University; Polar Research Institute of China; Ministry of Natural Resources of the People's Republic of China</t>
  </si>
  <si>
    <t>He, JF (corresponding author), Polar Res Inst China, Minist Nat Resources Key Lab Polar Sci, Shanghai 200136, Peoples R China.</t>
  </si>
  <si>
    <t>hejianfeng@pric.org.cn</t>
  </si>
  <si>
    <t>ZHIBO, LU/HHS-4083-2022</t>
  </si>
  <si>
    <t>CHEN, ZHIYI/0000-0002-7664-959X</t>
  </si>
  <si>
    <t>National Natural Science Foundation of China [41976230]; Impact and Response of Antarctic Seas to Climate Change [IRASCC-01-02]</t>
  </si>
  <si>
    <t>National Natural Science Foundation of China(National Natural Science Foundation of China (NSFC)); Impact and Response of Antarctic Seas to Climate Change</t>
  </si>
  <si>
    <t>This work was supported by the National Natural Science Foundation of China (NO. 41976230), and Impact and Response of Antarctic Seas to Climate Change (IRASCC-01-02).</t>
  </si>
  <si>
    <t>0149-0451</t>
  </si>
  <si>
    <t>1521-0529</t>
  </si>
  <si>
    <t>GEOMICROBIOL J</t>
  </si>
  <si>
    <t>Geomicrobiol. J.</t>
  </si>
  <si>
    <t>10.1080/01490451.2021.1914783</t>
  </si>
  <si>
    <t>TJ3VS</t>
  </si>
  <si>
    <t>WOS:000652146000001</t>
  </si>
  <si>
    <t>Dowden, B; De Silva, O; Huang, WM; Oldford, D</t>
  </si>
  <si>
    <t>Dowden, Benjamin; De Silva, Oscar; Huang, Weimin; Oldford, Dan</t>
  </si>
  <si>
    <t>Sea Ice Classification via Deep Neural Network Semantic Segmentation</t>
  </si>
  <si>
    <t>IEEE SENSORS JOURNAL</t>
  </si>
  <si>
    <t>Sea ice; Image segmentation; Semantics; Object segmentation; Training; Cameras; Semantic segmentation; deep neural networks; intelligent systems; machine learning</t>
  </si>
  <si>
    <t>Sea ice monitoring plays a critical role in any icebreaker's journey, where standard procedures are in place to document and report sea ice types and concentration. In this paper, we propose semantic segmentation for automated detection and classification of sea ice types using camera feeds onboard an ice breaker. For this purpose, we evaluate the SegNet and PSPNet101 neural network architectures, which have proven success in navigation and mapping applications such as self-driving cars, remote sensing, and medical imagery. The networks are used to segment images based on two custom datasets, one with four classes: ice, ocean, vessel, and sky, i.e., sea ice detection dataset, and the second with eight classes: ocean, vessel, sky, lens artifacts, first-year ice, new ice, grey ice, and multiyear ice, i.e., sea ice classification dataset. The Nathaniel B. Palmer imagery, which captured 2-month footage of the icebreaker completing an Antarctic expedition was used in the creation of both datasets. A subset of the dataset was labeled to generate a 240-image training set for sea ice detection achieving an accuracy of 98% classification for the 26-image test set. The sea ice classification dataset consists of 1,090 labeled images achieving accuracies of 98.3% or greater for all ice types for the 104-image test set. These results validate the applicability of deep learning methods for sea ice detection and classification using images captured onboard an ice breaker, which can be further enhanced by incorporating additional ice types and operational data to support marine navigation and mapping applications.</t>
  </si>
  <si>
    <t>[Dowden, Benjamin; De Silva, Oscar; Huang, Weimin] Mem Univ Newfoundland MUN, Fac Engn &amp; Appl Sci, St John, NF A1B 3X5, Canada; [Oldford, Dan] Amer Bur Shipping ABS, St John, NF A1B 3X5, Canada</t>
  </si>
  <si>
    <t>Dowden, B (corresponding author), Mem Univ Newfoundland MUN, Fac Engn &amp; Appl Sci, St John, NF A1B 3X5, Canada.</t>
  </si>
  <si>
    <t>brd282@mun.ca; oscar.desilva@mun.ca; weimin@mun.ca; doldfold@eagle.org</t>
  </si>
  <si>
    <t>Huang, Weimin/AAU-1568-2020</t>
  </si>
  <si>
    <t>Huang, Weimin/0000-0001-9622-5041</t>
  </si>
  <si>
    <t>Ocean Frontier Institute, through Canada First Research Excellence Fund; Memorial University of Newfoundland, St. John's, NL, Canada; Canadian Space Agency [17CCPNFL11]</t>
  </si>
  <si>
    <t>Ocean Frontier Institute, through Canada First Research Excellence Fund; Memorial University of Newfoundland, St. John's, NL, Canada; Canadian Space Agency(Canadian Space Agency)</t>
  </si>
  <si>
    <t>This work was supported in part by the Ocean Frontier Institute, through an Award from the Canada First Research Excellence Fund, in part by the Memorial University of Newfoundland, St. John's, NL, Canada, and in part by the Canadian Space Agency under Grant 17CCPNFL11.</t>
  </si>
  <si>
    <t>1530-437X</t>
  </si>
  <si>
    <t>1558-1748</t>
  </si>
  <si>
    <t>IEEE SENS J</t>
  </si>
  <si>
    <t>IEEE Sens. J.</t>
  </si>
  <si>
    <t>10.1109/JSEN.2020.3031475</t>
  </si>
  <si>
    <t>Engineering, Electrical &amp; Electronic; Instruments &amp; Instrumentation; Physics, Applied</t>
  </si>
  <si>
    <t>Engineering; Instruments &amp; Instrumentation; Physics</t>
  </si>
  <si>
    <t>RP8ZO</t>
  </si>
  <si>
    <t>WOS:000642012400064</t>
  </si>
  <si>
    <t>Cadeddu, MP; Cimini, D; Ghate, V; Lubin, D; Vogelmann, AM; Silber, I</t>
  </si>
  <si>
    <t>Cadeddu, Maria P.; Cimini, Domenico; Ghate, Virendra; Lubin, Dan; Vogelmann, Andrew M.; Silber, Israel</t>
  </si>
  <si>
    <t>Examination of Humidity and Ice Supersaturation Profiles Over West Antarctica Using Ground-Based G-Band Radiometer Retrievals</t>
  </si>
  <si>
    <t>Humidity; Microwave radiometry; Ocean temperature; Antarctica; Ice; Meteorology; Clouds; Antarctica; ice supersaturation; passive microwave remote sensing; thermodynamic profiles; water vapor</t>
  </si>
  <si>
    <t>HAMSTRAD RADIOMETER; ABSORPTION MODEL; MILLIMETER-WAVE; WATER-VAPOR; TEMPERATURE; RESOLUTION; IMPACT</t>
  </si>
  <si>
    <t>Humidity profiles retrieved from a ground-based millimeter-wave radiometer located at McMurdo Station, Antarctica, and the West Antarctica Ice Sheet Divide are presented, and their suitability to study the humidity of the polar climate is assessed. The dry conditions of the Antarctic winter and spring are ideal for ground-based millimeter-wave measurements, and the retrievals appear to realistically reproduce the spatial and temporal variabilities of humidity at both sites. The radiometer has the ability to capture the daily variability of very low humidity (0.5-4 g/kg) in the low-to-mid troposphere with an uncertainty of 10%-20% during the Antarctic winter, spring, and summer. Despite the coarse vertical resolution (200-600 m in the first 4 km), the retrievals provide additional information with respect to the European Centre for Medium Range Weather Forecasts (ECMWF) profiles used as background information. The radiometer is also able to realistically identify the location and frequency of supersaturated layers with respect to ice in the mid troposphere. The occurrence of supersaturated layers is correlated with the occurrence of ice clouds identified by a cloud mask. Overall, results show that ground-based microwave and millimeter-wave radiometry is a viable complement to satellite observations to provide continuous information on the thermodynamic state of the low-to-mid troposphere at high latitudes.</t>
  </si>
  <si>
    <t>[Cadeddu, Maria P.; Ghate, Virendra] Argonne Natl Lab, Argonne, IL 60439 USA; [Cimini, Domenico] Natl Res Council Italy, Inst Methodol Environm Anal, I-85050 Potenza, Italy; [Lubin, Dan] Univ Calif San Diego, Scripps Inst Oceanog, San Diego, CA 92093 USA; [Vogelmann, Andrew M.] Brookhaven Natl Lab, Upton, NY 11973 USA; [Silber, Israel] Penn State Univ, Dept Meteorol &amp; Atmospher Sci, University Pk, PA 16802 USA</t>
  </si>
  <si>
    <t>United States Department of Energy (DOE); Argonne National Laboratory; Consiglio Nazionale delle Ricerche (CNR); Istituto di Metodologie per l'Analisi Ambientale (IMAA-CNR); University of California System; University of California San Diego; Scripps Institution of Oceanography; United States Department of Energy (DOE); Brookhaven National Laboratory; Pennsylvania Commonwealth System of Higher Education (PCSHE); Pennsylvania State University; Pennsylvania State University - University Park</t>
  </si>
  <si>
    <t>Cadeddu, MP (corresponding author), Argonne Natl Lab, Argonne, IL 60439 USA.</t>
  </si>
  <si>
    <t>mcadeddu@anl.gov; domenico.cimini@imaa.cnr.it; vghate@anl.gov; dlubin@ucsd.edu; vogelmann@bnl.gov; ixs34@psu.edu</t>
  </si>
  <si>
    <t>; Vogelmann, Andrew/M-8779-2014; Cimini, Domenico/M-8707-2013</t>
  </si>
  <si>
    <t>Cadeddu, Maria/0000-0002-6430-0585; Vogelmann, Andrew/0000-0003-1918-5423; Cimini, Domenico/0000-0002-5962-223X; Silber, Israel/0000-0001-6588-2145</t>
  </si>
  <si>
    <t>U.S. Department of Energy, Office of Science, Office of Biological and Environmental Research, Atmospheric Radiation Measurement Infrastructure [DE-AC02-06CH11357]; U.S. Department of Energy's (DOE) Atmospheric System Research (ASR), an Office of Science, Office of Biological and Environmental Research (BER) program [DE-AC02-06 CH11357]; DOE [DE-SC0017981]; NSF [PLR-1443549]; DOE ASR [DE-SC0012704]; National Science Foundation [PLR-1443495]</t>
  </si>
  <si>
    <t>U.S. Department of Energy, Office of Science, Office of Biological and Environmental Research, Atmospheric Radiation Measurement Infrastructure(United States Department of Energy (DOE)); U.S. Department of Energy's (DOE) Atmospheric System Research (ASR), an Office of Science, Office of Biological and Environmental Research (BER) program(United States Department of Energy (DOE)); DOE(United States Department of Energy (DOE)); NSF(National Science Foundation (NSF)); DOE ASR; National Science Foundation(National Science Foundation (NSF))</t>
  </si>
  <si>
    <t>This work was supported by the U.S. Department of Energy, Office of Science, Office of Biological and Environmental Research, Atmospheric Radiation Measurement Infrastructure under Contract DE-AC02-06CH11357. The work of M. P. Cadeddu and V. Ghate was supported by the U.S. Department of Energy's (DOE) Atmospheric System Research (ASR), an Office of Science, Office of Biological and Environmental Research (BER) program awarded to Argonne National Laboratory under Contract DE-AC02-06 CH11357. The work of D. Lubin was supported in part by DOE under Grant DE-SC0017981 and in part by NSF under Grant PLR-1443549. The work of A. M. Vogelmann was supported by DOE ASR under Contract DE-SC0012704. The work of I. Silber was supported in part by the National Science Foundation under Grant PLR-1443495 and in part by DOE under Grant DE-SC0017981.</t>
  </si>
  <si>
    <t>10.1109/TGRS.2021.3077088</t>
  </si>
  <si>
    <t>XW3VP</t>
  </si>
  <si>
    <t>WOS:000733491300001</t>
  </si>
  <si>
    <t>de Vrese, P; Stacke, T; Rugenstein, JC; Goodman, J; Brovkin, V</t>
  </si>
  <si>
    <t>de Vrese, Philipp; Stacke, Tobias; Caves Rugenstein, Jeremy; Goodman, Jason; Brovkin, Victor</t>
  </si>
  <si>
    <t>Snowfall-albedo feedbacks could have led to deglaciation of snowball Earth starting from mid-latitudes</t>
  </si>
  <si>
    <t>ANTARCTIC SEA-ICE; SPECTRAL ALBEDO; SURFACE ALBEDO; CLIMATE; MODEL; FLOW; DYNAMICS; COVER; SHEET</t>
  </si>
  <si>
    <t>Simple and complex climate models suggest a hard snowball - a completely ice-covered planet - is one of the steady-states of Earth's climate. However, a seemingly insurmountable challenge to the hard-snowball hypothesis lies in the difficulty in explaining how the planet could have exited the glaciated state within a realistic range of atmospheric carbon dioxide concentrations. Here, we use simulations with the Earth system model MPI-ESM to demonstrate that terminal deglaciation could have been triggered by high dust deposition fluxes. In these simulations, deglaciation is not initiated in the tropics, where a strong hydrological cycle constantly regenerates fresh snow at the surface, which limits the dust accumulation and snow aging, resulting in a high surface albedo. Instead, comparatively low precipitation rates in the mid-latitudes in combination with high maximum temperatures facilitate lower albedos and snow dynamics that - for extreme dust fluxes - trigger deglaciation even at present-day carbon dioxide levels. Snowball Earth could have thawed at atmospheric CO2-levels comparable to the present as a result of low surface albedo in mid-latitudes from a combination dust deposition and low precipitation rates, according to Earth System Model simulations</t>
  </si>
  <si>
    <t>[de Vrese, Philipp; Brovkin, Victor] Max Planck Inst Meteorol, Land Earth Syst, Hamburg, Germany; [Stacke, Tobias] Helmholtz Zentrum Geesthacht, Inst Coastal Res, Geesthacht, Germany; [Caves Rugenstein, Jeremy] Colorado State Univ, Dept Geosci, Ft Collins, CO 80523 USA; [Goodman, Jason] Wheaton Coll, Dept Phys &amp; Astron, Norton, MA 02766 USA; [de Vrese, Philipp] Univ Hamburg, Ctr Earth Syst Res &amp; Sustainabil, Hamburg, Germany</t>
  </si>
  <si>
    <t>Max Planck Society; Helmholtz Association; Helmholtz-Zentrum Hereon; Colorado State University; University of Hamburg</t>
  </si>
  <si>
    <t>de Vrese, P (corresponding author), Max Planck Inst Meteorol, Land Earth Syst, Hamburg, Germany.;de Vrese, P (corresponding author), Univ Hamburg, Ctr Earth Syst Res &amp; Sustainabil, Hamburg, Germany.</t>
  </si>
  <si>
    <t>philipp.de-vrese@mpimet.mpg.de</t>
  </si>
  <si>
    <t>Brovkin, Victor/C-2803-2016; Rugenstein, Jeremy/I-4743-2015</t>
  </si>
  <si>
    <t>Brovkin, Victor/0000-0001-6420-3198; de Vrese, Philipp/0000-0002-8813-7436; Rugenstein, Jeremy/0000-0003-4123-3305; Stacke, Tobias/0000-0003-4637-5337</t>
  </si>
  <si>
    <t>MAY 14</t>
  </si>
  <si>
    <t>10.1038/s43247-021-00160-4</t>
  </si>
  <si>
    <t>SD6KZ</t>
  </si>
  <si>
    <t>WOS:000651485400005</t>
  </si>
  <si>
    <t>ON THE REBOUND: ANTARCTIC UPLIFT WILL RAISE SEA LEVEL</t>
  </si>
  <si>
    <t>MAY 13</t>
  </si>
  <si>
    <t>10.1038/d41586-021-01217-2</t>
  </si>
  <si>
    <t>SA6OC</t>
  </si>
  <si>
    <t>WOS:000649420400003</t>
  </si>
  <si>
    <t>Landman, MJ; Codabaccus, BM; Carter, CG; Fitzgibbon, QP; Smith, GG</t>
  </si>
  <si>
    <t>Landman, Michael J.; Codabaccus, Basseer M.; Carter, Chris G.; Fitzgibbon, Quinn P.; Smith, Gregory G.</t>
  </si>
  <si>
    <t>Is dietary phosphatidylcholine essential for juvenile slipper lobster (Thenus australiensis)?</t>
  </si>
  <si>
    <t>Slipper lobster; Phospholipid; Phosphatidylcholine; Digestibility</t>
  </si>
  <si>
    <t>FATTY-ACID-COMPOSITION; SALMON SALMO-SALAR; SPINY LOBSTER; APPARENT DIGESTIBILITY; LECITHIN REQUIREMENTS; SWIMMING CRAB; MACROBRACHIUM-ROSENBERGII; CHOLESTEROL REQUIREMENTS; NUTRITIONAL CONDITION; SERUM-LIPOPROTEINS</t>
  </si>
  <si>
    <t>Phospholipids, especially phosphatidylcholine (PC), are considered essential nutrients for larval and juvenile stages of many decapod crustacean species due to low rates of endogenous biosynthesis and potential nutritional benefits in assisting lipid digestion and transport. This study was conducted to test the hypothesis that dietary PC is essential and would subsequently have beneficial effects on lipid utilisation and digestibility of fish oil triacylglycerol (TAG) in the slipper lobster, Thenus australiensis. Juvenile slipper lobsters were supplied six formulated experimental feeds with actual PC contents of 0.05, 0.48, 0.65, 0.98, 1.15 and 1.43% (dry matter) for 12 weeks. Manipulating dietary PC content had no effects on survival, growth, chemical composition, whole body or tissue lipid distribution, or apparent digestibility (AD) of gross energy (GE), total lipid (TL) or PC. Juvenile slipper lobsters appeared to possess fully developed and efficient mechanisms for GE, TAG and PC digestion (&gt;95% AD). In vivo lipid class mass balance calculations demonstrated net intake of TL and TAG was considerably greater than was accumulated in the whole-body during growth. Thus, a significant proportion of dietary TL and TAG was utilised for energy and other metabolic processes. In contrast, particularly for low PL dietary treatments (&lt;= 0.5%), net gain of PC was greater than net intake, indicating a reliance on biosynthesis of PC. Thus, it is concluded that there is no or a very low requirement for dietary PC and thus may not be essential for the examined size class of juvenile T. australiensis when supplied adequate dietary PC biosynthetic precursors and other potentially related dietary nutrients. Further targeted research is recommended to verify if these findings are applicable to larval and early juvenile stages, and to enhance overall understanding of lipid nutritional requirements for T. australiensis.</t>
  </si>
  <si>
    <t>[Landman, Michael J.; Codabaccus, Basseer M.; Carter, Chris G.; Fitzgibbon, Quinn P.; Smith, Gregory G.] Univ Tasmania, Inst Marine &amp; Antarctic Studies, Private Bag 49, Hobart, Tas, Australia</t>
  </si>
  <si>
    <t>Landman, MJ (corresponding author), Univ Tasmania, Inst Marine &amp; Antarctic Studies IMAS, Private Bag 49, Hobart, Tas 7001, Australia.</t>
  </si>
  <si>
    <t>michael.landman@utas.edu.au</t>
  </si>
  <si>
    <t>Carter, Chris Guy/A-3438-2008; Smith, Gregory/C-9263-2013</t>
  </si>
  <si>
    <t>Carter, Chris Guy/0000-0001-5210-1282; Landman, Michael/0000-0003-0465-8080; Smith, Gregory/0000-0002-8677-1230; Fitzgibbon, Quinn/0000-0002-1104-3052; codabaccus, mohamed/0000-0001-5108-373X</t>
  </si>
  <si>
    <t>Australian Research Council Industrial Transformation Hub for Sustainable Onshore Lobster Aquaculture [IH190100014]</t>
  </si>
  <si>
    <t>Australian Research Council Industrial Transformation Hub for Sustainable Onshore Lobster Aquaculture(Australian Research Council)</t>
  </si>
  <si>
    <t>This research was conducted by the Australian Research Council Industrial Transformation Hub for Sustainable Onshore Lobster Aquaculture (project number IH190100014) . The views expressed herein are those of the authors and are not necessarily those of the Australian Government or Australian Research Council.</t>
  </si>
  <si>
    <t>10.1016/j.aquaculture.2021.736889</t>
  </si>
  <si>
    <t>SP0KS</t>
  </si>
  <si>
    <t>WOS:000659362600010</t>
  </si>
  <si>
    <t>Solomonsz, J; Melbourne-Thomas, J; Constable, A; Trebilco, R; van Putten, I; Goldsworthy, L</t>
  </si>
  <si>
    <t>Solomonsz, Josh; Melbourne-Thomas, Jess; Constable, Andrew; Trebilco, Rowan; van Putten, Ingrid; Goldsworthy, Lyn</t>
  </si>
  <si>
    <t>Stakeholder Engagement in Decision Making and Pathways of Influence for Southern Ocean Ecosystem Services</t>
  </si>
  <si>
    <t>stakeholder engagement; Southern Ocean; ecosystem services; knowledge values rules; transactional landscape; network mapping</t>
  </si>
  <si>
    <t>CCAMLR; IMPLEMENTATION; CONSERVATION; MANAGEMENT; FISHERIES</t>
  </si>
  <si>
    <t>Southern Ocean ecosystem management is characterized by a unique and complex international network of stakeholders and stakeholder relationships (a 'transactional landscape') relating to the globally significant services that these ecosystems support. This transactional landscape spans governments, industry (fishing and tourism), scientific research, conservation non-government organizations, civil society, and international decision-making forums. We used a network approach for stakeholder mapping to provide the first description of the transactional landscape for Southern Ocean ecosystem management - both in terms of the connections between stakeholders and ecosystem services, and directly between stakeholder groups. We considered 65 stakeholders and their relationships to 12 provisioning, regulating, supporting and cultural ecosystem services. An analysis of the connections within this network reveals differences in the degree of connectivity between stakeholders and ecosystem services. Notably, ecosystem science facilitates high connectivity between stakeholders and provisioning services, but there is little connectivity between stakeholders and supporting services. We then applied a formal 'values-rules knowledge' framework to a set of case studies to analyze the decision-making process in relation to Southern Ocean ecosystem services, as well as the relative importance of different stakeholder groups which were considered in the network analysis. Our analyses suggest that emphases for decision making have been on knowledge and rules, but that wider consideration of values across the broader stakeholder landscape - together with science (knowledge) and governance (rules) - might better support decision making for Southern Ocean ecosystem conservation and management, and provide a stronger foundation for sustainable provision of ecosystem services into the future.</t>
  </si>
  <si>
    <t>[Solomonsz, Josh] Monash Univ, Fac Sci, Clayton, Vic, Australia; [Melbourne-Thomas, Jess; Trebilco, Rowan; van Putten, Ingrid] CSIRO Oceans &amp; Atmosphere, Hobart, Tas, Australia; [Melbourne-Thomas, Jess; Constable, Andrew; Trebilco, Rowan; van Putten, Ingrid; Goldsworthy, Lyn] Univ Tasmania, Ctr Marine Socioecol, Hobart, Tas, Australia; [Constable, Andrew] Australian Antarctic Div, Kingston, Tas, Australia; [Goldsworthy, Lyn] Univ Tasmania, Inst Marine &amp; Antarctic Studies, Hobart, Tas, Australia</t>
  </si>
  <si>
    <t>Monash University; Commonwealth Scientific &amp; Industrial Research Organisation (CSIRO); University of Tasmania; Australian Antarctic Division; University of Tasmania</t>
  </si>
  <si>
    <t>Melbourne-Thomas, J (corresponding author), CSIRO Oceans &amp; Atmosphere, Hobart, Tas, Australia.;Melbourne-Thomas, J (corresponding author), Univ Tasmania, Ctr Marine Socioecol, Hobart, Tas, Australia.</t>
  </si>
  <si>
    <t>Jess.Melbourne-Thomas@csiro.au</t>
  </si>
  <si>
    <t>Trebilco, Rowan/I-5311-2012; Melbourne-Thomas, Jess/N-2437-2019; van putten, ingrid/AAV-1301-2021</t>
  </si>
  <si>
    <t>Trebilco, Rowan/0000-0001-9712-8016; Melbourne-Thomas, Jess/0000-0001-6585-876X; van putten, ingrid/0000-0001-8397-9768</t>
  </si>
  <si>
    <t>CSIRO Oceans and Atmosphere and Monash University</t>
  </si>
  <si>
    <t>This article was funded in part by CSIRO Oceans and Atmosphere and Monash University.</t>
  </si>
  <si>
    <t>10.3389/fmars.2021.623733</t>
  </si>
  <si>
    <t>SK5IO</t>
  </si>
  <si>
    <t>WOS:000656249100001</t>
  </si>
  <si>
    <t>Brasier, MJ; Barnes, D; Bax, N; Brandt, A; Christianson, AB; Constable, AJ; Downey, R; Figuerola, B; Griffiths, H; Gutt, J; Lockhart, S; Morley, SA; Post, AL; Van de Putte, A; Saeedi, H; Stark, JS; Sumner, M; Waller, CL</t>
  </si>
  <si>
    <t>Brasier, Madeleine J.; Barnes, David; Bax, Narissa; Brandt, Angelika; Christianson, Anne B.; Constable, Andrew J.; Downey, Rachel; Figuerola, Blanca; Griffiths, Huw; Gutt, Julian; Lockhart, Susanne; Morley, Simon A.; Post, Alexandra L.; Van de Putte, Anton; Saeedi, Hanieh; Stark, Jonathan S.; Sumner, Michael; Waller, Catherine L.</t>
  </si>
  <si>
    <t>Responses of Southern Ocean Seafloor Habitats and Communities to Global and Local Drivers of Change</t>
  </si>
  <si>
    <t>benthos; Antarctica; Southern Ocean; marine protected areas; vulnerable marine ecosystems; fishing</t>
  </si>
  <si>
    <t>ELEVATED SEAWATER TEMPERATURE; URCHIN STERECHINUS-NEUMAYERI; ANTARCTIC PENINSULA; BENTHIC COMMUNITIES; LATERNULA-ELLIPTICA; CLIMATE-CHANGE; DAVIS STATION; MG-CALCITE; ICE-SHELF; MITOCHONDRIAL LINEAGES</t>
  </si>
  <si>
    <t>Knowledge of life on the Southern Ocean seafloor has substantially grown since the beginning of this century with increasing ship-based surveys and regular monitoring sites, new technologies and greatly enhanced data sharing. However, seafloor habitats and their communities exhibit high spatial variability and heterogeneity that challenges the way in which we assess the state of the Southern Ocean benthos on larger scales. The Antarctic shelf is rich in diversity compared with deeper water areas, important for storing carbon (blue carbon) and provides habitat for commercial fish species. In this paper, we focus on the seafloor habitats of the Antarctic shelf, which are vulnerable to drivers of change including increasing ocean temperatures, iceberg scour, sea ice melt, ocean acidification, fishing pressures, pollution and non-indigenous species. Some of the most vulnerable areas include the West Antarctic Peninsula, which is experiencing rapid regional warming and increased iceberg-scouring, subantarctic islands and tourist destinations where human activities and environmental conditions increase the potential for the establishment of non-indigenous species and active fishing areas around South Georgia, Heard and MacDonald Islands. Vulnerable species include those in areas of regional warming with low thermal tolerance, calcifying species susceptible to increasing ocean acidity as well as slow-growing habitat-forming species that can be damaged by fishing gears e.g., sponges, bryozoan, and coral species. Management regimes can protect seafloor habitats and key species from fishing activities; some areas will need more protection than others, accounting for specific traits that make species vulnerable, slow growing and long-lived species, restricted locations with optimum physiological conditions and available food, and restricted distributions of rare species. Ecosystem based management practices and long-term, highly protected areas may be the most effective tools in the preservation of vulnerable seafloor habitats. Here, we focus on outlining seafloor responses to drivers of change observed to date and projections for the future. We discuss the need for action to preserve seafloor habitats under climate change, fishing pressures and other anthropogenic impacts.</t>
  </si>
  <si>
    <t>[Brasier, Madeleine J.] Univ Tasmania, Inst Marine &amp; Antarct Studies, Hobart, Tas, Australia; [Barnes, David; Griffiths, Huw; Morley, Simon A.] British Antarctic Survey, Cambridge, England; [Bax, Narissa; Constable, Andrew J.] Univ Tasmania, Inst Marine &amp; Antarctic Studies, Ctr Marine Socioecol, Hobart, Tas, Australia; [Brandt, Angelika; Saeedi, Hanieh] Senckenberg Res Inst, Frankfurt, Germany; [Brandt, Angelika; Saeedi, Hanieh] Nat Hist Museum, Frankfurt, Germany; [Brandt, Angelika] Goethe Univ Frankfurt, Inst Ecol Evolut &amp; Divers, Frankfurt, Germany; [Christianson, Anne B.] Pew Charitable Trusts, Washington, DC USA; [Christianson, Anne B.] Univ Minnesota, Dept Forest Resources, Minneapolis, MN USA; [Constable, Andrew J.; Stark, Jonathan S.; Sumner, Michael] Australian Antarctic Div, Kingston, Tas, Australia; [Downey, Rachel] Australian Natl Univ, Fenner Sch Environm &amp; Soc, Canberra, ACT, Australia; [Figuerola, Blanca] Inst Marine Sci ICM CSIC, Barcelona, Spain; [Gutt, Julian] Helmholtz Ctr Polar &amp; Marine Res, Alfred Wegener Inst, Bremerhaven, Germany; [Lockhart, Susanne] Calif Acad Sci, San Francisco, CA 94118 USA; [Post, Alexandra L.] Geosci Australia, Canberra, ACT, Australia; [Van de Putte, Anton] Royal Belgian Inst Nat Sci, OD Nat, Brussels, Belgium; [Van de Putte, Anton] Katholieke Univ Leuven, Lab Biodivers &amp; Evolutionary Genom, Leuven, Belgium; [Van de Putte, Anton] Univ Libre Bruxelles, Marine Biol Lab, Brussels, Belgium; [Saeedi, Hanieh] Deep Sea Node, Frankfurt, Germany; [Waller, Catherine L.] Univ Hull, Fac Sci &amp; Engn, Kingston Upon Hull, N Humberside, England</t>
  </si>
  <si>
    <t>University of Tasmania; UK Research &amp; Innovation (UKRI); Natural Environment Research Council (NERC); NERC British Antarctic Survey; University of Tasmania; Senckenberg Gesellschaft fur Naturforschung (SGN); Goethe University Frankfurt; University of Minnesota System; University of Minnesota Twin Cities; Australian Antarctic Division; Australian National University; Consejo Superior de Investigaciones Cientificas (CSIC); CSIC - Centro Mediterraneo de Investigaciones Marinas y Ambientales (CMIMA); CSIC - Instituto de Ciencias del Mar (ICM); Helmholtz Association; Alfred Wegener Institute, Helmholtz Centre for Polar &amp; Marine Research; California Academy of Sciences; Geoscience Australia; Royal Belgian Institute of Natural Sciences; KU Leuven; Universite Libre de Bruxelles; University of Hull</t>
  </si>
  <si>
    <t>Brasier, MJ (corresponding author), Univ Tasmania, Inst Marine &amp; Antarct Studies, Hobart, Tas, Australia.</t>
  </si>
  <si>
    <t>madeleine.brasier@utas.edu.au</t>
  </si>
  <si>
    <t>Sumner, Michael D/J-3478-2013; Saeedi, Hanieh/AAD-9374-2020; Griffiths, Huw J/D-4234-2009; Downey, Rachel/Q-4156-2019; Figuerola, Blanca/C-6252-2015</t>
  </si>
  <si>
    <t>Griffiths, Huw J/0000-0003-1764-223X; Figuerola, Blanca/0000-0003-4731-9337; Van de Putte, Anton/0000-0003-1336-5554; Christianson, Anne/0000-0002-7224-9492; Brasier, Madeleine/0000-0003-2844-655X</t>
  </si>
  <si>
    <t>Antarctic Climate AMP; Ecosystems Cooperative Research Centre; PEW Charitable Trusts; Australian Government Research Training Program (AGRTP); NERC; postdoctoral contract Juan de la CiervaIncorporacion of Ministerio de Ciencia, Innovacion y Universidades [IJCI-2017-31478]; Belgian Science Policy Office (BELSPO) [FR/36/AN1/AntaBIS]; NERC [bas0100036] Funding Source: UKRI</t>
  </si>
  <si>
    <t>Antarctic Climate AMP; Ecosystems Cooperative Research Centre(Australian GovernmentDepartment of Industry, Innovation and ScienceCooperative Research Centres (CRC) Programme); PEW Charitable Trusts; Australian Government Research Training Program (AGRTP)(Australian Government); NERC(UK Research &amp; Innovation (UKRI)Natural Environment Research Council (NERC)); postdoctoral contract Juan de la CiervaIncorporacion of Ministerio de Ciencia, Innovacion y Universidades; Belgian Science Policy Office (BELSPO)(Belgian Federal Science Policy Office); NERC(UK Research &amp; Innovation (UKRI)Natural Environment Research Council (NERC))</t>
  </si>
  <si>
    <t>MB was supported by the Antarctic Climate &amp; Ecosystems Cooperative Research Centre and PEW Charitable Trusts. RD was funded by an Australian Government Research Training Program (AGRTP) . SM and HG were funded through NERC core funding to the British Antarctic Survey Biodiversity, Evolution and Adaptation Team. BF was supported by a postdoctoral contract Juan de la CiervaIncorporacion (IJCI-2017-31478) of Ministerio de Ciencia, Innovacion y Universidades. AV was funded by the Belgian Science Policy Office (BELSPO, contract n? FR/36/AN1/AntaBIS) in the Framework of EULifewatch.</t>
  </si>
  <si>
    <t>10.3389/fmars.2021.622721</t>
  </si>
  <si>
    <t>SK5IW</t>
  </si>
  <si>
    <t>WOS:000656249900001</t>
  </si>
  <si>
    <t>Noh, KM; Lim, HG; Kug, JS</t>
  </si>
  <si>
    <t>Noh, Kyung Min; Lim, Hyung-Gyu; Kug, Jong-Seong</t>
  </si>
  <si>
    <t>Zonally asymmetric phytoplankton response to the Southern annular mode in the marginal sea of the Southern ocean</t>
  </si>
  <si>
    <t>BLOOM PHENOLOGY; DRIVEN TRENDS; ICE; VARIABILITY; IRON</t>
  </si>
  <si>
    <t>Antarctic marine biological variability modulates climate systems via the biological pump. However, the knowledge of biological response in the Southern Ocean to climate variability still has been lack of understanding owing to limited ocean color data in the high latitude region. We investigated the surface chlorophyll concentration responses to the Southern annular mode (SAM) in the marginal sea of the Southern ocean using satellite observation and reanalysis data focusing on the austral summer. The positive phase of SAM is associated with enhanced and poleward-shifted westerly winds, leading to physical and biogeochemical responses over the Southern ocean. Our result indicates that chlorophyll has strong zonally asymmetric responses to SAM owing to different limiting factors of phytoplankton growth per region. For the positive SAM phase, chlorophyll tends to increase in the western Amundsen-Ross Sea but decreases in the D'Urville Sea. It is suggested that the distinct limiting factors are associated with the seasonal variability of sea ice and upwelling per region.</t>
  </si>
  <si>
    <t>[Noh, Kyung Min; Lim, Hyung-Gyu; Kug, Jong-Seong] Pohang Univ Sci &amp; Technol POSTECH, Div Environm Sci &amp; Engn, 77 Cheongam Ro, Pohang 790784, South Korea; [Lim, Hyung-Gyu] Princeton Univ, Atmospher &amp; Ocean Sci Program, Princeton, NJ 08540 USA</t>
  </si>
  <si>
    <t>Pohang University of Science &amp; Technology (POSTECH); National Oceanic Atmospheric Admin (NOAA) - USA; Princeton University</t>
  </si>
  <si>
    <t>Kug, JS (corresponding author), Pohang Univ Sci &amp; Technol POSTECH, Div Environm Sci &amp; Engn, 77 Cheongam Ro, Pohang 790784, South Korea.</t>
  </si>
  <si>
    <t>jskug1@gmail.com</t>
  </si>
  <si>
    <t>KUG, JONG-SEONG/A-8053-2013; Lim, Hyung-Gyu/GYD-9716-2022</t>
  </si>
  <si>
    <t>Lim, Hyung-Gyu/0000-0002-0746-5332; Noh, Kyung-Min/0000-0003-4233-4490</t>
  </si>
  <si>
    <t>Korean Ministry of Oceans and Fisheries [KIMST20190361, PM19020]; National Research Foundation of Korea [NRF-2018R1A5A1024958]</t>
  </si>
  <si>
    <t>Korean Ministry of Oceans and Fisheries; National Research Foundation of Korea(National Research Foundation of Korea)</t>
  </si>
  <si>
    <t>This work is supported by a research grant from the Korean Ministry of Oceans and Fisheries (KIMST20190361; PM19020) and the National Research Foundation of Korea (NRF-2018R1A5A1024958).</t>
  </si>
  <si>
    <t>10.1038/s41598-021-89720-4</t>
  </si>
  <si>
    <t>SL5IW</t>
  </si>
  <si>
    <t>WOS:000656952400023</t>
  </si>
  <si>
    <t>Minich, JJ; Nowak, B; Elizur, A; Knight, R; Fielder, S; Allen, EE</t>
  </si>
  <si>
    <t>Minich, Jeremiah J.; Nowak, Barbara; Elizur, Abigail; Knight, Rob; Fielder, Stewart; Allen, Eric E.</t>
  </si>
  <si>
    <t>Impacts of the Marine Hatchery Built Environment, Water and Feed on Across Ontogeny in Yellowtail Kingfish, Seriola lalandi</t>
  </si>
  <si>
    <t>microbiome; built environment; yellowtail kingfish; Seriola lalandi; aquaculture; fisheries; ontogeny; mariculture</t>
  </si>
  <si>
    <t>FISH LARVAE; BACTERIAL COMMUNITIES; MICROBIAL COMMUNITIES; GILLS; POPULATIONS; MICROFLORA; DIVERSITY; EXCRETION; GEOSMIN; AMMONIA</t>
  </si>
  <si>
    <t>The fish gut microbiome is impacted by a number of biological and environmental factors including fish feed formulations. Unlike mammals, vertical microbiome transmission is largely absent in fish and thus little is known about how the gut microbiome is initially colonized during hatchery rearing nor the stability throughout growout stages. Here we investigate how various microbial-rich surfaces from the built environment BE and feed influence the development of the mucosal microbiome (gill, skin, and digesta) of an economically important marine fish, yellowtail kingfish, Seriola lalandi, over time. For the first experiment, we sampled gill and skin microbiomes from 36 fish reared in three tank conditions, and demonstrate that the gill is more influenced by the surrounding environment than the skin. In a second experiment, fish mucous (gill, skin, and digesta), the BE (tank side, water, inlet pipe, airstones, and air diffusers) and feed were sampled from indoor reared fish at three ages (43, 137, and 430 dph; n = 12 per age). At 430 dph, 20 additional fish were sampled from an outdoor ocean net pen. A total of 304 samples were processed for 16S rRNA gene sequencing. Gill and skin alpha diversity increased while gut diversity decreased with age. Diversity was much lower in fish from the ocean net pen compared to indoor fish. The gill and skin are most influenced by the BE early in development, with aeration equipment having more impact in later ages, while the gut allochthonous microbiome becomes increasingly differentiated from the environment over time. Feed had a relatively low impact on driving microbial communities. Our findings suggest that S. lalandi mucosal microbiomes are differentially influenced by the BE with a high turnover and rapidsuccession occurring in the gill and skin while the gut microbiome is more stable. We demonstrate how individual components of a hatchery system, especially aeration equipment, may contribute directly to microbiome development in a marine fish. In addition, results demonstrate how early life (larval) exposure to biofouling in the rearing environment may influence fish microbiome development which is important for animal health and aquaculture production.</t>
  </si>
  <si>
    <t>[Minich, Jeremiah J.; Allen, Eric E.] Univ Calif San Diego, Scripps Inst Oceanog, Marine Biol Res Div, La Jolla, CA 92093 USA; [Nowak, Barbara] Univ Tasmania, Inst Marine &amp; Antarctic Studies, Hobart, Tas, Australia; [Elizur, Abigail] Univ Sunshine Coast, Sch Sci &amp; Engn, Genecol Res Ctr, Sippy Downs, Qld, Australia; [Knight, Rob] Univ Calif San Diego, Sch Med, Dept Pediat, La Jolla, CA 92093 USA; [Knight, Rob] Univ Calif San Diego, Dept Comp Sci &amp; Engn, La Jolla, CA 92093 USA; [Knight, Rob] Univ Calif San Diego, Dept Bioengn, La Jolla, CA 92093 USA; [Knight, Rob; Allen, Eric E.] Univ Calif San Diego, Ctr Microbiome Innovat, La Jolla, CA 92093 USA; [Fielder, Stewart] Port Stephens Fisheries Inst, New South Wales Dept Primary Ind, Nelson Bay, NSW, Australia; [Allen, Eric E.] Univ Calif San Diego, Div Biol Sci, La Jolla, CA 92093 USA</t>
  </si>
  <si>
    <t>University of California System; University of California San Diego; Scripps Institution of Oceanography; University of Tasmania; University of the Sunshine Coast; University of California System; University of California San Diego; University of California System; University of California San Diego; University of California System; University of California San Diego; University of California System; University of California San Diego; NSW Department of Primary Industries; University of California System; University of California San Diego</t>
  </si>
  <si>
    <t>Allen, EE (corresponding author), Univ Calif San Diego, Scripps Inst Oceanog, Marine Biol Res Div, La Jolla, CA 92093 USA.;Allen, EE (corresponding author), Univ Calif San Diego, Ctr Microbiome Innovat, La Jolla, CA 92093 USA.;Fielder, S (corresponding author), Port Stephens Fisheries Inst, New South Wales Dept Primary Ind, Nelson Bay, NSW, Australia.;Allen, EE (corresponding author), Univ Calif San Diego, Div Biol Sci, La Jolla, CA 92093 USA.</t>
  </si>
  <si>
    <t>stewart.fielder@dpi.nsw.gov.au; ealen@ucsd.edu</t>
  </si>
  <si>
    <t>Knight, Rob/D-1299-2010; Fielder, Donald Stewart/K-7911-2017; Nowak, Barbara/J-7261-2014</t>
  </si>
  <si>
    <t>Minich, Jeremiah/0000-0002-7202-965X; Elizur, Abigail/0000-0002-2960-302X; Nowak, Barbara/0000-0002-0347-643X; Knight, Rob/0000-0002-0975-9019</t>
  </si>
  <si>
    <t>Australia Academy of Sciences AustraliaAmerica Ph.D. Research Internship Program; National Science Foundation PRFB Award [2011004]; National Science Foundation [OCE-1837116]; National Institutes of Health NIEHS [R01-ES030316]; Australian Fisheries Research and Development Corporation project [2015/213]; Direct For Biological Sciences; Div Of Biological Infrastructure [2011004] Funding Source: National Science Foundation</t>
  </si>
  <si>
    <t>Australia Academy of Sciences AustraliaAmerica Ph.D. Research Internship Program; National Science Foundation PRFB Award(National Science Foundation (NSF)); National Science Foundation(National Science Foundation (NSF)); National Institutes of Health NIEHS(United States Department of Health &amp; Human ServicesNational Institutes of Health (NIH) - USANIH National Institute of Environmental Health Sciences (NIEHS)); Australian Fisheries Research and Development Corporation project; Direct For Biological Sciences; Div Of Biological Infrastructure(National Science Foundation (NSF)NSF - Directorate for Biological Sciences (BIO))</t>
  </si>
  <si>
    <t>This work was supported by an Australia Academy of Sciences Australia-America Ph.D. Research Internship Program award to JM and National Science Foundation PRFB Award: 2011004. National Science Foundation grant OCE-1837116 to EA, and National Institutes of Health NIEHS grant R01-ES030316 to EA. Aquarium work at NSW DPI was supported by the Australian Fisheries Research and Development Corporation project 2015/213 Enabling Landbased Production of Juvenile Yellowtail Kingfish in NSW.</t>
  </si>
  <si>
    <t>10.3389/fmars.2021.676731</t>
  </si>
  <si>
    <t>SL7MZ</t>
  </si>
  <si>
    <t>gold, Green Published, Green Accepted, Green Submitted</t>
  </si>
  <si>
    <t>WOS:000657099900001</t>
  </si>
  <si>
    <t>Wege, M; Bornemann, H; Blix, AS; Nordoy, ES; Biddle, L; Bester, MN</t>
  </si>
  <si>
    <t>Wege, Mia; Bornemann, Horst; Blix, Arnoldus Schytte; Nordoy, Erling Sverre; Biddle, Louise; Bester, Marthan Nieuwoudt</t>
  </si>
  <si>
    <t>Distribution and Habitat Suitability of Ross Seals in a Warming Ocean</t>
  </si>
  <si>
    <t>Antarctica; biologging; boosted regression trees models; climate change; habitat utilisation; species distribution model; remote sensing; Weddell Sea</t>
  </si>
  <si>
    <t>SOUTHERN ELEPHANT SEALS; MODELS HISTORICAL BIAS; CLIMATE-CHANGE; WEDDELL SEA; MIROUNGA-LEONINA; VERTICAL-DISTRIBUTION; ANTARCTIC SILVERFISH; OMMATOPHOCA-ROSSII; DIVING BEHAVIOR; GLOBAL TRENDS</t>
  </si>
  <si>
    <t>Understanding the determinants of poorly studied species' spatial ecology is fundamental to understanding climate change impacts on those species and how to effectively prioritise their conservation. Ross seals (Ommatophoca rossii) are the least studied of the Antarctic pinnipeds with a limited knowledge of their spatial ecology. We present the largest tracking study for this species to date, create the first habitat models, and discuss the potential impacts of climate change on their preferred habitat and the implications for conservation. We combined newly collected satellite tracking data (2016-2019: n = 11) with previously published data (2001: n = 8) from the Weddell, King Haakon VII and Lazarev seas, Antarctica, and used 16 remotely sensed environmental variables to model Ross seal habitat suitability by means of boosted regression trees for summer and winter, respectively. Five of the top environmental predictors were relevant in both summer and winter (sea-surface temperature, distance to the ice edge, ice concentration standard deviation, mixed-layer depth, and sea-surface height anomalies). Ross seals preferred to forage in waters ranging between -1 and 2?C, where the mixed-layer depth was shallower in summer and deeper in winter, where current speeds were slower, and away from the ice edge in the open ocean. Receding ice edge and shoaling of the mixed layer induced by climate change may reduce swimming distances and diving depths, thereby reducing foraging costs. However, predicted increased current speeds and sea-surface temperatures may reduce habitat suitability in these regions. We suggest that the response of Ross seals to climate change will be regionally specific, their future success will ultimately depend on how their prey responds to regional climate effects and their own behavioural plasticity.</t>
  </si>
  <si>
    <t>[Wege, Mia; Bornemann, Horst] Alfred Wegener Inst, Heimholtz Zentrum Polar &amp; Meeresforsch, Bremerhaven, Germany; [Wege, Mia; Bester, Marthan Nieuwoudt] Univ Pretoria, Dept Zool &amp; Entomol, Mammal Res Inst, Pretoria, South Africa; [Wege, Mia] Univ Canterbury, Sch Earth &amp; Environm, Gateway Antarctica, Christchurch, New Zealand; [Blix, Arnoldus Schytte; Nordoy, Erling Sverre] UiT Arctic Univ Norway, Dept Arctic &amp; Marine Biol, Tromso, Norway; [Biddle, Louise] Univ Gothenburg, Dept Marine Sci, Gothenburg, Sweden</t>
  </si>
  <si>
    <t>Helmholtz Association; Alfred Wegener Institute, Helmholtz Centre for Polar &amp; Marine Research; University of Pretoria; University of Canterbury; UiT The Arctic University of Tromso; University of Gothenburg</t>
  </si>
  <si>
    <t>Wege, M (corresponding author), Alfred Wegener Inst, Heimholtz Zentrum Polar &amp; Meeresforsch, Bremerhaven, Germany.;Wege, M (corresponding author), Univ Pretoria, Dept Zool &amp; Entomol, Mammal Res Inst, Pretoria, South Africa.;Wege, M (corresponding author), Univ Canterbury, Sch Earth &amp; Environm, Gateway Antarctica, Christchurch, New Zealand.</t>
  </si>
  <si>
    <t>mia.wege@gmail.com</t>
  </si>
  <si>
    <t>Wege, Mia/B-1103-2016</t>
  </si>
  <si>
    <t>Wege, Mia/0000-0002-9022-3069</t>
  </si>
  <si>
    <t>National Research Foundation (NRF) South African National Antarctic Programme (SANAP) [93088]; Norwegian Research Council; Norwegian Polar Research Institute; Department of Science and Technology, through the National Research Foundation (NRF); [AWI_PS111_00]</t>
  </si>
  <si>
    <t>National Research Foundation (NRF) South African National Antarctic Programme (SANAP); Norwegian Research Council(Research Council of Norway); Norwegian Polar Research Institute; Department of Science and Technology, through the National Research Foundation (NRF)(Department of Science &amp; Technology (India));</t>
  </si>
  <si>
    <t>The National Research Foundation (NRF) South African National Antarctic Programme (SANAP) Grant Number 93088. The Alfred Wegener Institute for Polar and Marine Research through the Helmholtz Association Research Programme Polar Regions and Coasts in the changing Earth System II (PACES II), Topic 1, WP 6. The work on board RV Polarstern refers to Grant-No. AWI_PS111_00. The Norwegian Research Council and the Norwegian Polar Research Institute as part of the NARE 2000/2001 expedition for financial and logistical support. The Department of Environment, Forestry and Fisheries for logistical support within South African National Antarctic Programme (SANAP) and the Department of Science and Technology, through the National Research Foundation (NRF), for funding this project.</t>
  </si>
  <si>
    <t>10.3389/fmars.2021.659430</t>
  </si>
  <si>
    <t>SK5IU</t>
  </si>
  <si>
    <t>WOS:000656249700001</t>
  </si>
  <si>
    <t>Mason, C; Hobday, AJ; Alderman, R; Lea, MA</t>
  </si>
  <si>
    <t>Mason, Claire; Hobday, Alistair J.; Alderman, Rachael; Lea, Mary-Anne</t>
  </si>
  <si>
    <t>Climate adaptation interventions for iconic fauna</t>
  </si>
  <si>
    <t>adaptive management; biodiversity conservation; climate change; ecological renovation; environmental change; proactive conservation; resilience; threatened species; wildlife</t>
  </si>
  <si>
    <t>RANGE SHIFTS; BIODIVERSITY; CONSERVATION; MANAGEMENT; RESPONSES; PERCEPTIONS; BARRIERS; BYCATCH; REFUGIA; IMPACT</t>
  </si>
  <si>
    <t>Climate adaptation is an emerging practice in biodiversity conservation, but little is known about the scope, scale, and effectiveness of implemented actions. Here, we review and synthesize published reports of climate adaptation interventions for iconic fauna. We present a systematic map of peer-reviewed literature databases (Web of Science and Scopus); however, only nine climate adaptation actions targeting iconic fauna were returned. In the grey and informal literature, there were many instances of practical intervention within our scope, that were not uncovered during traditional systematic search methods. The richness of actions reported in commercial news, government and non-government organization media outlets and other online sources vastly outweighs the limited studies that have been robustly evaluated and reported in the scientific literature. From our investigation of this emerging field of conservation practice, we draw insights and pen a series of recommendations for the field moving forward. Key recommendations for future adaptation interventions include: the sharing and publishing of climate-related conservation interventions, the use of standardized metrics for reporting outcomes, the implementation of experimental controls for any actions undertaken, and reporting and evaluation of both failures and successes.</t>
  </si>
  <si>
    <t>[Mason, Claire; Lea, Mary-Anne] Inst Marine &amp; Antarctic Studies, Hobart, Tas, Australia; [Hobday, Alistair J.] CSIRO Oceans &amp; Atmosphere, Hobart, Tas, Australia; [Alderman, Rachael] DPIPWE, Hobart, Tas, Australia</t>
  </si>
  <si>
    <t>University of Tasmania; Commonwealth Scientific &amp; Industrial Research Organisation (CSIRO)</t>
  </si>
  <si>
    <t>Mason, C (corresponding author), Inst Marine &amp; Antarctic Studies, 20 Castray Esplanade, Battery Point, Tas 7004, Australia.</t>
  </si>
  <si>
    <t>claire.mason@utas.edu.au</t>
  </si>
  <si>
    <t>Mason, Claire Jocelyn/F-6977-2018; Hobday, Alistair/A-1460-2012; Lea, Mary-Anne/E-9054-2013</t>
  </si>
  <si>
    <t>Mason, Claire Jocelyn/0000-0001-8063-5812; Lea, Mary-Anne/0000-0001-8318-9299</t>
  </si>
  <si>
    <t>Australian Government Research Training Program (RTP) Scholarship</t>
  </si>
  <si>
    <t>Australian Government Research Training Program (RTP) Scholarship(Australian GovernmentDepartment of Industry, Innovation and Science)</t>
  </si>
  <si>
    <t>CM is supported by an Australian Government Research Training Program (RTP) Scholarship. Comments from the associate editor and two anonymous reviewers improved the rigour and clarity of this manuscript.</t>
  </si>
  <si>
    <t>e434</t>
  </si>
  <si>
    <t>10.1111/csp2.434</t>
  </si>
  <si>
    <t>WOS:000649826900001</t>
  </si>
  <si>
    <t>Brean, J; Dall'Osto, M; Simó, R; Shi, ZB; Beddows, DCS; Harrison, RM</t>
  </si>
  <si>
    <t>Brean, James; Dall'Osto, Manuel; Simo, Rafel; Shi, Zongbo; Beddows, David C. S.; Harrison, Roy M.</t>
  </si>
  <si>
    <t>Open ocean and coastal new particle formation from sulfuric acid and amines around the Antarctic Peninsula</t>
  </si>
  <si>
    <t>KING SEJONG STATION; SEA-SALT-SULFATE; METHANESULFONIC-ACID; SIZE DISTRIBUTION; NUCLEATION; GROWTH; DIMETHYLAMINE; CONDENSATION; AEROSOLS; ATMOSPHERE</t>
  </si>
  <si>
    <t>New particle formation is globally one of the major sources of aerosol particles and cloud condensation nuclei. As primary emissions are a minor contributor to particle concentrations, secondary new particle formation processes are probably key in determining Antarctic aerosol number concentrations. However, our knowledge of new particle formation and its mechanisms in Antarctica is very limited. Here we study summertime open ocean and coastal new particle formation in the Antarctic Peninsula region based on both ship and station measurements. The rates of particle formation relative to sulfuric acid concentrations, as well as the sulfuric acid dimer-to-monomer ratios, were similar to those seen for sulfuric acid-dimethylamine-water nucleation. Numerous sulfuric acid-amine peaks were identified during new particle formation events, providing evidence that alkylamines were the bases that facilitated sulfuric acid nucleation. Most new particle formation events occurred in air masses arriving from the ice-covered Weddell Sea and its marginal ice zone, which are an important source of volatile sulfur and alkylamines. This nucleation mechanism is more efficient than the ion-induced sulfuric acid-ammonia pathway previously observed in Antarctica, and one that can occur rapidly under neutral conditions. This hitherto overlooked pathway to biologically driven aerosol formation should be considered for estimating aerosol and cloud condensation nuclei numbers in ocean-sea ice-aerosols-climate feedback models. New particles can form rapidly in Antarctica through the reactions of sulfuric acid and amines, suggest ship and station measurements around the Antarctic Peninsula.</t>
  </si>
  <si>
    <t>[Brean, James; Shi, Zongbo; Beddows, David C. S.; Harrison, Roy M.] Univ Birmingham, Sch Geog Earth &amp; Environm Sci, Div Environm Hlth &amp; Risk Management, Birmingham, W Midlands, England; [Dall'Osto, Manuel; Simo, Rafel] CSIC, Inst Marine Sci, Barcelona, Spain; [Harrison, Roy M.] King Abdulaziz Univ, Ctr Excellence Environm Studies, Dept Environm Sci, Jeddah, Saudi Arabia</t>
  </si>
  <si>
    <t>University of Birmingham; Consejo Superior de Investigaciones Cientificas (CSIC); CSIC - Centro Mediterraneo de Investigaciones Marinas y Ambientales (CMIMA); CSIC - Instituto de Ciencias del Mar (ICM); King Abdulaziz University</t>
  </si>
  <si>
    <t>Harrison, RM (corresponding author), Univ Birmingham, Sch Geog Earth &amp; Environm Sci, Div Environm Hlth &amp; Risk Management, Birmingham, W Midlands, England.;Dall'Osto, M (corresponding author), CSIC, Inst Marine Sci, Barcelona, Spain.;Harrison, RM (corresponding author), King Abdulaziz Univ, Ctr Excellence Environm Studies, Dept Environm Sci, Jeddah, Saudi Arabia.</t>
  </si>
  <si>
    <t>dallosto@icm.csic.es; r.m.harrison@bham.ac.uk</t>
  </si>
  <si>
    <t>Shi, Zongbo/C-6379-2008; Beddows, David/ABA-7223-2021; Harrison, Roy Michael/A-2256-2008; dallosto, manuel/G-3584-2016</t>
  </si>
  <si>
    <t>Shi, Zongbo/0000-0002-7157-543X; Beddows, David/0000-0001-9277-2099; Brean, James/0000-0001-5430-6994; dallosto, manuel/0000-0003-4203-894X; Simo, Rafel/0000-0003-3276-7663; Harrison, Roy/0000-0002-2684-5226</t>
  </si>
  <si>
    <t>Spanish Ministry of Economy [PI-ICE-CTM 2017-89117-R, RYC-2012-11922]; National Centre for Atmospheric Science - UK Natural Environment Research Council [R8/H12/83/011, ncasstu009]</t>
  </si>
  <si>
    <t>Spanish Ministry of Economy(Spanish Government); National Centre for Atmospheric Science - UK Natural Environment Research Council</t>
  </si>
  <si>
    <t>We thank the Spanish Armada, and particularly the captains and crew of the BIO A-33 Hesperides, for their invaluable collaboration. We are also indebted to the UTM, and especially M. Ojeda, for logistic and technical support on the Antarctic Spanish BAE JC1. We also thank A. Sotomayor for help with mapping. This study was funded by the Spanish Ministry of Economy (grant number PI-ICE-CTM 2017-89117-R and RYC-2012-11922, both awarded to M.D.'O.). This work was also supported by the National Centre for Atmospheric Science funded by the UK Natural Environment Research Council (grant number R8/H12/83/011 to R.M.H. and D.C.S.B., which also supported a studentship (ncasstu009) for J.B.).</t>
  </si>
  <si>
    <t>10.1038/s41561-021-00751-y</t>
  </si>
  <si>
    <t>WOS:000650124200002</t>
  </si>
  <si>
    <t>Bradshaw, CD; Langebroek, PM; Lear, CH; Lunt, DJ; Coxall, HK; Sosdian, SM; de Boer, AM</t>
  </si>
  <si>
    <t>Bradshaw, Catherine D.; Langebroek, Petra M.; Lear, Caroline H.; Lunt, Daniel J.; Coxall, Helen K.; Sosdian, Sindia M.; de Boer, Agatha M.</t>
  </si>
  <si>
    <t>Hydrological impact of Middle Miocene Antarctic ice-free areas coupled to deep ocean temperatures</t>
  </si>
  <si>
    <t>SEA-LEVEL; SHEET SENSITIVITY; ATMOSPHERIC CO2; NEW-JERSEY; CLIMATE; MODELS; GROWTH; VOLUME; GLACIERS; SOUTHERN</t>
  </si>
  <si>
    <t>Oxygen isotopes from ocean sediments (delta O-18) used to reconstruct past continental ice volumes additionally record deep water temperatures (DWTs). Traditionally, these are assumed to be coupled (ice-volume changes cause DWT changes). However, delta O-18 records during peak Middle Miocene warmth (similar to 16-15 million years ago) document large rapid fluctuations (similar to 1-1.5 parts per thousand) difficult to explain as huge Antarctic ice sheet (AIS) volume changes. Here, using climate modelling and data comparisons, we show DWTs are coupled to AIS spatial extent, not volume, because Antarctic albedo changes modify the hydrological cycle, affecting Antarctic deep water production regions. We suggest the Middle Miocene AIS had retreated substantially from previous Oligocene maxima. The residual ice sheet varied spatially more rapidly on orbital timescales than previously thought, enabling large DWT swings (up to 4 degrees C). When Middle Miocene warmth terminated (similar to 13 million years ago) and a continent-scale AIS had stabilized, further ice-volume changes were predominantly in height rather than extent, with little impact on DWT. Our findings imply a shift in ocean sensitivity to ice-sheet changes occurs when AIS retreat exposes previously ice-covered land; associated feedbacks could reduce the Earth system's ability to maintain a large AIS. This demonstrates ice-sheet changes should be characterized not only by ice volume but also by spatial extent.</t>
  </si>
  <si>
    <t>[Bradshaw, Catherine D.] Met Off Hadley Ctr, Fitzroy Rd, Exeter, Devon, England; [Bradshaw, Catherine D.] Univ Exeter, Global Syst Inst, Exeter, Devon, England; [Bradshaw, Catherine D.; Lunt, Daniel J.] Univ Bristol, Sch Geog Sci, BRIDGE, Bristol, Avon, England; [Bradshaw, Catherine D.; Coxall, Helen K.; de Boer, Agatha M.] Stockholm Univ, Dept Geol Sci, Stockholm, Sweden; [Langebroek, Petra M.] Bjerknes Ctr Climate Res, NORCE Norwegian Res Ctr, Bergen, Norway; [Lear, Caroline H.; Sosdian, Sindia M.] Cardiff Univ, Sch Earth &amp; Environm Sci, Cardiff, Wales</t>
  </si>
  <si>
    <t>Met Office - UK; Hadley Centre; University of Exeter; University of Bristol; Stockholm University; Norwegian Research Centre (NORCE); Bjerknes Centre for Climate Research; Cardiff University</t>
  </si>
  <si>
    <t>Bradshaw, CD (corresponding author), Met Off Hadley Ctr, Fitzroy Rd, Exeter, Devon, England.;Bradshaw, CD (corresponding author), Univ Exeter, Global Syst Inst, Exeter, Devon, England.;Bradshaw, CD (corresponding author), Univ Bristol, Sch Geog Sci, BRIDGE, Bristol, Avon, England.;Bradshaw, CD (corresponding author), Stockholm Univ, Dept Geol Sci, Stockholm, Sweden.</t>
  </si>
  <si>
    <t>catherine.bradshaw@metoffice.gov.uk</t>
  </si>
  <si>
    <t>Langebroek, Petra M/K-2076-2014; Lear, Caroline H/D-2582-2009; De Boer, Agatha M/H-4202-2012; Lunt, Daniel/G-9451-2011</t>
  </si>
  <si>
    <t>Coxall, Helen/0000-0002-2843-2898; sosdian, sindia/0000-0002-4599-5529; Bradshaw, Catherine/0000-0003-4305-380X; Lunt, Daniel/0000-0003-3585-6928</t>
  </si>
  <si>
    <t>NERC [NE I006281/1, NE/I006427/1]; Swedish Research Council [2016-03912]; NERC [NE/I006281/1, NE/I006427/1] Funding Source: UKRI; Swedish Research Council [2016-03912] Funding Source: Swedish Research Council</t>
  </si>
  <si>
    <t>NERC(UK Research &amp; Innovation (UKRI)Natural Environment Research Council (NERC)); Swedish Research Council(Swedish Research Council); NERC(UK Research &amp; Innovation (UKRI)Natural Environment Research Council (NERC)); Swedish Research Council(Swedish Research Council)</t>
  </si>
  <si>
    <t>C.D.B. and D.J.L. were supported by NERC grant NE I006281/1. C.H.L. and S.M.S. were supported by NERC grant NE/I006427/1. A.M.deB. and C.D.B. gratefully acknowledge support from the Swedish Research Council project [2016-03912]. This work was carried out using the computational facilities of the Advanced Computing Research Centre, University of Bristol: http://www.bristol.ac.uk/acrc/. We thank D. Suri, chief operational meteorologist, Met Office; G. Guentchev, senior scientist, Met Office; S. Feakins; and T. Naish for feedback on earlier drafts of this manuscript. We also thank E. Gasson for providing a plot of his ice-sheet model results13.</t>
  </si>
  <si>
    <t>10.1038/s41561-021-00745-w</t>
  </si>
  <si>
    <t>WOS:000650124200001</t>
  </si>
  <si>
    <t>Sai, HN; Wang, XF; Wu, JF; Lin, J; Feng, H; Zhang, TM; Li, WX; Zhang, JJ; Mo, J; Sun, TR; Ehgamberdiev, SA; Mirzaqulov, D; Rui, LM; Lin, WL; Zhao, XL; Lin, H; Zhang, JC; Zhang, XH; Zhao, Y; Li, X; Xiang, DF; Wang, LZ; Wu, CY</t>
  </si>
  <si>
    <t>Sai, Hanna; Wang, Xiaofeng; Wu, Jianfeng; Lin, Jie; Feng, Hua; Zhang, Tianmeng; Li, Wenxiong; Zhang, Jujia; Mo, Jun; Sun, Tianrui; Ehgamberdiev, Shuhrat A.; Mirzaqulov, Davron; Rui, Liming; Lin, Weili; Zhao, Xulin; Lin, Han; Zhang, Jicheng; Zhang, Xinghan; Zhao, Yong; Li, Xue; Xiang, Danfeng; Wang, Lingzhi; Wu, Chengyuan</t>
  </si>
  <si>
    <t>Optical and ultraviolet monitoring of the black hole X-ray binary MAXI J1820+070/ASASSN-18ey for 18 months</t>
  </si>
  <si>
    <t>accretion, accretion discs; stars: black holes; X-rays: binaries</t>
  </si>
  <si>
    <t>DISC INSTABILITY MODEL; DWARF-NOVAE; MASS; EMISSION; OUTBURST; SPECTROSCOPY; TRANSIENTS; SOFT</t>
  </si>
  <si>
    <t>MAXI J1820+070 is a low-mass black hole X-ray binary system with high luminosity in both optical and X-ray bands during its outburst periods. We present extensive photometry in the X-ray, ultraviolet, and optical bands, as well as densely cadenced optical spectra, covering the phase from the beginning of the optical outburst to similar to 550 days. During the rebrightening process, the optical emission precedes the X-ray by 20.80 +/- 2.85 days. The spectra are characterized by blue continua and emission features of Balmer series, He I, and He II lines and a broad Bowen blend. The pseudo equivalent widths (pEWs) of emission lines are found to show anticorrelations with the X-ray flux measured at comparable phases, due to increased suppression by the optical continuum. At around the X-ray peak, the full widths at half-maximum (FWHMs) of H beta and He II lambda 4686 tend to stabilize at 19.4 and 21.8 angstrom, corresponding to the line-forming regions at radii of 1.7 and 1.3 R-circle dot within the disc. We further analysed the absolute fluxes of the lines and found that the fluxes of H beta and He II lambda 4686 show positive correlations with the X-ray flux, favouring the suggestion that the irradiation model is responsible for the optical emission. However, the fact that X-ray emission experiences a dramatic flux drop at t similar to 200 days after the outburst, while the optical flux only shows a little variation, suggests that additional energy such as viscous energy may contribute to the optical radiation, in addition to X-ray irradiation.</t>
  </si>
  <si>
    <t>[Sai, Hanna; Wang, Xiaofeng; Lin, Jie; Li, Wenxiong; Mo, Jun; Rui, Liming; Lin, Weili; Lin, Han; Zhang, Jicheng; Zhang, Xinghan; Li, Xue; Xiang, Danfeng; Wu, Chengyuan] Tsinghua Univ, Phys Dept, Beijing 100084, Peoples R China; [Sai, Hanna; Wang, Xiaofeng; Lin, Jie; Li, Wenxiong; Mo, Jun; Rui, Liming; Lin, Weili; Lin, Han; Zhang, Jicheng; Zhang, Xinghan; Li, Xue; Xiang, Danfeng; Wu, Chengyuan] Tsinghua Univ, Tsinghua Ctr Astrophys THCA, Beijing 100084, Peoples R China; [Wang, Xiaofeng] Beijing Acad Sci &amp; Technol, Beijing Planetarium, Beijing 100044, Peoples R China; [Wu, Jianfeng] Xiamen Univ, Dept Astron, Haiyun Campus, Xiamen 361005, Fujian, Peoples R China; [Feng, Hua] Tsinghua Univ, Dept Astron, Beijing 100084, Peoples R China; [Feng, Hua] Tsinghua Univ, Dept Engn Phys, Beijing 100084, Peoples R China; [Zhang, Tianmeng; Zhao, Yong] Chinese Acad Sci, Natl Astron Observ, Key Lab Opt Astron, Beijing 100101, Peoples R China; [Zhang, Tianmeng] Univ Chinese Acad Sci, Sch Astron &amp; Space Sci, Beijing 101408, Peoples R China; [Zhang, Jujia] Chinese Acad Sci, Yunnan Observ YNAO, Kunming 650216, Yunnan, Peoples R China; [Zhang, Jujia] Chinese Acad Sci, Key Lab Struct &amp; Evolut Celestial Objects, Kunming 650216, Yunnan, Peoples R China; [Zhang, Jujia] Chinese Acad Sci, Ctr Astron Megasci, 20A Datun Rd, Beijing 100012, Peoples R China; [Sun, Tianrui] Chinese Acad Sci, Purple Mt Observ, Nanjing 210008, Peoples R China; [Sun, Tianrui] Chinese Ctr Antarctic Astron, Nanjing 210008, Peoples R China; [Sun, Tianrui] Univ Sci &amp; Technol China, Sch Astron &amp; Space Sci, Hefei 230026, Peoples R China; [Ehgamberdiev, Shuhrat A.; Mirzaqulov, Davron] Uzbek Acad Sci, Ulugh Beg Astron Inst, Tashkent 100052, Uzbekistan; [Zhao, Xulin] Tianjin Univ Technol, Sch Sci, Tianjin 300384, Peoples R China; [Zhao, Yong] Univ Chinese Acad Sci, Beijing 100049, Peoples R China; [Wang, Lingzhi] Chinese Acad Sci, Natl Astron Observ China, Beijing 100012, Peoples R China; [Wang, Lingzhi] Chinese Acad Sci, Natl Astron Observ, CAS, South Amer Ctr Astron, Beijing 100101, Peoples R China</t>
  </si>
  <si>
    <t>Tsinghua University; Tsinghua University; Beijing Academy of Science &amp; Technology; Xiamen University; Tsinghua University; Tsinghua University; Chinese Academy of Sciences; National Astronomical Observatory, CAS; Chinese Academy of Sciences; University of Chinese Academy of Sciences, CAS; Chinese Academy of Sciences; Chinese Academy of Sciences; Chinese Academy of Sciences; Chinese Academy of Sciences; Nanjing Institute of Astronomical Optics &amp; Technology, NAOC, CAS; Purple Mountain Observatory, CAS; Chinese Academy of Sciences; University of Science &amp; Technology of China, CAS; Academy of Sciences of Uzbekistan; Ulugh Beg Astronomical Institute (UBAI); Tianjin University of Technology; Chinese Academy of Sciences; University of Chinese Academy of Sciences, CAS; Chinese Academy of Sciences; National Astronomical Observatory, CAS; Chinese Academy of Sciences; National Astronomical Observatory, CAS</t>
  </si>
  <si>
    <t>Wang, XF (corresponding author), Tsinghua Univ, Phys Dept, Beijing 100084, Peoples R China.;Wang, XF (corresponding author), Tsinghua Univ, Tsinghua Ctr Astrophys THCA, Beijing 100084, Peoples R China.;Wang, XF (corresponding author), Beijing Acad Sci &amp; Technol, Beijing Planetarium, Beijing 100044, Peoples R China.;Sun, TR (corresponding author), Chinese Acad Sci, Purple Mt Observ, Nanjing 210008, Peoples R China.;Sun, TR (corresponding author), Chinese Ctr Antarctic Astron, Nanjing 210008, Peoples R China.;Sun, TR (corresponding author), Univ Sci &amp; Technol China, Sch Astron &amp; Space Sci, Hefei 230026, Peoples R China.</t>
  </si>
  <si>
    <t>wang_xf@mail.tsinghua.edu.cn; shn17@mails.tsinghua.edu.cn</t>
  </si>
  <si>
    <t>rui, li/GYR-3791-2022; Mirzaqulov, Davron/ABB-9232-2020; li, rui/GSD-4367-2022; Ehgamberdiev, Shuhrat/ABC-3749-2020; wu, chengyuan/HJO-9046-2023; Wang, xiaofeng/JRY-1281-2023</t>
  </si>
  <si>
    <t>Mirzaqulov, Davron/0000-0003-0570-6531; Ehgamberdiev, Shuhrat/0000-0001-9730-3769; Li, Xue/0009-0002-8819-8017; Lin, Jie/0000-0003-3965-6931; Wu, Jianfeng/0000-0001-7349-4695; zhang, jujia/0000-0002-8296-2590</t>
  </si>
  <si>
    <t>Open Project Program of the Key Laboratory of Optical Astronomy, National Astronomical Observatories, Chinese Academy of Sciences; National Natural Science Foundation of China (NSFC) [12033003, 11761141001, 11633002, 12003013]; National Program on Key Research and Development Project [2016YFA0400803]; Scholar Program of Beijing Academy of Science and Technology [BS2020002]; President Fund of Xiamen University [20720190051]; Chinese Academy of Sciences (CAS); Chinese Academy of Sciences; People's Government of Yunnan Province; National Natural Science Foundation of China [U1938105]</t>
  </si>
  <si>
    <t>Open Project Program of the Key Laboratory of Optical Astronomy, National Astronomical Observatories, Chinese Academy of Sciences; National Natural Science Foundation of China (NSFC)(National Natural Science Foundation of China (NSFC)); National Program on Key Research and Development Project; Scholar Program of Beijing Academy of Science and Technology; President Fund of Xiamen University; Chinese Academy of Sciences (CAS)(Chinese Academy of Sciences); Chinese Academy of Sciences(Chinese Academy of Sciences); People's Government of Yunnan Province; National Natural Science Foundation of China(National Natural Science Foundation of China (NSFC))</t>
  </si>
  <si>
    <t>We thank the anonymous referee for suggestions and comments that helped to improve this work. We acknowledge the support of the staff of the Lijiang 2.4-m and Xinglong 2.16-m telescopes. Funding for the LJT has been provided by the Chinese Academy of Sciences and the People's Government of Yunnan Province. The LJT is jointly operated and administrated by Yunnan Observatories and the Center for Astronomical Mega-Science, CAS. We acknowledge the support of the staff of the Xinglong 80-cm telescope. It was partially supported by the Open Project Program of the Key Laboratory of Optical Astronomy, National Astronomical Observatories, Chinese Academy of Sciences. This work is supported by the National Natural Science Foundation of China (NSFC grants 12033003, 11761141001, and 11633002) and the National Program on Key Research and Development Project (grant no. 2016YFA0400803). XW is also supported by the Scholar Program of Beijing Academy of Science and Technology (BS2020002). JW acknowledges the support of the National Natural Science Foundation of China (grant no. U1938105) and the President Fund of Xiamen University (No. 20720190051). LW is sponsored (in part) by the Chinese Academy of Sciences (CAS), through a grant to the CAS SouthAmerica Center for Astronomy (CASSACA) in Santiago, Chile. CYW is supported by the National Natural Science Foundation of China (NSFC grant 12003013). This research has made use of data provided by the Yaoan High Precision Telescope. We thank the staff of AZT for their observations and allowing use of the data. We acknowledge with thanks the variable star observations from the AAVSO International Database contributed to by observers worldwide and used in this research. The following software was used in preparation of this article: ZRUTYPHOT (Mo et al., in preparation), IRAF (Tody 1986, 1993), and SEXTRACTOR (Bertin &amp; Arnouts 1996).</t>
  </si>
  <si>
    <t>10.1093/mnras/stab1162</t>
  </si>
  <si>
    <t>SK3SQ</t>
  </si>
  <si>
    <t>WOS:000656139300074</t>
  </si>
  <si>
    <t>Vasquez, YMSC; Gomes, MB; Silva, TRE; Duarte, AWF; Rosa, LH; de Oliveira, VM</t>
  </si>
  <si>
    <t>Santa-Cruz Vasquez, Yesenia Melissa; Gomes, Milene Barbosa; Rodrigues E Silva, Tiago; Fernandes Duarte, Alysson Wagner; Rosa, Luiz Henrique; de Oliveira, Valeria Maia</t>
  </si>
  <si>
    <t>Cold-adapted chitinases from Antarctic bacteria: Taxonomic assessment and enzyme production optimization</t>
  </si>
  <si>
    <t>Antarctica; Arthrobacter; Chitinase; Enzyme optimization; Psychrophilic bacteria</t>
  </si>
  <si>
    <t>CHITINOLYTIC ENZYMES; MICROORGANISMS; PURIFICATION; DIVERSITY; STRATEGIES; SEDIMENTS; STATION; ISLAND</t>
  </si>
  <si>
    <t>The Antarctic continent hosts heterogeneous regions, which are in general exposed to extreme conditions, mainly low temperatures. Thus, microorganisms that thrive in this environment are supposed to harbor a metabolic versatility of great biotechnological interest, which includes the production of cold-adapted enzymes. The present study aimed to investigate chitinase production by bacteria isolated from marine and terrestrial samples from the Maritime Antarctica. For this, a collection of 560 bacteria was evaluated. Seventy-three (13%) isolates, belonging to 13 bacterial genera affiliated to Proteobacteria (6), Actinobacteria (4) and Firmicutes (3), were positive in preliminary assays, and twenty strains were further selected based on individual plate assays at 5 and 15 degrees C. These strains were identified such as Arthrobacter psychrochitiniphilus, Arthrobacter cryoconite and Curto bacterium luteum, all belonging to the phylum Actinobacteria. The best chitinase producer was A. psychrochitiniphilus 492, which showed 43.39 U/L in 80 h of incubation. After optimization of nine independent variables by Plackett-Burman experimental design, followed by a fractional factorial (25-1) and a central composite design (CCD) 23, the best condition for chitinase production was achieved using yeast extract 1.0 g/L, NH4NO3 2.0 g/L, colloidal chitin 5.0% and initial pH 6.0, which allowed an increase of 7.7-fold in chitinase production as compared with the initial condition without optimiza tion. Results gathered herein reinforce the Antarctic environment as a rich source for chitinase prospecting and open perspectives for further optimization strategies aiming future biotechnological application of such molecules in ecologically-friendly and sustainable processes.</t>
  </si>
  <si>
    <t>[Santa-Cruz Vasquez, Yesenia Melissa; Gomes, Milene Barbosa; Rodrigues E Silva, Tiago; Fernandes Duarte, Alysson Wagner; de Oliveira, Valeria Maia] Univ Estadual Campinas UNICAMP, Ctr Pluridisciplinar Pesquisas Quim Biol &amp; Agr CP, Div Recursos Microbianos, POB 6171, BR-13081970 Campinas, SP, Brazil; [Santa-Cruz Vasquez, Yesenia Melissa; de Oliveira, Valeria Maia] Univ Estadual Campinas, Inst Biol, UNICAMP, POB 6109, BR-13083970 Campinas, SP, Brazil; [Fernandes Duarte, Alysson Wagner] Univ Fed Alagoas, Complexo Ciencias Med &amp; Enfermagem, Campus Arapiraca, BR-57309009 Arapiraca, AL, Brazil; [Rosa, Luiz Henrique] Univ Fed Minas Gerais, BR-31270901 Belo Horizonte, MG, Brazil</t>
  </si>
  <si>
    <t>Universidade Estadual de Campinas; Universidade Estadual de Campinas; Universidade Federal de Alagoas; Universidade Federal de Minas Gerais</t>
  </si>
  <si>
    <t>Duarte, AWF (corresponding author), Univ Fed Alagoas, Campus Arapiraca Rod AL220, BR-57309005 Arapiraca, Alagoas, Brazil.</t>
  </si>
  <si>
    <t>alysson.duarte@arapiraca.ufal.br</t>
  </si>
  <si>
    <t>Oliveira, Valéria Maia/L-2422-2014; Gomes, M.B./D-2906-2016; Duarte, Alysson Wagner Fernandes/S-8062-2019</t>
  </si>
  <si>
    <t>Oliveira, Valéria Maia/0000-0001-8817-4758; Gomes, M.B./0000-0003-4087-8726; Duarte, Alysson Wagner Fernandes/0000-0001-9626-7524; Santa Cruz Vasquez, Yesenia Melissa/0000-0001-8365-6475</t>
  </si>
  <si>
    <t>Fundacao de Amparo a Pesquisa do Estado de Sao Paulo -FAPESP [2014/17936-1, 2016/05640-6, 2017/21790-0]; MycoAntar Project (CNPq) [442258/2018-6]; Programa Nacional de Bolsas e Credito Educativo -PRONABEC, Government of Peru</t>
  </si>
  <si>
    <t>Fundacao de Amparo a Pesquisa do Estado de Sao Paulo -FAPESP(Fundacao de Amparo a Pesquisa do Estado de Sao Paulo (FAPESP)); MycoAntar Project (CNPq)(Conselho Nacional de Desenvolvimento Cientifico e Tecnologico (CNPQ)Fundacao de Apoio a Pesquisa do Distrito Federal (FAPDF)); Programa Nacional de Bolsas e Credito Educativo -PRONABEC, Government of Peru</t>
  </si>
  <si>
    <t>The authors are grateful to Fundacao de Amparo a Pesquisa do Estado de Sao Paulo -FAPESP for financial funding (process numbers 2014/17936-1; 2016/05640-6 and 2017/21790-0). The MycoAntar Project (CNPq, 442258/2018-6), and the Brazilian Antarctic Pro gram are also acknowledged for making the sampling feasible in the expeditions OPERANTAR XXXIII (summer 2014/2015) and OPERANTAR XXXIV (summer 2015/2016). Yesenia Melissa Santa Cruz Vasquez was supported by grants from Programa Nacional de Bolsas e Credito Educativo -PRONABEC, Government of Peru.</t>
  </si>
  <si>
    <t>10.1016/j.bcab.2021.102029</t>
  </si>
  <si>
    <t>SV4BG</t>
  </si>
  <si>
    <t>WOS:000663765100008</t>
  </si>
  <si>
    <t>Su, J; Andrée, E; Nielsen, JW; Olsen, SM; Madsen, KS</t>
  </si>
  <si>
    <t>Su, Jian; Andree, Elin; Nielsen, Jacob W.; Olsen, Steffen M.; Madsen, Kristine S.</t>
  </si>
  <si>
    <t>Sea Level Projections From IPCC Special Report on the Ocean and Cryosphere Call for a New Climate Adaptation Strategy in the Skagerrak-Kattegat Seas</t>
  </si>
  <si>
    <t>sea level rise; IPCC SROCC; North Sea; Baltic Sea; Denmark; storm surge</t>
  </si>
  <si>
    <t>GLACIAL ISOSTATIC-ADJUSTMENT; PROBABILISTIC REANALYSIS; BALTIC SEA; RISE; ANTARCTICA; SCENARIOS; FRAMEWORK; MODEL</t>
  </si>
  <si>
    <t>Denmark has a long, complex coastline, connecting the North Sea in the west to the semi-enclosed Baltic Sea in the east, via the Skagerrak-Kattegat Seas. Historical sea level records indicate that relative sea level (RSL) has been increasing along the Danish North Sea coast, south of Skagerrak, following the global mean sea level (GMSL) rise. In the central Skagerrak-Kattegat Seas, RSL rise has been practically absent, due to the GMSL rise being off-set by the Fennoscandian post-glacial land-uplift. The new IPCC Special Report on the Ocean and Cryosphere in a Changing Climate (SROCC) reported that under RCP8.5 GMSL will increase more than the previous estimates in the IPCC Fifth Assessment Report (AR5) at the end of twenty-first century due to Antarctic ice sheet dynamics. We performed a regionalization of the SROCC sea level projections for the Danish Climate Atlas dataset, a nation-wide climate adaptation dataset based on IPCC and various national and international databases. In these complementary datasets, important local data have been considered, which have not been included in the IPCC SROCC GMSL rise estimates, i.e., more precise national-wide land-rise prediction and sets of sea level fingerprints. Our results indicate that sea level projections under RCP8.5 results in a &gt; 40 cm RSL rise at the end of the twenty-first century in the Skagerrak Kattegat Seas, which might call for a new adaptation strategy in this region. The rate of mean sea level rise will exceed the rate of the land-rise earlier than the previous estimates by AR5 under the RCP8.5 scenario. In particular, we stress how these new estimates will affect future extreme sea levels in this region. Based on our results, we suggest this more recent GMSL projection needs to be considered in coastal risk assessments in the Skagerrak-Kattegat Seas also in this century.</t>
  </si>
  <si>
    <t>[Su, Jian; Andree, Elin; Nielsen, Jacob W.; Olsen, Steffen M.; Madsen, Kristine S.] Danish Meteorol Inst, Copenhagen, Denmark; [Andree, Elin] Tech Univ Denmark, Dept Technol Management &amp; Econ, Lyngby, Denmark</t>
  </si>
  <si>
    <t>Danish Meteorological Institute DMI; Technical University of Denmark</t>
  </si>
  <si>
    <t>Su, J (corresponding author), Danish Meteorol Inst, Copenhagen, Denmark.</t>
  </si>
  <si>
    <t>jis@dmi.dk</t>
  </si>
  <si>
    <t>Madsen, Kristine Skovgaard/0000-0001-6371-1078; Su, Jian/0000-0003-3603-8089; woge nielsen, jacob/0000-0002-5466-7869; Andree, Elin/0000-0003-3268-3101</t>
  </si>
  <si>
    <t>Danish State through the Danish Climate Atlas</t>
  </si>
  <si>
    <t>This research was funded by the Danish State through the Danish Climate Atlas.</t>
  </si>
  <si>
    <t>MAY 12</t>
  </si>
  <si>
    <t>10.3389/fmars.2021.629470</t>
  </si>
  <si>
    <t>SJ6QG</t>
  </si>
  <si>
    <t>WOS:000655656600001</t>
  </si>
  <si>
    <t>Bernal, MC; Cairns, SD; Penchaszadeh, PE; Lauretta, D</t>
  </si>
  <si>
    <t>Bernal, M. C.; Cairns, S. D.; Penchaszadeh, P. E.; Lauretta, D.</t>
  </si>
  <si>
    <t>Stylasterids (Hydrozoa: Stylasteridae) from Mar del Plata submarine canyon and adjacent area (southwestern Atlantic), with a key to the species off Argentina</t>
  </si>
  <si>
    <t>biodiversity; biogeography; corals; deep sea; taxonomy</t>
  </si>
  <si>
    <t>CNIDARIA; REVISION; FILIFERA; PACIFIC; WATER</t>
  </si>
  <si>
    <t>The Argentine continental margin is a poorly explored area as regards its benthic biodiversity. Few works have been made near the Brazil-Malvinas confluence (around 38 degrees S) regarding corals, especially in deep waters (over 1000 m). Hitherto 17 species of stylasterids are known from southwestern Atlantic (SWA) off Argentina. Fourteen species of stylasterids collected from the Mar del Plata submarine canyon and adjacent area in years 2012 and 2013 at depths between 800 and 2200 m are discussed, including the descriptions of 13 of them. The geographic distribution of six species and bathymetric range of occurrence of two species are broadened in this work. Stations where most specimens were collected are located in areas where sedimentation is known to be scarce. Species in common between the study area and the Antarctic region, south of Chile, South Africa, New Zealand and New Caledonia suggest the Circumpolar Antarctic Current and the Malvinas Current are the means for dispersion. A key of identification of all stylasterid species off Argentina is included.</t>
  </si>
  <si>
    <t>[Bernal, M. C.; Penchaszadeh, P. E.; Lauretta, D.] Consejo Nacl Invest Cient &amp; Tecn, Museo Argentino Ciencias Nat Bernardino Rivadavia, Ave Angel Gallardo 470, Buenos Aires, DF, Argentina; [Cairns, S. D.] Smithsonian Inst, Dept Invertebrate Zool, 10th St &amp; Constitut Ave NW, Washington, DC 20560 USA</t>
  </si>
  <si>
    <t>Museo Argentino de Ciencias Naturales Bernardino Rivadavia (MACN); Consejo Nacional de Investigaciones Cientificas y Tecnicas (CONICET); Smithsonian Institution; Smithsonian National Museum of Natural History</t>
  </si>
  <si>
    <t>Bernal, MC (corresponding author), Consejo Nacl Invest Cient &amp; Tecn, Museo Argentino Ciencias Nat Bernardino Rivadavia, Ave Angel Gallardo 470, Buenos Aires, DF, Argentina.</t>
  </si>
  <si>
    <t>carobernal90@gmail.com; cairnss@si.edu; pablopench@gmail.com; dlauretta@gmail.com</t>
  </si>
  <si>
    <t>Penchaszadeh, Pablo/ABB-8472-2021</t>
  </si>
  <si>
    <t>Penchaszadeh, Pablo/0000-0002-2043-8814</t>
  </si>
  <si>
    <t>Agencia Nacional de Promocion Cientifica y Tecnologica (PICT 2013) [2504]; PADI Foundation; CONICET (PIP 2017) [0643]; Idea Wild</t>
  </si>
  <si>
    <t>Agencia Nacional de Promocion Cientifica y Tecnologica (PICT 2013); PADI Foundation; CONICET (PIP 2017); Idea Wild</t>
  </si>
  <si>
    <t>This work was supported by the Agencia Nacional de Promocion Cientifica y Tecnologica (PICT 2013 no 2504 grant to Dr. Pablo Penchaszadeh) , PADI Foundation (grant to Dr. Daniel Lauretta in 2013 and grant to Carolina Bernal in 2016) , CONICET (PIP 2017 no 0643 grant to Dr. Daniel Lauretta) , and Idea Wild (grant to Dr. Daniel Lauretta in 2019) .</t>
  </si>
  <si>
    <t>10.11646/zootaxa.4969.3.1</t>
  </si>
  <si>
    <t>SJ6YR</t>
  </si>
  <si>
    <t>WOS:000655678500001</t>
  </si>
  <si>
    <t>Goncalves, R; Gesto, M; Teodósio, MA; Baptista, V; Navarro-Guillén, C; Lund, I</t>
  </si>
  <si>
    <t>Goncalves, Renata; Gesto, Manuel; Teodosio, Maria Alexandra; Baptista, Vania; Navarro-Guillen, Carmen; Lund, Ivar</t>
  </si>
  <si>
    <t>Replacement of Antarctic krill (Euphausia superba) by extruded feeds with different proximate compositions: effects on growth, nutritional condition and digestive capacity of juvenile European lobsters (Homarus gammarus, L.)</t>
  </si>
  <si>
    <t>JOURNAL OF NUTRITIONAL SCIENCE</t>
  </si>
  <si>
    <t>Digestive enzymatic activity; Feed efficiency; Macronutrients; Nucleic acid indices</t>
  </si>
  <si>
    <t>SOUTHERN ROCK LOBSTER; SPINY LOBSTER; WHITE SHRIMP; CONTAINER CULTURE; FORMULATED DIETS; AMERICAN LOBSTER; DNA RATIO; PROTEIN; RNA; PERFORMANCE</t>
  </si>
  <si>
    <t>Extruded feeds are widely used for major aquatic animal production, particularly for finfish. However, the transition from fresh/frozen to extruded/pelleted feeds remains a major obstacle to progressing sustainable farming of European lobster ( Homarus gammarus). The aim of the present study was to investigate the effects of using extruded feeds with different protein levels and lipid/carbohydrate ratios on growth, feed utilisation, nucleic acid derived indices (sRD) and digestive enzymatic activity of H. gammarus juveniles. Six extruded feeds were formulated to contain two protein levels (400 and 500 g/kg), with three lipid/carbohydrate ratios (LOW - 1:3; MEDium - 1:2; HIGH - 1:1). The extruded feeds were tested against Antarctic krill (Euphausia superba) used as control (CTRL). Overall, the CTRL and 500MED feed supported the highest growth and nutritional condition estimated by means of sRD, while the poorest results were observed for the 400HIGH and 400MED groups. The FCR was significantly lower in the CTRL than all extruded feeds, among which the most efficient, i.e., lower FCR, was the 500MED. The highest activity of trypsin and amylase in lobsters fed the 400MED and 400HIGH feeds points to the activation of a mechanism to maximise nutrients assimilation. The highest lipase activity observed for the 500LOW and 500MED groups indicates a higher capacity to metabolise and store lipids. Overall, the results suggest that the 500MED feed (500 g/kg protein, 237 g/kg carbohydrates and 119 g/kg lipids) is a suitable extruded feed candidate to replace Antarctic krill, commonly used to grow lobster juveniles.</t>
  </si>
  <si>
    <t>[Goncalves, Renata; Gesto, Manuel; Lund, Ivar] Tech Univ Denmark, DTU Aqua, North Sea Res Ctr, Sect Aquaculture, DK-9850 Hirtshals, Denmark; [Teodosio, Maria Alexandra; Baptista, Vania; Navarro-Guillen, Carmen] Univ Algarve, CCMAR Ctr Marine Sci, Campus Gambelas, P-8005139 Faro, Portugal</t>
  </si>
  <si>
    <t>Technical University of Denmark; Universidade do Algarve</t>
  </si>
  <si>
    <t>Goncalves, R (corresponding author), Tech Univ Denmark, DTU Aqua, North Sea Res Ctr, Sect Aquaculture, DK-9850 Hirtshals, Denmark.</t>
  </si>
  <si>
    <t>Goncalves, Renata/ABR-0469-2022; lund, ivar/W-4180-2019; Navarro, Carmen/GON-7706-2022; Gesto, Manuel/G-1032-2018; Teodosio, M A/B-5077-2013</t>
  </si>
  <si>
    <t>Gesto, Manuel/0000-0002-9136-7857; Teodosio, M A/0000-0002-0939-9885; Goncalves, Renata/0000-0003-4163-9479; Lund, Ivar/0000-0003-2419-2185; Baptista, Vania/0000-0002-1428-3334</t>
  </si>
  <si>
    <t>Fisheries local action group (FiskeriLAG NORD, Denmark); ENV Fonden (Nord Energi, Denmark); Auto Hatch project (EU Framework Programme Horizon 2020 (EUROSTARS-2) [E114944]; Auto Hatch project (Innovation Fund Denmark) [E114944]; PhD school at DTU Aqua; Fondation Idella (Denmark); FCT - Foundation for Science and Technology (Portugal) [UIDB/04326/2020]</t>
  </si>
  <si>
    <t>Fisheries local action group (FiskeriLAG NORD, Denmark); ENV Fonden (Nord Energi, Denmark); Auto Hatch project (EU Framework Programme Horizon 2020 (EUROSTARS-2); Auto Hatch project (Innovation Fund Denmark); PhD school at DTU Aqua; Fondation Idella (Denmark); FCT - Foundation for Science and Technology (Portugal)(Fundacao para a Ciencia e a Tecnologia (FCT))</t>
  </si>
  <si>
    <t>This study was financed by a Fisheries local action group (FiskeriLAG NORD, Denmark), the ENV Fonden (Nord Energi, Denmark) and the AutoHatch project (reference E114944 co-funded by the EU Framework Programme Horizon 2020 (EUROSTARS-2) and the Innovation Fund Denmark) with support from the PhD school at DTU Aqua. The collaboration with CCMAR was supported by a travel grant awarded to Renata Goncalves by the Fondation Idella (Denmark) and partially funded by FCT - Foundation for Science and Technology (Portugal) through project UIDB/04326/2020.</t>
  </si>
  <si>
    <t>2048-6790</t>
  </si>
  <si>
    <t>J NUTR SCI</t>
  </si>
  <si>
    <t>J. Nutr. Sci.</t>
  </si>
  <si>
    <t>e36</t>
  </si>
  <si>
    <t>10.1017/jns.2021.27</t>
  </si>
  <si>
    <t>SA5IF</t>
  </si>
  <si>
    <t>WOS:000649335600001</t>
  </si>
  <si>
    <t>David, CL; Schaafsma, FL; van Franeker, JA; Pakhomov, EA; Hunt, BPV; Lange, BA; Castellani, G; Brandt, A; Flores, H</t>
  </si>
  <si>
    <t>David, Carmen L.; Schaafsma, Fokje L.; van Franeker, Jan A.; Pakhomov, Evgeny A.; Hunt, Brian P. V.; Lange, Benjamin A.; Castellani, Giulia; Brandt, Angelika; Flores, Hauke</t>
  </si>
  <si>
    <t>Sea-ice habitat minimizes grazing impact and predation risk for larval Antarctic krill</t>
  </si>
  <si>
    <t>Euphausia superba; Sea ice; Antarctic winter; Competitors; Predators; Southern Ocean</t>
  </si>
  <si>
    <t>CYCLOPOID COPEPOD OITHONA; EASTERN WEDDELL-SEA; EUPHAUSIA-SUPERBA; SOUTHERN-OCEAN; CALANUS-PROPINQUUS; CALANOIDES-ACUTUS; COMMUNITY STRUCTURE; EUKROHNIA-HAMATA; ATLANTIC SECTOR; LAZAREV SEA</t>
  </si>
  <si>
    <t>Survival of larval Antarctic krill (Euphausia superba) during winter is largely dependent upon the presence of sea ice as it provides an important source of food and shelter. We hypothesized that sea ice provides additional benefits because it hosts fewer competitors and provides reduced predation risk for krill larvae than the water column. To test our hypothesis, zooplankton were sampled in the Weddell-Scotia Confluence Zone at the ice-water interface (0-2 m) and in the water column (0-500 m) during August-October 2013. Grazing by mesozooplankton, expressed as a percentage of the phytoplankton standing stock, was higher in the water column (1.97 +/- 1.84%) than at the ice-water interface (0.08 +/- 0.09%), due to a high abundance of pelagic copepods. Predation risk by carnivorous macrozooplankton, expressed as a percentage of the mesozooplankton standing stock, was significantly lower at the ice-water interface (0.83 +/- 0.57%; main predators amphipods, siphonophores and ctenophores) than in the water column (4.72 +/- 5.85%; main predators chaetognaths and medusae). These results emphasize the important role of sea ice as a suitable winter habitat for larval krill with fewer competitors and lower predation risk. These benefits should be taken into account when considering the response of Antarctic krill to projected declines in sea ice. Whether reduced sea-ice algal production may be compensated for by increased water column production remains unclear, but the shelter provided by sea ice would be significantly reduced or disappear, thus increasing the predation risk on krill larvae.</t>
  </si>
  <si>
    <t>[David, Carmen L.; Lange, Benjamin A.; Castellani, Giulia; Flores, Hauke] Alfred Wegener Inst, Helmholtz Zentrum Polar &amp; Meeresforsch AWI, Handelshafen 12, D-27570 Bremerhaven, Germany; [David, Carmen L.; Lange, Benjamin A.; Flores, Hauke] Univ Hamburg, Zool Museum, Ctr Nat Hist CeNak, Martin Luther King Pl 3, D-20146 Hamburg, Germany; [David, Carmen L.] Dalhousie Univ, Dept Biol, Halifax, NS B3H4R2, Canada; [Schaafsma, Fokje L.; van Franeker, Jan A.] Wageningen Marine Res, Ankerpark 27, NL-1781 AG Der Helder, Netherlands; [Pakhomov, Evgeny A.; Hunt, Brian P. V.] Univ British Columbia, Dept Earth Ocean &amp; Atmospher Sci, 2207 Main Mall, Vancouver, BC V6T 1Z4, Canada; [Pakhomov, Evgeny A.; Hunt, Brian P. V.] Univ British Columbia, Inst Oceans &amp; Fisheries, 2202 Main Mall, Vancouver, BC V6T 1Z4, Canada; [Pakhomov, Evgeny A.; Hunt, Brian P. V.] Hakai Inst, POB 309, Heriot Bay, BC V0P 1H0, Canada; [Lange, Benjamin A.] Norwegian Polar Res Inst, Fram Ctr, Tromso, Norway; [Brandt, Angelika] Senckenberg Res Inst, Senckenberganlage 25, D-60325 Frankfurt, Germany; [Brandt, Angelika] Nat Hist Museum, Senckenberganlage 25, D-60325 Frankfurt, Germany; [Brandt, Angelika] Goethe Univ Frankfurt, Inst Ecol Evolut &amp; Divers, FB 15,Max von Laue Str 13, D-60439 Frankfurt, Germany</t>
  </si>
  <si>
    <t>Helmholtz Association; Alfred Wegener Institute, Helmholtz Centre for Polar &amp; Marine Research; University of Hamburg; Dalhousie University; Wageningen University &amp; Research; University of British Columbia; University of British Columbia; Hakai Institute; Norwegian Polar Institute; Senckenberg Gesellschaft fur Naturforschung (SGN); Goethe University Frankfurt</t>
  </si>
  <si>
    <t>David, CL (corresponding author), Alfred Wegener Inst, Helmholtz Zentrum Polar &amp; Meeresforsch AWI, Handelshafen 12, D-27570 Bremerhaven, Germany.;David, CL (corresponding author), Univ Hamburg, Zool Museum, Ctr Nat Hist CeNak, Martin Luther King Pl 3, D-20146 Hamburg, Germany.;David, CL (corresponding author), Dalhousie Univ, Dept Biol, Halifax, NS B3H4R2, Canada.</t>
  </si>
  <si>
    <t>carmen.david@dal.ca</t>
  </si>
  <si>
    <t>Flores, Hauke/ABD-1888-2020; Castellani, Giulia/AAS-9298-2021</t>
  </si>
  <si>
    <t>Flores, Hauke/0000-0003-1617-5449; Castellani, Giulia/0000-0001-6151-015X; David, Carmen L/0000-0002-4241-1284; Schaafsma, Fokje/0000-0002-8945-2868</t>
  </si>
  <si>
    <t>Helmholtz Association [VH-NG-800]; PACES (Polar Regions and Coasts in a changing Earth System) program; Netherlands Ministry of Agriculture, Nature and Food Quality (LNV) [WOT-04-009-047.04]; Netherlands Polar Program [ALW 851.20.011, ALW 866.13.009]; University of British Columbia; Natural Sciences and Engineering Research Council of Canada (NSERC); Canada First Research Excellence Fund, through the Ocean Frontier Institute; Natural Science and Engineering Research Council of Canada (NSERC); Fisheries and Oceans Canada International Governance Strategy; NPI; Research Council of Norway (CAATEX) [280531]; European Union [302010]; Research Council of Norway (HAVOC) [280292]</t>
  </si>
  <si>
    <t>Helmholtz Association(Helmholtz Association); PACES (Polar Regions and Coasts in a changing Earth System) program; Netherlands Ministry of Agriculture, Nature and Food Quality (LNV); Netherlands Polar Program; University of British Columbia; Natural Sciences and Engineering Research Council of Canada (NSERC)(Natural Sciences and Engineering Research Council of Canada (NSERC)); Canada First Research Excellence Fund, through the Ocean Frontier Institute; Natural Science and Engineering Research Council of Canada (NSERC)(Natural Sciences and Engineering Research Council of Canada (NSERC)); Fisheries and Oceans Canada International Governance Strategy; NPI; Research Council of Norway (CAATEX)(Research Council of Norway); European Union(European Union (EU)); Research Council of Norway (HAVOC)(Research Council of Norway)</t>
  </si>
  <si>
    <t>This work was funded by the Helmholtz Association Young Investigators Group Iceflux: ice-ecosystem carbon flux in polar oceans (VH-NG-800) and PACES (Polar Regions and Coasts in a changing Earth System) program (Topic 1, WP5). SUIT development and SUIT related research by Wageningen Marine Research was supported by the Netherlands Ministry of Agriculture, Nature and Food Quality (LNV; Project WOT-04-009-047.04) and the Netherlands Polar Program (Projects ALW 851.20.011 and ALW 866.13.009). Additional funds were provided by the University of British Columbia and Natural Sciences and Engineering Research Council of Canada (NSERC). During this study Carmen L. David was partly funded from the Canada First Research Excellence Fund, through the Ocean Frontier Institute, and Benjamin A. Lange was partly supported by a Visiting Fellowship from the Natural Science and Engineering Research Council of Canada (NSERC) supported by Fisheries and Oceans Canada International Governance Strategy, in addition to current support from NPI and funding from the Research Council of Norway (CAATEX [280531] and HAVOC [280292]). During this project Brian P.V. Hunt was funded from the European Union's Seventh Framework Programme for research, technological development and demonstration under Grant Agreement No. 302010-Project ISOZOO.</t>
  </si>
  <si>
    <t>10.1007/s00300-021-02868-7</t>
  </si>
  <si>
    <t>SJ6NH</t>
  </si>
  <si>
    <t>WOS:000650122500001</t>
  </si>
  <si>
    <t>Suebsanguan, S; Strain, EMA; Morris, RL; Swearer, SE</t>
  </si>
  <si>
    <t>Suebsanguan, Sarucha; Strain, Elisabeth M. A.; Morris, Rebecca L.; Swearer, Stephen E.</t>
  </si>
  <si>
    <t>Optimizing the initial cultivation stages of kelp Ecklonia radiata for restoration</t>
  </si>
  <si>
    <t>canopy‐ forming; dehydration; inoculation; kelp culture; macroalgae; zoospores</t>
  </si>
  <si>
    <t>HABITAT-FORMING KELP; MACROCYSTIS-INTEGRIFOLIA; SETTLEMENT; PATTERNS; ATACAMA; GROWTH; REPRODUCTION; LAMINARIALES; TEMPERATURE; COMPETITION</t>
  </si>
  <si>
    <t>Restoration of kelp forests typically relies on transplanting sporophylls to new locations and has limited application in regions with low remnant kelp cover. Cultivated kelp requires fewer sporophylls and is a potential alternative and sustainable source of transplants for large-scale restoration projects. Naturally sourced fertile sporophylls, however, are still required as seed stock in cultivation practices, thus optimizing cultivation methods is important to minimize this dependency on wild stocks. To assist in optimizing the early-stage cultivation methods for restoring beds of the laminarian kelp Ecklonia radiata, we first tested the effects of sporophyll transport, storage, and dehydration on zoospore release. We then tested for effects of inoculum storage temperature on zoospore abundance, and lastly for media sterilization and inoculum concentration effects on both zoospore settlement and resulting gametophyte densities. Our results show, to maximize zoospore release, sporophylls should be transported dry and inoculated within 3 hours. Inoculum can be stored at 4 degrees C without affecting zoospore abundance and should be added to sterilized media at lower concentrations to reduce settled zoospore density and improve post-settlement survival of the gametophyte stage. This study provides practical recommendations for optimizing the initial cultivation procedures of E. radiata. To develop a full life-cycle cultivation protocol for kelp restoration purposes, future research should focus on optimizing sporophyte production, out-planting and transplanting techniques.</t>
  </si>
  <si>
    <t>[Suebsanguan, Sarucha; Strain, Elisabeth M. A.; Morris, Rebecca L.; Swearer, Stephen E.] Univ Melbourne, Natl Ctr Coasts &amp; Climate, Melbourne, Vic 3010, Australia; [Suebsanguan, Sarucha; Strain, Elisabeth M. A.; Morris, Rebecca L.; Swearer, Stephen E.] Univ Melbourne, Sch BioSci, Melbourne, Vic 3010, Australia; [Strain, Elisabeth M. A.] Univ Tasmania, Inst Antarctic &amp; Marine Sci, Hobart, Tas 7004, Australia</t>
  </si>
  <si>
    <t>University of Melbourne; Melbourne Genomics Health Alliance; University of Melbourne; Melbourne Genomics Health Alliance; University of Tasmania</t>
  </si>
  <si>
    <t>Swearer, SE (corresponding author), Univ Melbourne, Natl Ctr Coasts &amp; Climate, Melbourne, Vic 3010, Australia.;Swearer, SE (corresponding author), Univ Melbourne, Sch BioSci, Melbourne, Vic 3010, Australia.</t>
  </si>
  <si>
    <t>sswearer@unimelb.edu.au</t>
  </si>
  <si>
    <t>Strain, Elisabeth/U-3520-2017; Swearer, Stephen/X-4882-2018</t>
  </si>
  <si>
    <t>Swearer, Stephen/0000-0001-6381-9943</t>
  </si>
  <si>
    <t>Australian Government's National Environmental Science Program (NESP)</t>
  </si>
  <si>
    <t>Australian Government's National Environmental Science Program (NESP)(Australian Government)</t>
  </si>
  <si>
    <t>The National Centre for Coasts and Climate (NCCC) is funded through the Earth Systems and Climate Change Hub by the Australian Government's National Environmental Science Program (NESP). The authors thank Tristan Graham, Dean Chamberlain, Rituraj Sharma, Alex Coutts, and Luke Adams from the University of Melbourne for assistance with the field collection of kelp sporophylls.</t>
  </si>
  <si>
    <t>e13388</t>
  </si>
  <si>
    <t>10.1111/rec.13388</t>
  </si>
  <si>
    <t>WOS:000649435600001</t>
  </si>
  <si>
    <t>Tagliaro, G; Fulthorpe, C; Watkins, D; Brumsack, H; Jovane, L</t>
  </si>
  <si>
    <t>Tagliaro, Gabriel; Fulthorpe, Craig; Watkins, David; Brumsack, Hans; Jovane, Luigi</t>
  </si>
  <si>
    <t>Southern Ocean carbonate dissolution paced by Antarctic Ice-Sheet expansion in the early Miocene</t>
  </si>
  <si>
    <t>Stratigraphy; Southern Ocean; Miocene; Carbonate compensation depth; IODP Site U1514</t>
  </si>
  <si>
    <t>GULF-OF-MEXICO; EQUATORIAL PACIFIC; INDIAN-OCEAN; ANTHROPOGENIC CO2; BOTTOM-WATER; MIDDLE; CLIMATE; ACIDIFICATION; STRATIGRAPHY; PRESERVATION</t>
  </si>
  <si>
    <t>The preservation of calcium carbonate deposits on the seafloor is one of the factors that regulates Earth's carbon cycle over longer timescales. Fluctuations in the carbonate compensation depth (CCD), the depth below which calcium carbonate is completely dissolved, can therefore significantly alter the ocean's capacity to sequester or release atmospheric carbon. High-latitude deep oceans are particularly important to the carbon cycle given their large capacity to store carbon dioxide. Here we present carbonate content results from an abyssal Subantarctic record (Site U1514) that spans the early Miocene and the onset of the Miocene Climatic Optimum. We show that carbonate preservation was highly variable from 19.9 to 17 Ma, with multiple episodes of total carbonate dissolution. Carbonate preservation then improved gradually after 17 Ma following the onset of the Miocene Climatic Optimum. Episodes of carbonate dissolution occurred preferentially at long eccentricity minima while periods of long eccentricity maxima improved carbonate preservation. These patterns of carbonate accumulation are in opposite phase to lower latitude Atlantic and Pacific records, which suggests that different mechanisms of carbonate accumulation/preservation were in place in high and low-latitude oceans. Comparison of Site U1514 with Antarctic records indicates an influence of ice sheet oscillations on carbonate preservation at the Subantarctic seafloor. We propose that carbonate dissolution occurred via the northward expansion of southern-derived undersaturated waters during periods of Antarctic ice sheet expansion. These findings indicate that the Subantarctic Southern Ocean was highly sensitive to Antarctic ice sheet fluctuations during the early Miocene, consistent with observations from Antarctica that show intensified polar amplification under a warmer climate.</t>
  </si>
  <si>
    <t>[Tagliaro, Gabriel; Fulthorpe, Craig] Univ Texas Austin, Inst Geophys, Jackson Sch Geosci, 8701 Mopac Blvd, Austin, TX 78712 USA; [Tagliaro, Gabriel; Jovane, Luigi] Univ Sao Paulo, Oceanog Inst, Sao Paulo, Brazil; [Watkins, David] Univ Nebraska, Dept Earth &amp; Atmospher Sci, Lincoln, NE USA; [Brumsack, Hans] Carl von Ossietzky Univ Oldenburg, Inst Chem &amp; Biol Marine Environm ICBM, Oldenburg, Germany</t>
  </si>
  <si>
    <t>University of Texas System; University of Texas Austin; Universidade de Sao Paulo; University of Nebraska System; University of Nebraska Lincoln; Carl von Ossietzky Universitat Oldenburg</t>
  </si>
  <si>
    <t>Tagliaro, G (corresponding author), Univ Sao Paulo, Oceanog Inst, Sao Paulo, Brazil.</t>
  </si>
  <si>
    <t>gabrieltagliaro@usp.br</t>
  </si>
  <si>
    <t>Jovane, Luigi/AAH-5438-2020; Fulthorpe, Craig/AEV-6014-2022</t>
  </si>
  <si>
    <t>Jovane, Luigi/0000-0003-4348-4714;</t>
  </si>
  <si>
    <t>Brazilian National Council for Scientific and Technological Development (CNPq) [205786/2014-6]; German IODP office; USSSP</t>
  </si>
  <si>
    <t>Brazilian National Council for Scientific and Technological Development (CNPq)(Conselho Nacional de Desenvolvimento Cientifico e Tecnologico (CNPQ)); German IODP office; USSSP</t>
  </si>
  <si>
    <t>This research used samples and/or data provided by the International Ocean Discovery Program. The project was funded by the Brazilian National Council for Scientific and Technological Development (CNPq) grant number 205786/2014-6 and through USSSP support associated with participation by G. Tagliaro and D. Watkins to IODP Expedition 369. Funding to H. Brumsack was provided by the German IODP office.</t>
  </si>
  <si>
    <t>10.1016/j.gloplacha.2021.103510</t>
  </si>
  <si>
    <t>SV3OC</t>
  </si>
  <si>
    <t>WOS:000663730800001</t>
  </si>
  <si>
    <t>Crawford, AJ; Benn, DI; Todd, J; Åström, JA; Bassis, JN; Zwinger, T</t>
  </si>
  <si>
    <t>Crawford, Anna J.; Benn, Douglas, I; Todd, Joe; Astrom, Jan A.; Bassis, Jeremy N.; Zwinger, Thomas</t>
  </si>
  <si>
    <t>Marine ice-cliff instability modeling shows mixed-mode ice-cliff failure and yields calving rate parameterization</t>
  </si>
  <si>
    <t>TIDEWATER GLACIERS; THWAITES GLACIER; DISCRETE-ELEMENT; MELANGE; ANTARCTICA; RETREAT; DRIVEN; FUTURE</t>
  </si>
  <si>
    <t>Marine ice-cliff instability could accelerate ice loss from Antarctica, and according to some model predictions could potentially contribute &gt;1m of global mean sea level rise by 2100 at current emission rates. Regions with over-deepening basins &gt;1km in depth (e.g., the West Antarctic Ice Sheet) are particularly susceptible to this instability, as retreat could expose increasingly tall cliffs that could exceed ice stability thresholds. Here, we use a suite of high-fidelity glacier models to improve understanding of the modes through which ice cliffs can structurally fail and derive a conservative ice-cliff failure retreat rate parameterization for ice-sheet models. Our results highlight the respective roles of viscous deformation, shear-band formation, and brittle-tensile failure within marine ice-cliff instability. Calving rates increase non-linearly with cliff height, but runaway ice-cliff retreat can be inhibited by viscous flow and back force from iceberg melange. Ice-cliff failure that leads to marine ice-cliff instability could accelerate Antarctic Ice Sheet retreat. Here, the authors use 3D glacier models to investigate ice-cliff failure, derive a retreat rate relationship, and quantify melange back force necessary to suppress ice-cliff failure.</t>
  </si>
  <si>
    <t>[Crawford, Anna J.; Benn, Douglas, I] Univ St Andrews, Sch Geog &amp; Sustainable Dev, St Andrews, Fife, Scotland; [Todd, Joe] Univ Edinburgh, Sch GeoSci, Edinburgh, Midlothian, Scotland; [Astrom, Jan A.; Zwinger, Thomas] CSC IT Ctr Sci, Espoo, Finland; [Bassis, Jeremy N.] Univ Michigan, Dept Climate &amp; Space Sci &amp; Engn, Ann Arbor, MI 48109 USA</t>
  </si>
  <si>
    <t>Crawford, AJ (corresponding author), Univ St Andrews, Sch Geog &amp; Sustainable Dev, St Andrews, Fife, Scotland.</t>
  </si>
  <si>
    <t>ajc44@st-andrews.ac.uk</t>
  </si>
  <si>
    <t>Bassis, Jeremy/ABB-8628-2021; Zwinger, Thomas/H-5163-2018</t>
  </si>
  <si>
    <t>Bassis, Jeremy/0000-0003-2946-7176; Benn, Douglas/0000-0002-3604-0886; Zwinger, Thomas/0000-0003-3360-4401; Todd, Joe/0000-0003-3183-043X</t>
  </si>
  <si>
    <t>Natural Environment Research Council (NERC) [NE/S006605/1]; NERC [NE/S006605/1] Funding Source: UKRI</t>
  </si>
  <si>
    <t>Natural Environment Research Council (NERC)(UK Research &amp; Innovation (UKRI)Natural Environment Research Council (NERC)); NERC(UK Research &amp; Innovation (UKRI)Natural Environment Research Council (NERC))</t>
  </si>
  <si>
    <t>This work is from the DOMINOS project, a component of the International Thwaites Glacier Collaboration (ITGC). DOMINOS is supported by the Natural Environment Research Council (NERC: Grant NE/S006605/1). This article represents ITGC Contribution No. ITGC-020. The model simulations were conducted with computational resources provided by NERC and PRACE.</t>
  </si>
  <si>
    <t>MAY 11</t>
  </si>
  <si>
    <t>10.1038/s41467-021-23070-7</t>
  </si>
  <si>
    <t>SO1FB</t>
  </si>
  <si>
    <t>WOS:000658724200016</t>
  </si>
  <si>
    <t>Zhang, SY; Ping, WW; Xin, YH; Xin, D; Zhang, JL</t>
  </si>
  <si>
    <t>Zhang, Siyue; Ping, Weiwei; Xin, Yuhua; Xin, Di; Zhang, Jianli</t>
  </si>
  <si>
    <t>Planococcus soli sp. nov., isolated from antarctic soil</t>
  </si>
  <si>
    <t>ANTONIE VAN LEEUWENHOEK INTERNATIONAL JOURNAL OF GENERAL AND MOLECULAR MICROBIOLOGY</t>
  </si>
  <si>
    <t>Planococcus soli sp; nov; Soil; 16S rRNA; Polyphasic taxonomy</t>
  </si>
  <si>
    <t>EVOLUTION; SEQUENCES; TREES</t>
  </si>
  <si>
    <t>A novel bacterial strain, designated C23(T), was isolated from a soil sample obtained from King George Island, Antarctica. Phenotypic, phylogenetic, chemotaxonomic and molecular analyses were performed on the new isolate. Strain C23(T) formed orange colonies on agar plates and was Gram-stain-positive. Phylogenetic analyses based on 16S rRNA gene sequences showed that strain C23(T) was a member of the genus Planococcus and was closely related to Planococcus salinarum DSM 23802(T) (98.5% sequence similarity), Planococcus halotolerans SCU63(T) (98.3%), Planomicrobium okeanokoites IFO 12526(T) (98.3%), Planococcus donghaensis DSM 22276(T) (98.3%) and Planococcus maitriensisi S1(T) (98.2%). This organism grew at 2-38 degrees C (optimum, 25-30 degrees C), pH 6.0-12.0 (optimum, pH 7.5) and 0-14% (w/v) NaCl (optimum, 2%). The predominant menaquinone was MK-8. The major cellular fatty acids were anteiso-C-15:0, iso-C-14:0 and C-16:1 omega 7c alcohol. The whole genome DNA of C23(T) was deposited in the GenBank database under accession number WXYN00000000. According to the whole genome, the DNA G + C content of strain C23(T) was determined to be 46.8 mol%; the average nucleotide identity (ANI) of strain C23(T) and P. salinarum DSM 23802(T), P. halotolerans SCU63(T), P. okeanokoites IFO 12526(T), P. donghaensis DSM 22276(T) and P. maitriensis S1(T) were 74.1%, 74.3%, 74.1%, 78.8 and 73.6%; the digital DNA-DNA hybridization (dDDH) values between strain C23(T) and the five closely related species were 19.7%, 19.6%, 19.5%, 22.4 and 18.6%; the average amino acid identity (AAI) values between strain C23(T) and the five closely related species were 73.9%, 74.5%, 74.4%, 84.6 and 74.5%. All data were below the threshold range for species determination. Based on the polyphasic taxonomic study, we considered that strain C23(T) represented a novel species of the genus Planococcus for which the name Planococcus soli sp. nov. is proposed. The type strain is C23(T) (= KCTC 33644(T) = CGMCC 1.15115(T)).</t>
  </si>
  <si>
    <t>[Zhang, Siyue; Ping, Weiwei; Xin, Di; Zhang, Jianli] Beijing Inst Technol, Sch Life Sci, Key Lab Mol Med &amp; Biotherapy, Beijing 100081, Peoples R China; [Xin, Yuhua] Chinese Acad Sci, Inst Microbiol, China Gen Microbiol Culture Collect Ctr, Beijing 100101, Peoples R China</t>
  </si>
  <si>
    <t>Beijing Institute of Technology; Chinese Academy of Sciences; Institute of Microbiology, CAS</t>
  </si>
  <si>
    <t>Zhang, JL (corresponding author), Beijing Inst Technol, Sch Life Sci, Key Lab Mol Med &amp; Biotherapy, Beijing 100081, Peoples R China.</t>
  </si>
  <si>
    <t>zhangjianli@bit.edu.cn</t>
  </si>
  <si>
    <t>ZHANG, SIYUE/JKI-0898-2023; ZHANG, SIYUE/JKI-1069-2023</t>
  </si>
  <si>
    <t>National Key Research and Development Program of China [2016YFC0501302]; National Natural Science Foundation of China (NSFC) [31070002]</t>
  </si>
  <si>
    <t>National Key Research and Development Program of China; National Natural Science Foundation of China (NSFC)(National Natural Science Foundation of China (NSFC))</t>
  </si>
  <si>
    <t>This research was supported by the National Key Research and Development Program of China (2016YFC0501302) and the National Natural Science Foundation of China (NSFC, Grant Number 31070002).</t>
  </si>
  <si>
    <t>0003-6072</t>
  </si>
  <si>
    <t>1572-9699</t>
  </si>
  <si>
    <t>ANTON LEEUW INT J G</t>
  </si>
  <si>
    <t>Antonie Van Leeuwenhoek</t>
  </si>
  <si>
    <t>10.1007/s10482-021-01581-z</t>
  </si>
  <si>
    <t>SW5NQ</t>
  </si>
  <si>
    <t>WOS:000648821000001</t>
  </si>
  <si>
    <t>Craw, L; Treverrow, A; Fan, S; Peternell, M; Cook, S; McCormack, F; Roberts, J</t>
  </si>
  <si>
    <t>Craw, Lisa; Treverrow, Adam; Fan, Sheng; Peternell, Mark; Cook, Sue; McCormack, Felicity; Roberts, Jason</t>
  </si>
  <si>
    <t>The temperature change shortcut: effects of mid-experiment temperature changes on the deformation of polycrystalline ice</t>
  </si>
  <si>
    <t>TERTIARY CREEP; EVOLUTION; QUARTZ; SIZE; EBSD; MICROSTRUCTURE; SOFTWARE; TEXTURE; FABRICS; RATES</t>
  </si>
  <si>
    <t>It is vital to understand the mechanical properties of flowing ice to model the dynamics of ice sheets and ice shelves and to predict their behaviour in the future. We can increase our understanding of ice physical properties by performing deformation experiments on ice in laboratories and examining its mechanical and microstructural responses. However, natural conditions in ice sheets and ice shelves extend to low temperatures (&lt;&lt; -10 degrees C), and high octahedral strains (&gt; 0.08), and emulating these conditions in laboratory experiments can take an impractically long time. It is possible to accelerate an experiment by running it at a higher temperature in the early stages and then lowering the temperature to meet the target conditions once the tertiary creep stage is reached. This can reduce total experiment run-time by &gt; 1000 h; however it is not known whether this could affect the final strain rate or microstructure of the ice and potentially introduce a bias into the data. We deformed polycrystalline ice samples in uniaxial compression at -2 degrees C before lowering the temperature to either -7 or -10 degrees C, and we compared the results to constant-temperature experiments. Tertiary strain rates adjusted to the change in temperature very quickly (within 3% of the total experiment run-time), with no significant deviation from strain rates measured in constant-temperature experiments. In experiments with a smaller temperature step (-2 to -7 degrees C) there is no observable difference in the final microstructure between changing-temperature and constant-temperature experiments which could introduce a bias into experimental results. For experiments with a larger temperature step (-2 to -10 degrees C), there are quantifiable differences in the microstructure. These differences are related to different recrystallisation mechanisms active at -10 degrees C, which are not as active when the first stages of the experiment are performed at -2 degrees C. For studies in which the main aim is obtaining tertiary strain rate data, we propose that a mid-experiment temperature change is a viable method for reducing the time taken to run low-stress and low-temperature experiments in the laboratory.</t>
  </si>
  <si>
    <t>[Craw, Lisa; Treverrow, Adam] Univ Tasmania, Inst Marine &amp; Antarctic Studies, Hobart, Tas, Australia; [Fan, Sheng] Univ Otago, Dept Geol, Dunedin, New Zealand; [Peternell, Mark] Univ Gothenburg, Dept Earth Sci, Gothenburg, Sweden; [Cook, Sue; Roberts, Jason] Univ Tasmania, Inst Marine &amp; Antarctic Studies, Australian Antarctic Program Partnership, Hobart, Tas, Australia; [McCormack, Felicity] Monash Univ, Sch Earth Atmosphere &amp; Environm, Melbourne, Vic, Australia; [Roberts, Jason] Australian Antarctic Div, Hobart, Tas, Australia</t>
  </si>
  <si>
    <t>University of Tasmania; University of Otago; University of Gothenburg; University of Tasmania; Melbourne Genomics Health Alliance; Monash University; Australian Antarctic Division</t>
  </si>
  <si>
    <t>Craw, L (corresponding author), Univ Tasmania, Inst Marine &amp; Antarctic Studies, Hobart, Tas, Australia.</t>
  </si>
  <si>
    <t>lisa.craw@utas.edu.au</t>
  </si>
  <si>
    <t>; Cook, Sue/E-8390-2018; McCormack, Felicity/B-9218-2015; Craw, Lisa/V-5681-2018; Treverrow, Adam/J-7450-2014</t>
  </si>
  <si>
    <t>Fan, Sheng/0000-0002-0404-1374; Cook, Sue/0000-0001-9878-4218; McCormack, Felicity/0000-0002-2324-2120; Craw, Lisa/0000-0002-6809-3587; Peternell, Mark/0000-0002-9855-7514; Treverrow, Adam/0000-0003-4666-0488</t>
  </si>
  <si>
    <t>Australian Research Council's Special Research Initiative for Antarctic Gateway Partnership [SR140300001]; Australian Government's Co-operative Research Centres Programme through the Antarctic Climate and Ecosystems Co-operative Research Centre (ACE CRC); Australian Government Research Training Program Scholarship at the University of Tasmania; Australian Government, Antarctic Science Collaboration Initiative programme; University of Otago; Antarctica New Zealand; University of Otago PERT (Polar Environment Research Theme) seed fund</t>
  </si>
  <si>
    <t>Australian Research Council's Special Research Initiative for Antarctic Gateway Partnership(Australian Research Council); Australian Government's Co-operative Research Centres Programme through the Antarctic Climate and Ecosystems Co-operative Research Centre (ACE CRC)(Australian GovernmentDepartment of Industry, Innovation and ScienceCooperative Research Centres (CRC) Programme); Australian Government Research Training Program Scholarship at the University of Tasmania(Australian Government); Australian Government, Antarctic Science Collaboration Initiative programme(Australian Government); University of Otago; Antarctica New Zealand; University of Otago PERT (Polar Environment Research Theme) seed fund</t>
  </si>
  <si>
    <t>This research has been supported by the Australian Research Council's Special Research Initiative for Antarctic Gateway Partnership (project ID SR140300001) and the Australian Government's Co-operative Research Centres Programme through the Antarctic Climate and Ecosystems Co-operative Research Centre (ACE CRC). Lisa Craw is supported by an Australian Government Research Training Program Scholarship at the University of Tasmania. During this publication, Sue Cook received support from the Australian Government as part of the Antarctic Science Collaboration Initiative programme. Sheng Fan was supported by a University of Otago doctoral scholarship, an Antarctica New Zealand doctoral scholarship and University of Otago PERT (Polar Environment Research Theme) seed funding.</t>
  </si>
  <si>
    <t>MAY 10</t>
  </si>
  <si>
    <t>10.5194/tc-15-2235-2021</t>
  </si>
  <si>
    <t>SD0HH</t>
  </si>
  <si>
    <t>WOS:000651042300002</t>
  </si>
  <si>
    <t>Vereshchaka, A; Musaeva, E; Lunina, A</t>
  </si>
  <si>
    <t>Vereshchaka, Alexander; Musaeva, Eteri; Lunina, Anastasiia</t>
  </si>
  <si>
    <t>Biogeography of the Southern Ocean: environmental factors driving mesoplankton distribution South of Africa</t>
  </si>
  <si>
    <t>PEERJ</t>
  </si>
  <si>
    <t>Zooplankton; Southern ocean; Distribution; Environmental factors</t>
  </si>
  <si>
    <t>ANTARCTIC CIRCUMPOLAR CURRENT; AUSTRAL SUMMER 1997/1998; EASTERN ATLANTIC SECTOR; ZOOPLANKTON DISTRIBUTION; MESOSCALE DISTRIBUTION; VERTICAL MIGRATION; INDIAN-OCEAN; PART 1; CHLOROPHYLL; DEEP</t>
  </si>
  <si>
    <t>Spatial distribution of zooplankton communities depends on numerous factors, especially temperature and salinity conditions (hydrological factor), sampled depth, chlorophyll concentration, and diel cycle. We analyzed and compared the impact of these factors on mesoplankton abundance, biodiversity, quantitative structure based on proportion of taxa and qualitative structure based on presence/absence of taxa in the Southern Ocean. Samples (43 stations, three vertical strata sampled at each station, 163 taxa identified) were collected with a Juday net along the SR02 transect in December 2009. Mesoplankton abundance in discrete vertical layers ranged from 0.2 to 13,743.6 ind. m(-3), i.e., five orders of magnitude, maximal and minimal values were recorded in the upper mixed and in the deepest layer, respectively. Within the combined 300-m layer, abundances ranged from 16.0 to 1,455.0 ind. m(-3), i.e., two orders of magnitude suggesting that integral samples provide little information about actual variations of mesoplankton abundances. A set of analyses showed that depth was the major driver of mesoplankton distribution (abundance, biodiversity, quantitative structure), hydrological factors influenced two of them (quantitative and qualitative structure), chlorophyll concentration strongly affected only quantitative structure, and diel cycle had an insignificant effect on mesoplankton distribution. Using our current knowledge of the fine structure of the Antarctic Circumpolar Current, we compared effects of four hydrological fronts, i.e., boundaries between different water-masses with distinct environmental characteristics, and eight dynamic jets (narrow yet very intense currents) on mesoplankton distribution. Subtropical, Polar, and Subantarctic Fronts drove quantitative and qualitative structure of mesoplankton assemblages (decreasing in order of influence), while the Southern Boundary affected only qualitative structure. Effects of dynamic jets were insignificant. We suggest that mesoplankton composition is driven by hydrological parameters and further maintained through compartmentalization by fronts. Impact of local eddies and meanders on biodiversity, abundance, qualitative and quantitative structure of mesoplankton is comparable to that of hydrological fronts. Qualitative structure of mesoplankton assemblages mirrors hydrological structure of the Southern Ocean better than quantitative structure and may be recommended for biogeographic analyses of the Southern Ocean. Comparisons with previous reports from the same area retrieved no significant changes in mesoplankton distribution during the period 1992-2009.</t>
  </si>
  <si>
    <t>[Vereshchaka, Alexander; Musaeva, Eteri; Lunina, Anastasiia] Russian Acad Sci, Shirshov Inst Oceanol, Moscow, Russia</t>
  </si>
  <si>
    <t>Vereshchaka, A (corresponding author), Russian Acad Sci, Shirshov Inst Oceanol, Moscow, Russia.</t>
  </si>
  <si>
    <t>alv@ocean.ru</t>
  </si>
  <si>
    <t>Vereshchaka, Alexander/E-6205-2014; Lunina, Anastasia/L-3699-2014</t>
  </si>
  <si>
    <t>Vereshchaka, Alexander/0000-0002-6756-2468;</t>
  </si>
  <si>
    <t>RSF [18-17-00177]; Russian Science Foundation [18-17-00177] Funding Source: Russian Science Foundation</t>
  </si>
  <si>
    <t>RSF(Russian Science Foundation (RSF)); Russian Science Foundation(Russian Science Foundation (RSF))</t>
  </si>
  <si>
    <t>This research was supported by RSF (project No. 18-17-00177). There was no additional external funding received for this study. The funders had no role in study design, data collection and analysis, decision to publish, or preparation of the manuscript.</t>
  </si>
  <si>
    <t>PEERJ INC</t>
  </si>
  <si>
    <t>341-345 OLD ST, THIRD FLR, LONDON, EC1V 9LL, ENGLAND</t>
  </si>
  <si>
    <t>2167-8359</t>
  </si>
  <si>
    <t>PeerJ</t>
  </si>
  <si>
    <t>e11411</t>
  </si>
  <si>
    <t>10.7717/peerj.11411</t>
  </si>
  <si>
    <t>SB2IR</t>
  </si>
  <si>
    <t>WOS:000649824100006</t>
  </si>
  <si>
    <t>Mestre, M; Höfer, J</t>
  </si>
  <si>
    <t>Mestre, Mireia; Hofer, Juan</t>
  </si>
  <si>
    <t>The Microbial Conveyor Belt: Connecting the Globe through Dispersion and Dormancy</t>
  </si>
  <si>
    <t>TRENDS IN MICROBIOLOGY</t>
  </si>
  <si>
    <t>SEASONAL VARIABILITY; BACTERIAL; CARBON; DIVERSITY; BIOGEOGRAPHY; PATTERNS; ECOLOGY; LONG; MICROORGANISMS; TERRESTRIAL</t>
  </si>
  <si>
    <t>Despite the recent increase in knowledge concerning microorganisms, the processes determining their global distribution and functioning have not been disentangled. Microbial dormant stages are adapted to endure specific adverse conditions related to their dispersion path, suggesting that dispersion is not entirely a stochastic process. Long-term dormancy enhances microbial dispersion, promoting the ubiquity of microorganisms. The evidence leads us to propose that there is a global, recurrent, and spatially cyclical dispersion of microorganisms that we have called the Microbial Conveyor Belt. These dispersion cycles directly influence the distribution of microorganisms, the global cycling of inorganic and organic matter, and thus the Earth system's functioning.</t>
  </si>
  <si>
    <t>[Mestre, Mireia] Univ Concepcion, Dept Oceanog, Ctr Invest Oceanog COPAS Sur Austral, Concepcion, Chile; [Mestre, Mireia; Hofer, Juan] Ctr FONDAP Invest Dinam Ecosistemas Merinos Altas, Valdivia, Chile; [Hofer, Juan] Pontificia Univ Catolica Valparaiso, Escuela Ciencias Mar, Valparaiso, Chile; [Hofer, Juan] Ctr Invest &amp; Formac San Ignacio Huinay, Huinay, Chile</t>
  </si>
  <si>
    <t>Universidad de Concepcion; Pontificia Universidad Catolica de Valparaiso</t>
  </si>
  <si>
    <t>Mestre, M (corresponding author), Univ Concepcion, Dept Oceanog, Ctr Invest Oceanog COPAS Sur Austral, Concepcion, Chile.;Mestre, M; Höfer, J (corresponding author), Ctr FONDAP Invest Dinam Ecosistemas Merinos Altas, Valdivia, Chile.;Höfer, J (corresponding author), Pontificia Univ Catolica Valparaiso, Escuela Ciencias Mar, Valparaiso, Chile.;Höfer, J (corresponding author), Ctr Invest &amp; Formac San Ignacio Huinay, Huinay, Chile.</t>
  </si>
  <si>
    <t>mireia.mestre.martin@gmail.com; juan.hofer@pucv.cl</t>
  </si>
  <si>
    <t>Mestre, Mireia/R-7145-2018</t>
  </si>
  <si>
    <t>Mestre, Mireia/0000-0003-0986-633X; Hofer, Juan/0000-0002-5887-4929</t>
  </si>
  <si>
    <t>FONDECYT [3180152, 3190369]; Instituto Antartico Chileno [INACH RG 49-19]; CONICYTPIA-FONDEQUIP-FUNDACION ALEMANA PARA LA INVESTIGACION D.F.G [DFG190001]; Antarctic Wildlife Research Fund</t>
  </si>
  <si>
    <t>FONDECYT(Comision Nacional de Investigacion Cientifica y Tecnologica (CONICYT)CONICYT FONDECYT); Instituto Antartico Chileno; CONICYTPIA-FONDEQUIP-FUNDACION ALEMANA PARA LA INVESTIGACION D.F.G; Antarctic Wildlife Research Fund</t>
  </si>
  <si>
    <t>The idea for the manuscript came through the inception and execution of the following projects: FONDECYT (POSTDOCTORADO 3180152, POSTDOCTORADO 3190369), Instituto Antartico Chileno (INACH RG 49-19), CONICYTPIA-FONDEQUIP-FUNDACION ALEMANA PARA LA INVESTIGACION D.F.G (DFG190001) and the Antarctic Wildlife Research Fund. The comments of M. Hopwood, the editor, and two anonymous reviewers helped us to improve the manuscript.</t>
  </si>
  <si>
    <t>0966-842X</t>
  </si>
  <si>
    <t>1878-4380</t>
  </si>
  <si>
    <t>TRENDS MICROBIOL</t>
  </si>
  <si>
    <t>Trends Microbiol.</t>
  </si>
  <si>
    <t>10.1016/j.tim.2020.10.007</t>
  </si>
  <si>
    <t>SD1GE</t>
  </si>
  <si>
    <t>WOS:000651114900003</t>
  </si>
  <si>
    <t>Yang, QK; Wu, XQ; Han, YJ; Qing, C</t>
  </si>
  <si>
    <t>Yang, Qike; Wu, Xiaoqing; Han, Yajuan; Qing, Chun</t>
  </si>
  <si>
    <t>Estimation of behavior of optical turbulence during summer in the surface layer above the Antarctic Plateau using the Polar WRF model</t>
  </si>
  <si>
    <t>APPLIED OPTICS</t>
  </si>
  <si>
    <t>INDEX-STRUCTURE PARAMETER; DOME-C; WEATHER RESEARCH; FORECASTING-MODEL; BULK PARAMETERIZATION; STRUCTURE CONSTANT; KATABATIC WINDS; BOUNDARY-LAYER; SEA-ICE; PART I</t>
  </si>
  <si>
    <t>An optical turbulence (C-n(2)) was found to be concentrated predominantly in the thin surface layer (SL) above the Antarctic Plateau. We present an estimation of the behavior of the SL C-n(2) during the summer time over the entire Antarctic Plateau, using the polar-optimized version of the Weather Research and Forecast model (Polar WRF) coupled with the Monin-Obukhov similarity theory. The results show that the C-n(2) is affected by the sunlight direction and terrain height. The C-n(2) minimum occurs sometime around the morning and evening transitions, when the condition of neutral stability is achieved inside the SL. These C-n(2) minima may be attributed to the relatively weaker thermal convection resulting from a small temperature difference. The simulated C-n(2) data coincide well with the measurements taken at the Antarctic Taishan Station using a micro-thermometer and sonic anemometer; the data are also in agreement with the seeing values obtained from a differential image motion monitor. In addition, the Polar WRF captured the C-n(2) minimum more precisely compared to the standard WRF. (C) 2021 Optical Society of America</t>
  </si>
  <si>
    <t>[Yang, Qike; Wu, Xiaoqing; Han, Yajuan; Qing, Chun] Chinese Acad Sci, Anhui Inst Opt &amp; Fine Mech, Key Lab Atmospher Opt, HFIPS, Hefei 230031, Peoples R China; [Yang, Qike; Han, Yajuan] Univ Sci &amp; Technol China, Sci Isl Branch Grad Sch, Hefei 230026, Peoples R China; [Yang, Qike; Wu, Xiaoqing; Han, Yajuan; Qing, Chun] Adv Laser Technol Lab Anhui Prov, Hefei 230037, Peoples R China</t>
  </si>
  <si>
    <t>Chinese Academy of Sciences; Hefei Institutes of Physical Science, CAS; Anhui Institute of Optics &amp; Fine Mechanics (AIOFM), CAS; Chinese Academy of Sciences; University of Science &amp; Technology of China, CAS</t>
  </si>
  <si>
    <t>Yang, QK (corresponding author), Chinese Acad Sci, Anhui Inst Opt &amp; Fine Mech, Key Lab Atmospher Opt, HFIPS, Hefei 230031, Peoples R China.;Yang, QK (corresponding author), Univ Sci &amp; Technol China, Sci Isl Branch Grad Sch, Hefei 230026, Peoples R China.;Yang, QK (corresponding author), Adv Laser Technol Lab Anhui Prov, Hefei 230037, Peoples R China.</t>
  </si>
  <si>
    <t>yangqike@mail.ustc.edu.cn; xqwu@aiofm.ac.cn</t>
  </si>
  <si>
    <t>Yang, Qike/ISB-4960-2023</t>
  </si>
  <si>
    <t>Yang, Qike/0000-0001-9440-0037; qing, chun/0000-0003-2456-1366</t>
  </si>
  <si>
    <t>National Natural Science Foundation of China [41576185, 91752103]; Foundation of Key Laboratory of Science and Technology Innovation of Chinese Academy of Sciences [CXJJ-19S028]</t>
  </si>
  <si>
    <t>National Natural Science Foundation of China(National Natural Science Foundation of China (NSFC)); Foundation of Key Laboratory of Science and Technology Innovation of Chinese Academy of Sciences</t>
  </si>
  <si>
    <t>National Natural Science Foundation of China (41576185, 91752103); Foundation of Key Laboratory of Science and Technology Innovation of Chinese Academy of Sciences (CXJJ-19S028).</t>
  </si>
  <si>
    <t>1559-128X</t>
  </si>
  <si>
    <t>2155-3165</t>
  </si>
  <si>
    <t>APPL OPTICS</t>
  </si>
  <si>
    <t>Appl. Optics</t>
  </si>
  <si>
    <t>10.1364/AO.419473</t>
  </si>
  <si>
    <t>SB6OE</t>
  </si>
  <si>
    <t>WOS:000650110100004</t>
  </si>
  <si>
    <t>Michalek, K; Vendrami, DLJ; Bekaert, M; Green, DH; Last, KS; Telesca, L; Wilding, TA; Hoffman, J</t>
  </si>
  <si>
    <t>Michalek, Kati; Vendrami, David L. J.; Bekaert, Michael; Green, David H.; Last, Kim S.; Telesca, Luca; Wilding, Thomas A.; Hoffman, Joseph, I</t>
  </si>
  <si>
    <t>Mytilus trossulus introgression and consequences for shell traits in longline cultivated mussels</t>
  </si>
  <si>
    <t>EVOLUTIONARY APPLICATIONS</t>
  </si>
  <si>
    <t>geometric morphometrics; introgressive hybridization; Me15; 16; Mytilus edulis species complex; shellfish aquaculture; single nucleotide polymorphism</t>
  </si>
  <si>
    <t>COMPARATIVE SETTLEMENT DEPTHS; SEASONAL-VARIATIONS; EDULIS LINNAEUS,C.; HYBRID ZONE; SNP MARKERS; POPULATIONS; GROWTH; MORPHOLOGY; SEQUENCES; SALINITY</t>
  </si>
  <si>
    <t>Mussels belonging to the Mytilus species complex (M. edulis, ME; M. galloprovincialis, MG; and M. trossulus, MT) often occur in sympatry, facilitating introgressive hybridization. This may be further promoted by mussel aquaculture practices, with MT introgression often resulting in commercially unfavourable traits such as low meat yield and weak shells. To investigate the relationship between genotype and shell phenotype, genetic and morphological variability was quantified across depth (1 m to 7 m) along a cultivation rope at a mussel farm on the West coast of Scotland. A single nuclear marker (Me15/16) and a novel panel of 33 MT-diagnostic single nucleotide polymorphisms were used to evaluate stock structure and the extent of MT introgression across depth. Variation in shell strength, determined as the maximum compression force for shell puncture, and shell shape using geometric morphometric analysis were evaluated in relation to cultivation depth and the genetic profiles of the mussels. Overall, ME was the dominant genotype across depth, followed by ME x MG hybrids and smaller quantities of ME x MT hybrids and pure MT individuals. In parallel, we identified multiple individuals that were either predominantly homozygous or heterozygous for MT-diagnostic alleles, likely representing pure MT and first-generation ME x MT hybrids, respectively. Both the proportion of individuals carrying MT alleles and MT allele frequency declined with depth. Furthermore, MT-introgressed individuals had significantly weaker and more elongate shells than nonintrogressed individuals. This study provides detailed insights into stock structure along a cultivation rope and suggests that practical methods to assess shell strength and shape of cultivated mussels may facilitate the rapid identification of MT, limiting the impact of this commercially damaging species.</t>
  </si>
  <si>
    <t>[Michalek, Kati; Green, David H.; Last, Kim S.; Wilding, Thomas A.] Scottish Assoc Marine Sci, Oban, Argyll, Scotland; [Vendrami, David L. J.; Hoffman, Joseph, I] Univ Bielefeld, Dept Anim Behav, Bielefeld, Germany; [Bekaert, Michael] Univ Stirling, Fac Nat Sci, Inst Aquaculture, Stirling, Scotland; [Telesca, Luca] Univ Cambridge, Dept Earth Sci, Cambridge, England; [Telesca, Luca; Hoffman, Joseph, I] British Antarctic Survey, Cambridge, England; [Telesca, Luca] Columbia Univ, Lamont Doherty Earth Observ, Palisades, NY USA</t>
  </si>
  <si>
    <t>UHI Millennium Institute; University of Bielefeld; University of Stirling; University of Cambridge; UK Research &amp; Innovation (UKRI); Natural Environment Research Council (NERC); NERC British Antarctic Survey; Columbia University</t>
  </si>
  <si>
    <t>Michalek, K (corresponding author), Scottish Assoc Marine Sci SAMS, Oban PA37 1QA, Argyll, Scotland.</t>
  </si>
  <si>
    <t>kati.michalek@sams.ac.uk</t>
  </si>
  <si>
    <t>Green, David/E-2533-2012; Hoffman, Joseph/K-7725-2012</t>
  </si>
  <si>
    <t>Green, David/0000-0001-7499-6021; Hoffman, Joseph/0000-0001-5895-8949; Bekaert, Michael/0000-0002-1206-7654; Vendrami, David L. J./0000-0001-9409-4084; Michalek, Kati/0000-0002-5531-837X; Telesca, Luca/0000-0002-9060-2261; Wilding, Thomas/0000-0002-4946-4020</t>
  </si>
  <si>
    <t>EU H2020 IMPAQT [774109]; EU FP7 Marie-Curie Initial Training Network CACHE-ITN [[605051]13]; NERC [bas0100036, NE/R017050/1] Funding Source: UKRI; H2020 Societal Challenges Programme [774109] Funding Source: H2020 Societal Challenges Programme</t>
  </si>
  <si>
    <t>EU H2020 IMPAQT; EU FP7 Marie-Curie Initial Training Network CACHE-ITN(European Union (EU)Marie Curie Actions); NERC(UK Research &amp; Innovation (UKRI)Natural Environment Research Council (NERC)); H2020 Societal Challenges Programme(Horizon 2020European Union (EU)H2020 Societal Challenges Programme)</t>
  </si>
  <si>
    <t>EU H2020 IMPAQT, Grant/Award Number: 774109; EU FP7 Marie-Curie Initial Training Network CACHE-ITN, Grant/Award Number: [605051]13</t>
  </si>
  <si>
    <t>1752-4571</t>
  </si>
  <si>
    <t>EVOL APPL</t>
  </si>
  <si>
    <t>Evol. Appl.</t>
  </si>
  <si>
    <t>10.1111/eva.13245</t>
  </si>
  <si>
    <t>TK8BR</t>
  </si>
  <si>
    <t>WOS:000648742300001</t>
  </si>
  <si>
    <t>Jiang, S; Shi, GT; Cole-Dai, J; An, CL; Sun, B</t>
  </si>
  <si>
    <t>Jiang, Su; Shi, Guitao; Cole-Dai, Jihong; An, Chunlei; Sun, Bo</t>
  </si>
  <si>
    <t>Occurrence, latitudinal gradient and potential sources of perchlorate in the atmosphere across the hemispheres (31°N to 80°S)</t>
  </si>
  <si>
    <t>Aerosol; Snow; Atmospheric formation; Stratosphere; Troposphere</t>
  </si>
  <si>
    <t>NATURAL PERCHLORATE; OZONE OXIDATION; ANTARCTIC SNOW; INDOOR DUST; NITRATE; STRATOSPHERE; CHLORINE; DEPOSITION; EXPOSURE; DESCENT</t>
  </si>
  <si>
    <t>Perchlorate (ClO4) is harmful to human health, and knowledge on the levels and sources of natural ClO4 in different environments remains rather limited. Here, we investigate ClO4 in aerosol samples collected along a cross-hemisphere ship cruise between China and Antarctica and on a traverse between coastal East Antarctica and the ice sheet summit (Dome Argus). Perchlorate concentrations range from a few to a few hundred pg m 3. A clear latitudinal trend is found, with elevated ClO4- concentrations near populated areas and in the southern midhigh latitudes. Spatial patterns of atmospheric ClO4- over oceans near the landmasses support that terrestrial ClO4- is not transported efficiently over long distances. In the southern mid-latitudes, higher ClO4- concentrations in March than in November-December may be caused by significant stratospheric inputs in March. Perchlorate concentrations appear to be higher in the warm half than in the cold half of the year in the southern high latitudes, suggesting seasonal difference in main atmospheric sources. ClO4- may be formed in the reactions between chlorine free radical (Cl center dot) and ozone (O-3) in the stratosphere when Antarctic ozone hole occurs during September-October. And the stratosphere-produced ClO4 is moved to the boundary layer in several months and may be responsible for the high ClO4 concentrations in the warm half of the year. Perchlorate produced by photochemical reactions between O-3 and Cl center dot in the Antarctic stratosphere is likely responsible for the higher ClO4 concentrations in Antarctica than in Arctic.</t>
  </si>
  <si>
    <t>[Jiang, Su; Shi, Guitao; An, Chunlei; Sun, Bo] Polar Res Inst China, MNR Key Lab Polar Sci, Shanghai 200136, Peoples R China; [Shi, Guitao] East China Normal Univ, Key Lab Geog Informat Sci, Sch Geog Sci, 500 Dongchuan Rd, Shanghai 200241, Peoples R China; [Shi, Guitao] East China Normal Univ, State Key Lab Estuarine &amp; Coastal Res, Shanghai 200241, Peoples R China; [Cole-Dai, Jihong] South Dakota State Univ, Avera Hlth &amp; Sci Ctr, Dept Chem &amp; Biochem, Box 2202, Brookings, SD 57007 USA</t>
  </si>
  <si>
    <t>Polar Research Institute of China; East China Normal University; East China Normal University; South Dakota State University</t>
  </si>
  <si>
    <t>Shi, GT (corresponding author), East China Normal Univ, Key Lab Geog Informat Sci, Sch Geog Sci, 500 Dongchuan Rd, Shanghai 200241, Peoples R China.</t>
  </si>
  <si>
    <t>gtshi@geo.ecnu.edu.cn</t>
  </si>
  <si>
    <t>sun, bo/JFA-9978-2023; Cole-Dai, Jihong/B-2510-2009</t>
  </si>
  <si>
    <t>Cole-Dai, Jihong/0000-0003-0921-5916; Jiang, Su/0000-0001-6712-7979</t>
  </si>
  <si>
    <t>National Key Research and Devel-opment Program of China [2019YFC1509103]; National Natural Science Foundation of China [41922046, 41476169]; U.S. National Science Foundation [1203533, 1443663]</t>
  </si>
  <si>
    <t>National Key Research and Devel-opment Program of China; National Natural Science Foundation of China(National Natural Science Foundation of China (NSFC)); U.S. National Science Foundation(National Science Foundation (NSF))</t>
  </si>
  <si>
    <t>This work was supported by the National Key Research and Devel-opment Program of China (2019YFC1509103) and National Natural Science Foundation of China (41922046, 41476169) . J. Cole-Dai ac-knowledges financial support from the U.S. National Science Foundation (Awards 1203533 and 1443663) .</t>
  </si>
  <si>
    <t>10.1016/j.envint.2021.106611</t>
  </si>
  <si>
    <t>WOS:000685649300001</t>
  </si>
  <si>
    <t>Ríos, JM; Mammana, SB; Moreira, E; Poma, G; Malarvannan, G; Barrera-Oro, E; Covaci, A; Ciocco, NF; Altamirano, JC</t>
  </si>
  <si>
    <t>Rios, Juan Manuel; Mammana, Sabrina B.; Moreira, Eugenia; Poma, Giulia; Malarvannan, Govindan; Barrera-Oro, Esteban; Covaci, Adrian; Ciocco, Nestor F.; Altamirano, Jorgelina C.</t>
  </si>
  <si>
    <t>Accumulation of PBDEs and MeO-PBDEs in notothenioid fish from the South Shetland Islands, Antarctica: An interspecies comparative study</t>
  </si>
  <si>
    <t>Antarctic fish; MeO-PBDEs; PBDEs; Notothenioidei; Species-specific accumulation</t>
  </si>
  <si>
    <t>POLYBROMINATED DIPHENYL ETHERS; PERSISTENT ORGANIC POLLUTANTS; DECABROMODIPHENYL ETHER; FLAME RETARDANTS; BIOTRANSFORMATION; PROFILES; PESTICIDES; MECHANISM; INSHORE; ECOLOGY</t>
  </si>
  <si>
    <t>Concentrations of polybrominated diphenyl ethers (PBDEs) and methoxylated polybrominated diphenyl ethers (MeO-PBDEs); are reported in specimens of fish notothenioids Chaenocephalus aceratus (SSI), Trematomus bernacchii (ERN), and Nototheniops nudifrons (NOD) from the South Shetland Islands, Antarctica. Significant differences in the accumulation of 2 '-MeO-BDE-68 and 6-MeO-BDE-47 were detected among the analysed species. MeO-BDEs were significantly higher in SSI (11.7, 8.6, and 14.1 ng g-1 lw) than in NOD (1.63, 1.63, and 3.0 ng g-1 lw) in muscle, liver, and gill, respectively. Feeding ecology traits explain the accumulation patterns of MeOPBDEs. SSI has a higher feeding activity with a broader diet, followed by ERN, whereas NOD is a benthic/ sedentary fish with a narrower diet. The accumulation of PBDEs was neither species-, nor tissue-specific. The current study expands the knowledge concerning the accumulation of PBDEs and MeO-PBDEs in Antarctic marine fish and supports the importance of species-specificity in the accumulation of MeO-PBDEs.</t>
  </si>
  <si>
    <t>[Rios, Juan Manuel; Mammana, Sabrina B.; Altamirano, Jorgelina C.] CCT CONICET, Inst Argentino Nivol Glaciol &amp; Ciencias Ambiental, Lab Quim Ambiental, RA-5500 Mendoza, Argentina; [Mammana, Sabrina B.; Ciocco, Nestor F.; Altamirano, Jorgelina C.] Univ Nacl Cuyo, Fac Ciencias Exactas &amp; Nat, Mendoza, Argentina; [Moreira, Eugenia; Barrera-Oro, Esteban] Inst Antartico Argentino IAA, Buenos Aires, DF, Argentina; [Moreira, Eugenia] UNCPBA, Fac Agron, INBIOTEC CONICET, Lab Biol Func &amp; Biotecnol BIOLAB, RA-7300 Buenos Aires, DF, Argentina; [Poma, Giulia; Malarvannan, Govindan; Covaci, Adrian] Univ Antwerp, Dept Pharmaceut Sci, Toxicol Ctr, Univ Pl 1, B-2610 Antwerp, Belgium; [Barrera-Oro, Esteban] Museo Argentino Ciencias Nat Bernardino Rivadavia, Buenos Aires, DF, Argentina; [Barrera-Oro, Esteban] Consejo Nacl Invest Cient &amp; Tecn, Buenos Aires, DF, Argentina; [Ciocco, Nestor F.] CCT CONICET, Inst Argentino Invest Zonas Aridas IADIZA, RA-5500 Mendoza, Argentina; [Mammana, Sabrina B.] CCT CONICET, Inst Biol Agr Mendoza IBAM, RA-5505 Mendoza, Argentina; [Rios, Juan Manuel] CCT CONICET, Inst Med &amp; Biol Expt Cuyo IMBECU, RA-5505 Mendoza, Argentina</t>
  </si>
  <si>
    <t>Consejo Nacional de Investigaciones Cientificas y Tecnicas (CONICET); University Nacional Cuyo Mendoza; University of Antwerp; Museo Argentino de Ciencias Naturales Bernardino Rivadavia (MACN); Consejo Nacional de Investigaciones Cientificas y Tecnicas (CONICET); Consejo Nacional de Investigaciones Cientificas y Tecnicas (CONICET); Consejo Nacional de Investigaciones Cientificas y Tecnicas (CONICET); Consejo Nacional de Investigaciones Cientificas y Tecnicas (CONICET)</t>
  </si>
  <si>
    <t>Altamirano, JC (corresponding author), CCT CONICET, Inst Argentino Nivol Glaciol &amp; Ciencias Ambiental, Lab Quim Ambiental, RA-5500 Mendoza, Argentina.</t>
  </si>
  <si>
    <t>jaltamirano@mendoza.conicet.gob.ar</t>
  </si>
  <si>
    <t>Mammana, Sabrina/KHZ-1676-2024; Altamirano, Jorgelina Cecilia/IUO-1523-2023; Malarvannan, Govindan/A-6264-2014; Poma, Giulia/AAJ-2506-2020; Covaci, Adrian/A-9058-2008</t>
  </si>
  <si>
    <t>Malarvannan, Govindan/0000-0002-2212-8617; Poma, Giulia/0000-0003-0597-2653; Covaci, Adrian/0000-0003-0527-1136; Altamirano, Jorgelina/0000-0002-4022-3810; MOREIRA, EUGENIA/0000-0002-3704-1696; Mammana, Sabrina Belen/0000-0001-6548-4315; Rios, Juan Manuel/0000-0001-7018-1458</t>
  </si>
  <si>
    <t>Consejo Nacional de Investigaciones Cientificas y Tecnicas (CONICET); Direccion Nacional del Antartico, Agencia Nacional de Promocion Cientifica y Tecnologica [ANPCyT PICT 2016:0093, PICT 2017:1091, PICT 2018:03310]; EU H2020 INTERWASTE [W911NF1910423, 734522, SIIPUNCuyo 06/M062]; U.S. Department of Defense (DOD) [W911NF1910423] Funding Source: U.S. Department of Defense (DOD)</t>
  </si>
  <si>
    <t>Consejo Nacional de Investigaciones Cientificas y Tecnicas (CONICET)(Consejo Nacional de Investigaciones Cientificas y Tecnicas (CONICET)); Direccion Nacional del Antartico, Agencia Nacional de Promocion Cientifica y Tecnologica; EU H2020 INTERWASTE(European Union (EU)); U.S. Department of Defense (DOD)(United States Department of Defense)</t>
  </si>
  <si>
    <t>This work was supported by Consejo Nacional de Investigaciones Cientificas y Tecnicas (CONICET) , Direccion Nacional del Antartico, Agencia Nacional de Promocion Cientifica y Tecnologica [ANPCyT PICT 2016:0093, PICT 2017:1091, and PICT 2018:03310] ; W911NF1910423, EU H2020 INTERWASTE ID# 734522 and SIIPUNCuyo 06/M062. Additional financial support was provided by the EU H2020 INTER-WASTE project (grant agreement, 734522) , for the secondment of S. Mammana to the University of Antwerp.</t>
  </si>
  <si>
    <t>10.1016/j.marpolbul.2021.112453</t>
  </si>
  <si>
    <t>SS5YF</t>
  </si>
  <si>
    <t>WOS:000661830900002</t>
  </si>
  <si>
    <t>Saggiomo, M; Escalera, L; Bolinesi, F; Rivaro, P; Saggiomo, V; Mangoni, O</t>
  </si>
  <si>
    <t>Saggiomo, M.; Escalera, L.; Bolinesi, F.; Rivaro, P.; Saggiomo, V; Mangoni, O.</t>
  </si>
  <si>
    <t>Diatom diversity during two austral summers in the Ross Sea (Antarctica)</t>
  </si>
  <si>
    <t>Centric; Diatom; Pennate; Ross Sea</t>
  </si>
  <si>
    <t>TERRA-NOVA BAY; PHAEOCYSTIS-ANTARCTICA; PHYTOPLANKTON BIOMASS; SURFACE SEDIMENTS; ICE-EDGE; OCEAN; IRON; ASSEMBLAGES; GROWTH; COMMUNITIES</t>
  </si>
  <si>
    <t>Phytoplankton blooms in the Ross Sea generally occur during late spring-early summer, especially in the marginal ice zone, polynya areas and continental shelves. These blooms are generally dominated by many species of diatoms and the haptophyte Phaeocystis antarctica, and are driven by water column dynamics. However, most of the information on diatoms in the Ross Sea regards their ecological and biogeochemical role in Antarctic waters, with few and fragmented data describing the species composition. In order to contribute to the information on diatom diversity in the Ross Sea, data from two oceanographic cruises carried out in austral summers 2014 and 2017, have been analyzed also with respect to their spatial variability. Up to four genera, such as the pennates Fragilariopsis and Pseudo-nitzschia and the centrics Dactyliosolen and Chaetoceros, were mainly observed during the cruises. In both years, pennates dominated at coastal stations in early summer, while centric diatoms dominated in offshore waters particularly at 0 m in mid-summer. The most abundant species was Pseudo-nitzschia subcurvata contrarily to that reported by previous studies where Fragilariopsis curta and F. cylindrus were the most abundant species. Regarding the role of diatoms in the Antarctic food web, changes in species composition should be considered in light of recent studies on the effect of the ongoing climate change in the Ross Sea.</t>
  </si>
  <si>
    <t>[Saggiomo, M.; Escalera, L.; Bolinesi, F.; Saggiomo, V] Dept Res Infrastruct Marine Biol Resources, Stn Zool Anton Dohrn, Villa Comunale 1, I-80121 Naples, Italy; [Bolinesi, F.; Mangoni, O.] Univ Napoli Federico II, Complesso Univ Monte St Angelo, Dept Biol, I-80134 Naples, Italy; [Rivaro, P.] Univ Genoa, Dept Chem &amp; Ind Chem, Via Dodecaneso 31, I-16146 Genoa, Italy; [Mangoni, O.] CoNISMa, Piazzale Flaminio 9, I-00196 Rome, Italy</t>
  </si>
  <si>
    <t>Stazione Zoologica Anton Dohrn di Napoli; University of Naples Federico II; University of Genoa; CoNISMa</t>
  </si>
  <si>
    <t>Saggiomo, M; Escalera, L (corresponding author), Dept Res Infrastruct Marine Biol Resources, Stn Zool Anton Dohrn, Villa Comunale 1, I-80121 Naples, Italy.</t>
  </si>
  <si>
    <t>maria.saggiomo@szn.it; laura.escalera@szn.it</t>
  </si>
  <si>
    <t>Escalera, Laura/0000-0003-0938-4250; Saggiomo, Maria/0000-0001-5794-0050</t>
  </si>
  <si>
    <t>Italian National Antarctic Program (PNRA) [2013/AN2.04, 2016/A3.06, PNRA16_00207 -A3]</t>
  </si>
  <si>
    <t>Italian National Antarctic Program (PNRA)</t>
  </si>
  <si>
    <t>This study has been conducted thanks to three projects of the Italian National Antarctic Program (PNRA): RoME (2013/AN2.04), P-ROSE (2016/A3.06) and CELEBeR (PNRA16_00207 -A3). We thank the officers, crew and technical personnel on board the R/V Italica, A. Passarelli and G. Zazo for their help during the cruises and F. Iamunno for his technical support with SEM.</t>
  </si>
  <si>
    <t>10.1016/j.marmicro.2021.101993</t>
  </si>
  <si>
    <t>SO7OG</t>
  </si>
  <si>
    <t>WOS:000659164000010</t>
  </si>
  <si>
    <t>Reguero, MA; Goin, FJ</t>
  </si>
  <si>
    <t>Reguero, Marcelo A.; Goin, Francisco J.</t>
  </si>
  <si>
    <t>Paleogeography and biogeography of the Gondwanan final breakup and its terrestrial vertebrates: New insights from southern South America and the double Noah's Ark Antarctic Peninsula</t>
  </si>
  <si>
    <t>South America; Antarctic Peninsula; Mesozoic; Cenozoic; Mammalia; Biogeography; Paleogeography</t>
  </si>
  <si>
    <t>SAN JORGE BASIN; NEW-AGE CONSTRAINTS; JAMES ROSS BASIN; LAND MAMMAL AGE; DRAKE PASSAGE; EARLY EOCENE; PALEOENVIRONMENTAL EVOLUTION; CRETACEOUS EXTINCTIONS; ARGENTINA IMPLICATIONS; ORNITHOPOD DINOSAURIA</t>
  </si>
  <si>
    <t>The Mesozoic plate tectonic and paleogeographic history of the final break up of West Gondwana had a profound effect on the distribution of terrestrial vertebrates in South America. As the supercontinent fragmented into a series of large landmasses (South America, Antarctica, Australia, New Zealand, the Indian subcontinent, and Madagascar), particularly during the Late Jurassic and Cretaceous, its terrestrial vertebrates became progressively isolated, evolving into unique faunal assemblages. The episodic nature of South American mammalian Cenozoic faunas became apparent in its modern formulation after George Gaylord Simpson's seminal works on this topic. Two aspects add complexity to this generally accepted scheme: first, the fact that South America is not (and was not) a biogeographic unit, as the Neotropical Region does not include its southernmost tip (the Andean Region, including Patagonia and the southern Andes). Second, and intimately linked with the first one, that South America was not an island continent during the Late Cretaceous and the beginning of the Cenozoic, being its southernmost portion closely linked with West Antarctica up to the late Paleocene at least. Here we stress on this second aspect; we summarize a series of recent, detailed paleogeographical analyses of the continental breakup between Patagonia (including the Magallanes Region) and the Antarctic Peninsula crustal block, beginning with the opening of the Atlantic Ocean in the Early Cretaceous and running up to the Early Paleogene with the expansion of the Scotia Basin. In second place, we comment on the implications of these distinct paleogeographic and paleobiogeographic scenarios (before and after their geographic and faunistic isolation) for the evolution of South American terrestrial mammalian faunas. Summarizing, (1) we recognize a West Weddellian terrestrial biogeographic unit with the assemblage of the southern part of South America (Patagonia and the Magallanes Region) and the Antarctic Peninsula (and probably Thurston Island) crustal block of West Antarctica, spanning from the Late Cretaceous (Campanian) through the Early Paleogene (Paleocene); (2) we suggest that the Antarctic Peninsula acted as a double Noah's Ark regarding, first, the probable migration of some non-therian lineages into southern South America; later, the migration of metatherians to Australasia.</t>
  </si>
  <si>
    <t>[Reguero, Marcelo A.; Goin, Francisco J.] Univ Nacl La Plata, Fac Ciencias Nat &amp; Museo, Div Paleontol Vertebrados, Paseo Bosque S-N,B1900FWA, La Plata, Argentina; [Reguero, Marcelo A.] Inst Antartico Argentino, 25 Mayo 1151,CP 1650, Buenos Aires, DF, Argentina; [Reguero, Marcelo A.; Goin, Francisco J.] Consejo Nacl Invest Cient &amp; Tecn, CONICET, Buenos Aires, DF, Argentina</t>
  </si>
  <si>
    <t>National University of La Plata; Museo La Plata; Instituto Antartico Argentino; Consejo Nacional de Investigaciones Cientificas y Tecnicas (CONICET)</t>
  </si>
  <si>
    <t>Reguero, MA (corresponding author), Univ Nacl La Plata, Fac Ciencias Nat &amp; Museo, Div Paleontol Vertebrados, Paseo Bosque S-N,B1900FWA, La Plata, Argentina.</t>
  </si>
  <si>
    <t>regui@fcnym.unlp.edu.ar; fgoin@fcnym.unlp.edu.ar</t>
  </si>
  <si>
    <t>Reguero, Marcelo A./0000-0003-0875-8484</t>
  </si>
  <si>
    <t>Agencia (MINCYT, Argentina) [PICT 2017-0607]</t>
  </si>
  <si>
    <t>Agencia (MINCYT, Argentina)</t>
  </si>
  <si>
    <t>F. Goin thanks Agencia (MINCYT, Argentina, PICT 2019-03289). M. Reguero thanks Agencia (MINCYT, Argentina, PICT 2017-0607.</t>
  </si>
  <si>
    <t>10.1016/j.jsames.2021.103358</t>
  </si>
  <si>
    <t>SH8LS</t>
  </si>
  <si>
    <t>WOS:000654383900001</t>
  </si>
  <si>
    <t>Isla, E; DeMaster, DJ</t>
  </si>
  <si>
    <t>Isla, Enrique; DeMaster, David J.</t>
  </si>
  <si>
    <t>Biogenic matter content in marine sediments in the vicinity of the Antarctic Peninsula: Recent sedimentary conditions under a diverse environment of production, transport, selective preservation and accumulation</t>
  </si>
  <si>
    <t>Pb-210; Sediment accumulation rates; Biogeochemistry; Antarctic Peninsula; Organic carbon; Biogenic silica</t>
  </si>
  <si>
    <t>CONTINENTAL-SHELF DEPOSITS; DOWNWARD PARTICLE FLUXES; ORGANIC-CARBON; BRANSFIELD STRAIT; WEDDELL SEA; WESTERN BRANSFIELD; SURFACE SEDIMENTS; SOUTHERN-OCEAN; FECAL PELLETS; VERTICAL FLUX</t>
  </si>
  <si>
    <t>Burial fluxes of organic carbon and biogenic silica were determined in 17 continental shelf sediment cores collected from the northern Weddell Sea, the Bransfield Strait, and the southern Drake Passage. Coring sites included open-shelf stations as well as slope and glacial trough environments, with water depths varying from 220 to 760 m. Apparent Pb-210 accumulation rates from these cores ranged from 0.04 g m(-2)y(-1) to 0.21 g m(-2)y(-1) (1 to 3 mm y(-1)), with organic carbon burial rates ranging from 3 to 15 g OC m(-2)y(-1) and biogenic silica accumulation rates ranging from 15 to 126 g SiO2 m(-2)y(-1). OC contents below the surface mixed layer ranged from 0.26 to 1.51 wt. % (avg. 0.64 %). Biogenic silica contents at depth ranged from 2.3 to 11.2 wt. % (avg. 7.5%), with an average bSi/OC ratio (wt. %/wt. %) at depth of 12. Annual OC primary production rates and biogenic silica production rates in the euphotic zone were estimated from satellite chlorophyll-a data in the literature and from a seasonal model for biogenic particle export from surface waters. Based on these biogeochemical data, preservation efficiencies (i.e., mass burial rate/water column production rate) were calculated for organic carbon and biogenic silica. These preservation efficiency values ranged from 2 to 18% (avg. 9%) for OC and 8 to 106% (avg. 54%) for bSi. These relatively high preservation efficiencies resulted from extensive lateral sediment focusing (Pb-210 Psi (Psi) values [burial flux/water column production rate] ranging from 2 to 33; avg. of 16), cold bottom water temperatures (2 to -2 degrees C), and relatively high biogenic Si and OC production rates in the euphotic zone. The enhanced preservation efficiency for bSi relative to OC (i.e., 54% vs. 9%) in these Antarctic settings is consistent with the change in the phytoplankton bSi/OC (wt. %/wt. %) value of 2 for this area to the burial bSi/OC value of 12. Excess Pb-210 activities in surface sediments varied from 4 to 47 dpm g(-1). The surface mixed layer in the seabed varied in thickness from 0 to 4 cm. The penetration of excess Pb-210 into these Antarctic Peninsula sediments varied from 6 to 28 cm (avg. 18 cm). The inventory of excess Pb-210 in the seabed varied from 13 to 230 dpm cm(-2) (avg. 110 dpm cm(-2)). Although Pb-210 was the only radionuclide measured in this study, apparent Pb-210 sediment accumulation rate (SAR) values from these 17 cores (assuming that deep bioturbation is negligible) are believed to be accurate SAR values because of good agreement between Pb-210 and C-14 chronologies from nearby cores reported in the literature. (C) 2021 Elsevier Ltd. All rights reserved.</t>
  </si>
  <si>
    <t>[Isla, Enrique] CSIC, Inst Ciencies Mar, Passeig Maritim Barceloneta 37-49, Barcelona 08003, Spain; [DeMaster, David J.] North Carolina State Univ, Dept Marine Earth &amp; Atmospher Sci, Raleigh, NC 27695 USA</t>
  </si>
  <si>
    <t>Consejo Superior de Investigaciones Cientificas (CSIC); CSIC - Centro Mediterraneo de Investigaciones Marinas y Ambientales (CMIMA); CSIC - Instituto de Ciencias del Mar (ICM); North Carolina State University</t>
  </si>
  <si>
    <t>Isla, E (corresponding author), CSIC, Inst Ciencies Mar, Passeig Maritim Barceloneta 37-49, Barcelona 08003, Spain.</t>
  </si>
  <si>
    <t>isla@icm.csic.es</t>
  </si>
  <si>
    <t>Boning, Philipp/0009-0003-7375-4567; Isla, Enrique/0000-0003-4959-6936</t>
  </si>
  <si>
    <t>Spanish Ministry of Economy and Competitiveness as part of the project ECOWED [CTM201239350C0201]</t>
  </si>
  <si>
    <t>Spanish Ministry of Economy and Competitiveness as part of the project ECOWED</t>
  </si>
  <si>
    <t>We would like to thank the captain and the crew of the R/V Polarstern expedition PS81 for their most dedicated support. This work was funded by the Spanish Ministry of Economy and Competitiveness as part of the project ECOWED (CTM201239350C0201) . We are thankful for the valuable assistance of Dr. R. Taylor in the laboratory. We thank the two Reviewers and the Editors for their constructive comments on the original manuscript.</t>
  </si>
  <si>
    <t>10.1016/j.gca.2021.04.021</t>
  </si>
  <si>
    <t>SJ4KG</t>
  </si>
  <si>
    <t>WOS:000655500800003</t>
  </si>
  <si>
    <t>Patzer, A; Bullock, ES; Alexander, CMO</t>
  </si>
  <si>
    <t>Patzer, Andrea; Bullock, Emma S.; Alexander, Conel M. O'D</t>
  </si>
  <si>
    <t>Testing models for the compositions of chondrites and their components: I. CO chondrites</t>
  </si>
  <si>
    <t>Chondrule-matrix complementarity; Four-component model; Carbonaceous chondrites; CO chondrites; DOM 08006; ALH 77307; Acfer 094; Kainsaz</t>
  </si>
  <si>
    <t>EARLY SOLAR-SYSTEM; DOMINION RANGE 08006; CARBONACEOUS CHONDRITE; REFRACTORY INCLUSIONS; ACFER 094; ORGANIC-MATTER; CHEMICAL-COMPOSITION; ISOTOPIC EVIDENCE; CV3 CHONDRITES; CHONDRULES</t>
  </si>
  <si>
    <t>We present the first results of a comprehensive investigation aimed at testing the hypothesis of chondrule-matrix complementarity and the four-component model for the compositions of the carbonaceous chondrites and their components. Combining point-counting with electron microprobe analyses, we have determined the bulk compositions of thin sections, as well as the average abundances and compositions of the major chondritic components (chondrules, matrix, refractory inclusions, isolated silicate grains and isolated opaque grains). To minimize the potential for element exchange between components during parent body processing, the two most primitive COs, DOM 08006 and ALH 77307, and the primitive ungrouped CO/CM-like Acfer 094 were selected for this study. To verify our method, we also examined one section of the well-studied CO3.2 Kainsaz, a fall that is free of weathering. We were able to reproduce all major and many minor elemental concentrations reported in the literature for average bulk COs and Kainsaz to better than 10%. The elements most commonly cited as displaying evidence for complementarity are Mg, Si, Al, Ca, Fe and Ti. Iron, however, can be easily affected by chondrule metal-silicate fractionation, redistribution in the parent body and weathering, and our Ti data for matrix are likely compromised by an analytical artifact. Hence, we focused on Mg, Al, Si and Ca - four elements that we can determine very accurately - and show that their relative abundances in chondrules are on average CI-like within the uncertainties of the method. The matrix is not CI-like, but its composition can be explained by the loss of 10-15 wt.% of forsterite from an initially CI-like material prior to or during parent body accretion. These results are inconsistent with chondrule-matrix complementarity. Our average CO chondrule compositions, as well as chondrule and matrix abundances, are in line with the predictions of the four-component model. However, the four-component model assumes a CI-like composition for matrix, and also predicts refractory inclusion abundances that are higher and compositions that are less refractory than we observe. While similar studies of the other carbonaceous chondrite groups are needed, these differences may indicate the limitations of the simplifying assumptions made in the four-component model. (C) 2021 Elsevier Ltd. All rights reserved.</t>
  </si>
  <si>
    <t>[Patzer, Andrea; Bullock, Emma S.; Alexander, Conel M. O'D] Carnegie Inst Sci, Earth &amp; Planets Lab, 5241 Broad Branch Rd NW, Washington, DC 20015 USA</t>
  </si>
  <si>
    <t>Carnegie Institution for Science</t>
  </si>
  <si>
    <t>Patzer, A (corresponding author), Carnegie Inst Sci, Earth &amp; Planets Lab, 5241 Broad Branch Rd NW, Washington, DC 20015 USA.</t>
  </si>
  <si>
    <t>apatzer@uni-muenster.de</t>
  </si>
  <si>
    <t>Alexander, Conel M. O'D./N-7533-2013; Bullock, Emma/A-3870-2016</t>
  </si>
  <si>
    <t>Alexander, Conel M. O'D./0000-0002-8558-1427;</t>
  </si>
  <si>
    <t>NASA Emerging Worlds grant [80NSSC18K0599]; DFG [PA 2357/6-1]; NSF; NASA</t>
  </si>
  <si>
    <t>NASA Emerging Worlds grant; DFG(German Research Foundation (DFG)); NSF(National Science Foundation (NSF)); NASA(National Aeronautics &amp; Space Administration (NASA))</t>
  </si>
  <si>
    <t>This work was made possible by NASA Emerging Worlds grant 80NSSC18K0599 and DFG grant PA 2357/6-1 (AP). The authors would like to thank NASA's Johnson Space Center for supplying the sections of DOM 08006 and ALH 77307. US Antarctic meteorite samples are recovered by the Antarctic Search for Meteorites (ANSMET) program, which has been funded by the NSF and NASA, and characterized and curated by the Department of Mineral Sciences of the Smithsonian Institution and the Astromaterials Curation Office at NASA Johnson Space Center. The sections of Kainsaz and Acfer 094 were kindly provided by The National Museum of Natural History in Washington D.C. Thorough and thoughtful revisions of the Associate Editor R. H. Jones, as well as J. Davidson and an anonymous reviewer, contributed significantly to improving the original manuscript and are thankfully acknowledged.</t>
  </si>
  <si>
    <t>10.1016/j.gca.2021.04.004</t>
  </si>
  <si>
    <t>WOS:000655500800007</t>
  </si>
  <si>
    <t>Ming, TZ; de Richter, R; Oeste, FD; Tulip, R; Caillol, S</t>
  </si>
  <si>
    <t>Ming, Tingzhen; de Richter, Renaud; Oeste, Franz Dietrich; Tulip, Robert; Caillol, Sylvain</t>
  </si>
  <si>
    <t>A nature-based negative emissions technology able to remove atmospheric methane and other greenhouse gases</t>
  </si>
  <si>
    <t>ATMOSPHERIC POLLUTION RESEARCH</t>
  </si>
  <si>
    <t>Greenhouse gas removal; Climate restoration; Methane removal; Chlorine atom; Iron deficiency; Iron salt aerosol; Nature-based solution; Black carbon</t>
  </si>
  <si>
    <t>OCEAN IRON FERTILIZATION; SOUTHERN-OCEAN; MINERAL DUST; BLACK CARBON; MARINE-PHYTOPLANKTON; PRIMARY PRODUCTIVITY; ANAEROBIC OXIDATION; PARTICULATE MATTER; BIOAVAILABLE IRON; ANTARCTIC KRILL</t>
  </si>
  <si>
    <t>Fulfilling the Paris Climate Agreement requires reducing rapidly the new emissions of greenhouse gases (GHGs) to reach net zero by 2050. As some anthropogenic emissions cannot be zero, to compensate them it will be necessary to remove GHGs from the atmosphere. Among possible methods, the Iron Salt Aerosol (ISA) offers new possibilities, including removal of methane and several other GHGs, as well as carbon dioxide. Several studies suggest that anthropogenic emissions of iron participate in the current primary productivity. As plans to decarbonize the world economy might also have inadvertent warming effects due to the reduction of iron emissions from fossil fuels burning, iron additions might help address this issue. ISA is different from the method known as Ocean Iron Fertilization and the differences are explained. ISA mimic natural processes and the dust which probably participated in the cooling during the ice-ages over the past million years. Still larger laboratory trials, safety and environmental impact studies and global chemical computer modeling are necessary before ISA would be ready to be trialed. Desk and laboratory studies indicate low cost, easy deployment and efficacy, all of which can be validated by future small scale field trials, a step needed before, if successful, a possible implementation at a climate-relevant scale.</t>
  </si>
  <si>
    <t>[Ming, Tingzhen] Wuhan Univ Technol, Sch Civil Engn &amp; Architecture, Wuhan 430070, Peoples R China; [Ming, Tingzhen] Huanggang Normal Univ, Sch Architectural Engn, 146 Xingang Second Rd, Huanggang 438000, Peoples R China; [de Richter, Renaud] Tour Solaire Fr, 8 Impasse Papillons, F-34090 Montpellier, France; [Oeste, Franz Dietrich] gM Ingn Bur, Tannenweg 2, D-35274 Kirchhain, Germany; [Tulip, Robert] 8 Nott St, Fraser, ACT 2615, Australia; [Caillol, Sylvain] Inst Charles Gerhardt, CNRS 5253, ENSCM, F-34296 Montpellier 5, France</t>
  </si>
  <si>
    <t>Wuhan University of Technology; Huanggang Normal University</t>
  </si>
  <si>
    <t>Ming, TZ (corresponding author), Wuhan Univ Technol, Sch Civil Engn &amp; Architecture, Wuhan 430070, Peoples R China.;Ming, TZ (corresponding author), Huanggang Normal Univ, Sch Architectural Engn, 146 Xingang Second Rd, Huanggang 438000, Peoples R China.;de Richter, R (corresponding author), Tour Solaire Fr, 8 Impasse Papillons, F-34090 Montpellier, France.</t>
  </si>
  <si>
    <t>tzming@whut.edu.cn; renaud.derichter@gmail.com</t>
  </si>
  <si>
    <t>CAILLOL, Sylvain/AAV-1641-2020; Ming, Tingzhen/B-5833-2019</t>
  </si>
  <si>
    <t>CAILLOL, Sylvain/0000-0003-3106-5547;</t>
  </si>
  <si>
    <t>National Natural Science Foundation of China [51778511]; Hubei Provincial Natural Science Foundation of China [2018CFA029]; Key Project of ESI Discipline Development of Wuhan University of Technology [2017001]; Scientific Research Foundation of Wuhan University of Technology [40120237]</t>
  </si>
  <si>
    <t>National Natural Science Foundation of China(National Natural Science Foundation of China (NSFC)); Hubei Provincial Natural Science Foundation of China(National Natural Science Foundation of China (NSFC)); Key Project of ESI Discipline Development of Wuhan University of Technology; Scientific Research Foundation of Wuhan University of Technology</t>
  </si>
  <si>
    <t>This research was supported by the National Natural Science Foundation of China (Grant No. 51778511), Hubei Provincial Natural Science Foundation of China (Grant No. 2018CFA029), Key Project of ESI Discipline Development of Wuhan University of Technology (Grant No. 2017001), the Scientific Research Foundation of Wuhan University of Technology (Grant No. 40120237).</t>
  </si>
  <si>
    <t>TURKISH NATL COMMITTEE AIR POLLUTION RES &amp; CONTROL-TUNCAP</t>
  </si>
  <si>
    <t>BUCA</t>
  </si>
  <si>
    <t>DOKUZ EYLUL UNIV, DEPT ENVIRONMENTAL ENGINEERING, TINAZTEPE CAMPUS, BUCA, IZMIR 35160, TURKEY</t>
  </si>
  <si>
    <t>1309-1042</t>
  </si>
  <si>
    <t>ATMOS POLLUT RES</t>
  </si>
  <si>
    <t>Atmos. Pollut. Res.</t>
  </si>
  <si>
    <t>10.1016/j.apr.2021.02.017</t>
  </si>
  <si>
    <t>SB1BP</t>
  </si>
  <si>
    <t>WOS:000649737400003</t>
  </si>
  <si>
    <t>Altieri, KE; Spence, KAM; Smith, S</t>
  </si>
  <si>
    <t>Altieri, K. E.; Spence, K. A. M.; Smith, S.</t>
  </si>
  <si>
    <t>Air-Sea Ammonia Fluxes Calculated From High-Resolution Summertime Observations Across the Atlantic Southern Ocean</t>
  </si>
  <si>
    <t>ammonia; air‐ sea flux; Southern Ocean</t>
  </si>
  <si>
    <t>AEROSOL; EMISSION; SEAWATER; SULFATE; MARINE; WATER; ATMOSPHERE; PARTICLES; FRONTS; CYCLES</t>
  </si>
  <si>
    <t>Oceanic ammonia emissions are the largest natural source of ammonia globally, but the magnitude of the air-sea flux in remote regions with minimal human influence remains uncertain. Here, we measured the concentration of surface ocean ammonium and atmospheric ammonia gas every two hours across a latitudinal transect (34.5 degrees S to 61 degrees S) of the Atlantic Southern Ocean during summer. Surface ocean ammonium concentrations ranged from undetectable to 0.36 mu M and ammonia gas concentrations ranged from 0.6 to 5.1 nmol m(-3). Calculated ammonia fluxes ranged from -2.8 to -75 pmol m(-2) s(-1), and were consistently from the atmosphere into the ocean, even in regions where surface ocean ammonium concentrations were relatively high. As expected, temperature was the dominant control on the air-sea ammonia flux across the latitudinal transect. However, a sensitivity analysis suggests that seasonality in the surface Southern Ocean nitrogen cycle may have a major influence on the direction of the ammonia flux.</t>
  </si>
  <si>
    <t>[Altieri, K. E.; Spence, K. A. M.; Smith, S.] Univ Cape Town, Dept Oceanog, Rondebosch, South Africa</t>
  </si>
  <si>
    <t>University of Cape Town</t>
  </si>
  <si>
    <t>Altieri, KE (corresponding author), Univ Cape Town, Dept Oceanog, Rondebosch, South Africa.</t>
  </si>
  <si>
    <t>katye.altieri@uct.ac.za</t>
  </si>
  <si>
    <t>Altieri, Katye/GWV-4512-2022</t>
  </si>
  <si>
    <t>Altieri, Katye/0000-0002-6778-4079; Spence, Kurt/0000-0003-0837-3234</t>
  </si>
  <si>
    <t>South African National Research Foundation through an Equipment-related Travel and Training Grant [118615]; South African National Antarctic Programme Grants [110732, 110735]; Competitive Support for Rated Researchers Grant [111716]; Freestanding, Innovation and Scarce Skills Development Fund Masters Scholarship [113193, 120105]; UCT; VC Future Leaders 2030 Grant</t>
  </si>
  <si>
    <t>South African National Research Foundation through an Equipment-related Travel and Training Grant; South African National Antarctic Programme Grants; Competitive Support for Rated Researchers Grant; Freestanding, Innovation and Scarce Skills Development Fund Masters Scholarship; UCT; VC Future Leaders 2030 Grant</t>
  </si>
  <si>
    <t>The authors thank Captain Knowledge Bengu, Captain Gavin Syndecombe, and the crew of the R/V SA Agulhas II for their professional support throughout the cruises and their assistance in installing the AIM-IC. We thank the University of Cape Town Marine Biogeochemistry Lab for assistance at-sea: R. Flynn, J. Burger, and H. Luyt. This work was supported by the South African National Research Foundation through an Equipment-related Travel and Training Grant to K. E. Altieri (118615), South African National Antarctic Programme Grants to K. E. Altieri (110732) and to S.E. Fawcett (110735), Competitive Support for Rated Researchers Grant to K. E. Altieri (111716), Freestanding, Innovation and Scarce Skills Development Fund Masters Scholarship to K. A. M. Spence (113193) and Doctoral Scholarship to S. Smith (120105); UCT support to K. E. Altieri through a University Research Council Launching Grant University Equipment Committee Grant, and a VC Future Leaders 2030 Grant, and to S. Smith through a VC Doctoral Research Scholarship.</t>
  </si>
  <si>
    <t>MAY 8</t>
  </si>
  <si>
    <t>e2020GL091963</t>
  </si>
  <si>
    <t>10.1029/2020GL091963</t>
  </si>
  <si>
    <t>RZ6JF</t>
  </si>
  <si>
    <t>WOS:000648704000001</t>
  </si>
  <si>
    <t>Pauling, AG; Bushuk, M; Bitz, CM</t>
  </si>
  <si>
    <t>Pauling, Andrew G.; Bushuk, Mitchell; Bitz, Cecilia M.</t>
  </si>
  <si>
    <t>Robust Inter-Hemispheric Asymmetry in the Response to Symmetric Volcanic Forcing in Model Large Ensembles</t>
  </si>
  <si>
    <t>Asymmetry; large ensembles; sea ice; volcanic eruptions</t>
  </si>
  <si>
    <t>ARCTIC SEA-ICE; ERUPTIONS; EARTH; PHASE</t>
  </si>
  <si>
    <t>The climate response to volcanic eruptions in the twentieth century is difficult to separate from the influence of anthropogenic greenhouse gas forcing and internal variability. Here, we make use of recently available large ensembles of Earth-system model simulations to better understand the forced climate response to contemporary volcanic eruptions. While the Pinatubo eruption in June 1991 resulted in approximately symmetric forcing between the Northern and Southern Hemispheres, the ensemble-mean simulated temperature and sea ice responses it produces are asymmetric. The strongest cooling and sea ice expansion occur in the Arctic, while the responses in the Antarctic are weak. The damped high-latitude Southern Hemisphere response to volcanic forcing is analogous to the fast response to increased greenhouse gas concentrations, despite the differing physical nature of the forcing. We find that Arctic cooling in response to a Pinatubo-scale eruption may not occur due to the high internal variability in that region</t>
  </si>
  <si>
    <t>[Pauling, Andrew G.; Bitz, Cecilia M.] Univ Washington, Dept Atmospher Sci, Seattle, WA 98195 USA; [Bushuk, Mitchell] NOAA, Geophys Fluid Dynam Lab, Washington, DC USA</t>
  </si>
  <si>
    <t>University of Washington; University of Washington Seattle; National Oceanic Atmospheric Admin (NOAA) - USA</t>
  </si>
  <si>
    <t>Pauling, AG (corresponding author), Univ Washington, Dept Atmospher Sci, Seattle, WA 98195 USA.</t>
  </si>
  <si>
    <t>apauling@uw.edu</t>
  </si>
  <si>
    <t>Bitz, Cecilia M/S-8423-2016; Bushuk, Mitch/L-7032-2015</t>
  </si>
  <si>
    <t>Pauling, Andrew/0000-0003-4545-0809; Bitz, Cecilia/0000-0002-9477-7499; Bushuk, Mitch/0000-0002-0063-1465</t>
  </si>
  <si>
    <t>NOAA [NA18OAR4310274]</t>
  </si>
  <si>
    <t>NOAA(National Oceanic Atmospheric Admin (NOAA) - USA)</t>
  </si>
  <si>
    <t>Support for this project was provided by NOAA project number NA18OAR4310274. The authors acknowledge the CLIVAR Working Group on Large Ensembles for making the model output available. The authors acknowledge the World Climate Research Programme (WRCP), which, through its Working Group on Coupled Modeling, coordinated and promoted CMIP6. The authors thank the climate modeling groups for producing and making available their model output, the Earth System Grid Federation (ESGF) for archiving the data and providing access, and the multiple funding agencies who support CMIP6 and ESGF. The authors thank Dargan Frierson, Gabriel Vecchi, Wenchang Yang, and Emma McMahon for stimulating discussions.</t>
  </si>
  <si>
    <t>e2021GL092558</t>
  </si>
  <si>
    <t>10.1029/2021GL092558</t>
  </si>
  <si>
    <t>WOS:000648704000004</t>
  </si>
  <si>
    <t>Goldsworthy, L; Brennan, E</t>
  </si>
  <si>
    <t>Goldsworthy, Lynda; Brennan, Eaven</t>
  </si>
  <si>
    <t>Climate change in the Southern Ocean: Is the Commission for the Convention for the Conservation of Antarctic Marine Living Resources doing enough?</t>
  </si>
  <si>
    <t>CCAMLR; Southern Ocean; Antarctic; Climate change; Adaptive fisheries</t>
  </si>
  <si>
    <t>CHANGE IMPACTS; MANAGEMENT; ADAPTATION; WORLD</t>
  </si>
  <si>
    <t>Human activities in the Southern Ocean are managed through the international consensus-based Convention on the Conservation of Antarctic Marine Living Resources. In recent years, rapid environmental changes likely associated with the impact of global anthropogenic climate change have been reported in parts of the Antarctic region, and research suggests ongoing and increasing changes can be expected. The observed and projected changes reflected in Antarctic climate change research are likely to affect the efforts of the Convention's Commission to deliver the objective of the Convention - the conservation of Antarctic marine living resources - and will also influence the role of the Southern Ocean in delivering ecosystems services, including globally significant contributions to carbon capture and biodiversity. An analysis of the annual reports of the meetings of the Commission and its Scientific Committee finds that the Commission's considerations of climate change thus far are inadequate. The paper concludes that without prompt action to address the issue, the effects of climate change in the Convention area are highly likely to significantly impact the effective implementation of the Convention's objective. The possible implications of CCAMLR's failure to act going forward are explored, and some suggested management response actions are provided.</t>
  </si>
  <si>
    <t>[Goldsworthy, Lynda] Univ Tasmania, Inst Marine &amp; Antarctic Studies, 20 Castray Pde, Hobart, Tas 7004, Australia; [Goldsworthy, Lynda] Ctr Marine Socioecol, Hobart, Tas, Australia; [Brennan, Eaven] Univ Technol Sydney, Fac Design Architecture &amp; Bldg, 15 Broadway, Ultimo, NSW 2007, Australia</t>
  </si>
  <si>
    <t>University of Tasmania; University of Technology Sydney</t>
  </si>
  <si>
    <t>Goldsworthy, L (corresponding author), Univ Tasmania, Inst Marine &amp; Antarctic Studies, 20 Castray Pde, Hobart, Tas 7004, Australia.</t>
  </si>
  <si>
    <t>lynda.goldsworthy@utas.edu.au; eavan.r.brennan@student.uts.edu.au</t>
  </si>
  <si>
    <t>Goldsworthy, Lynda/0000-0003-1426-4915</t>
  </si>
  <si>
    <t>10.1016/j.marpol.2021.104549</t>
  </si>
  <si>
    <t>TE7HR</t>
  </si>
  <si>
    <t>WOS:000670179900017</t>
  </si>
  <si>
    <t>Haward, M; Haas, B</t>
  </si>
  <si>
    <t>Haward, Marcus; Haas, Bianca</t>
  </si>
  <si>
    <t>The Need for Social Considerations in SDG 14</t>
  </si>
  <si>
    <t>fisheries management; human rights; labor conditions; regional fisheries management organizations; International Labor Organization</t>
  </si>
  <si>
    <t>STATE MEASURES AGREEMENT; FISHERIES; LABOR; CHALLENGES; SLAVERY; SCIENCE</t>
  </si>
  <si>
    <t>Sustainable Development Goal 14 acknowledges the need for action to achieve a sustainable future for our ocean. Many initiatives are working on ocean-related issues; however, social problems are often overlooked. In this article, we argue that to achieve a sustainable ocean, social aspects need to be considered. We explore the link between SDG 14 and SDG 8 as labor and working conditions on fishing vessels receive increasing attention. Regional Fisheries Management Organizations have the mandate to manage fisheries at the high seas, therefore, we argue that these organizations need to act on, and implement, resolutions and measures, addressing labor standards. Labor conditions related to the fishing sector have not received the level of scholarly attention that they deserve, thus more research is needed.</t>
  </si>
  <si>
    <t>[Haward, Marcus; Haas, Bianca] Inst Marine &amp; Antarctic Studies, Hobart, Tas, Australia; [Haward, Marcus; Haas, Bianca] Univ Tasmania, Ctr Marine Socioecol, Hobart, Tas, Australia</t>
  </si>
  <si>
    <t>Haward, M (corresponding author), Inst Marine &amp; Antarctic Studies, Hobart, Tas, Australia.;Haward, M (corresponding author), Univ Tasmania, Ctr Marine Socioecol, Hobart, Tas, Australia.</t>
  </si>
  <si>
    <t>marcus.haward@utas.edu.au</t>
  </si>
  <si>
    <t>MAY 7</t>
  </si>
  <si>
    <t>10.3389/fmars.2021.632282</t>
  </si>
  <si>
    <t>SD4TH</t>
  </si>
  <si>
    <t>WOS:000651365600001</t>
  </si>
  <si>
    <t>Bach, LT; Tamsitt, V; Gower, J; Hurd, CL; Raven, JA; Boyd, PW</t>
  </si>
  <si>
    <t>Bach, Lennart T.; Tamsitt, Veronica; Gower, Jim; Hurd, Catriona L.; Raven, John A.; Boyd, Philip W.</t>
  </si>
  <si>
    <t>Testing the climate intervention potential of ocean afforestation using the Great Atlantic Sargassum Belt</t>
  </si>
  <si>
    <t>PELAGIC SARGASSUM; CARBON-DIOXIDE; GAS-EXCHANGE; CO2; ALBEDO; TERRESTRIAL; PERMANENCE; MACROALGAE; ALKALINITY; MITIGATION</t>
  </si>
  <si>
    <t>Ensuring that global warming remains &lt; 2 degrees C requires rapid CO2 emissions reduction. Additionally, 100-900 gigatons CO2 must be removed from the atmosphere by 2100 using a portfolio of CO2 removal (CDR) methods. Ocean afforestation, CDR through basin-scale seaweed farming in the open ocean, is seen as a key component of the marine portfolio. Here, we analyse the CDR potential of recent re-occurring trans-basin belts of the floating seaweed Sargassum in the (sub)tropical North Atlantic as a natural analogue for ocean afforestation. We show that two biogeochemical feedbacks, nutrient reallocation and calcification by encrusting marine life, reduce the CDR efficacy of Sargassum by 20-100%. Atmospheric CO2 influx into the surface seawater, after CO2-fixation by Sargassum, takes 2.5-18 times longer than the CO2-deficient seawater remains in contact with the atmosphere, potentially hindering CDR verification. Furthermore, we estimate that increased ocean albedo, due to floating Sargassum, could influence climate radiative forcing more than Sargassum-CDR. Our analysis shows that multifaceted Earth-system feedbacks determine the efficacy of ocean afforestation.</t>
  </si>
  <si>
    <t>[Bach, Lennart T.; Hurd, Catriona L.; Boyd, Philip W.] Univ Tasmania, Inst Marine &amp; Antarctic Studies, Hobart, Tas, Australia; [Tamsitt, Veronica] Univ New South Wales, Sydney, NSW, Australia; [Tamsitt, Veronica] CSIRO Oceans &amp; Atmosphere, Ctr Southern Hemisphere Oceans Res, Hobart, Tas, Australia; [Gower, Jim] Fisheries &amp; Oceans Canada, North Saanich, BC, Canada; [Raven, John A.] Univ Dundee, James Hutton Inst, Div Plant Sci, Dundee, Scotland; [Raven, John A.] Univ Technol, Climate Change Cluster, Sydney, NSW, Australia; [Raven, John A.] Univ Western Australia, Sch Biol Sci, Crawley, WA, Australia</t>
  </si>
  <si>
    <t>University of Tasmania; University of New South Wales Sydney; Commonwealth Scientific &amp; Industrial Research Organisation (CSIRO); Fisheries &amp; Oceans Canada; University of Dundee; James Hutton Institute; University of Technology Sydney; University of Western Australia</t>
  </si>
  <si>
    <t>Bach, LT (corresponding author), Univ Tasmania, Inst Marine &amp; Antarctic Studies, Hobart, Tas, Australia.</t>
  </si>
  <si>
    <t>Lennart.bach@utas.edu.au</t>
  </si>
  <si>
    <t>Raven, John/JFS-3447-2023; Boyd, Philip/J-7624-2014; Hurd, Catriona/J-2411-2013</t>
  </si>
  <si>
    <t>Bach, Lennart/0000-0003-0202-3671; Boyd, Philip/0000-0001-7850-1911; Hurd, Catriona/0000-0001-9965-4917</t>
  </si>
  <si>
    <t>Australian Research Council [FL160100131]; CSHOR; Australian Research Council [FL160100131] Funding Source: Australian Research Council</t>
  </si>
  <si>
    <t>Australian Research Council(Australian Research Council); CSHOR; Australian Research Council(Australian Research Council)</t>
  </si>
  <si>
    <t>We thank Chuanmin Hu and Mengqiu Wang for providing their monthly composites of gridded Sargassum biomass data; Daniel Jones, Takamitsu Ito, Yohei Takano, and WeiChing Hsu for providing model output data on surface water residence time; Martin Jung and Jens Daniel Muller for their photographs of Sargassum rafts; Andrew Lenton for proof-reading the manuscript. This study was funded by the Australian Research Council by a Laureate awarded to P.W.B. (FL160100131). V.T. acknowledges support from CSHOR, a joint research Centre for Southern Hemisphere Ocean Research between QNLM and CSIRO. Argo data were collected and made freely available by the International Argo Program and the national programs that contribute to it (http://www.argo.ucsd.edu; http://argo.jcommops.org; https://doi.org/10.17882/42182). The Argo Program is part of the Global Ocean Observing System. The ERA5 dataset used for biomass and equilibration timescale estimations was developed by the European Centre for Medium-Range Weather Forecasts and was obtained from the Research Data Archive at the National Center for Atmospheric Research, Computational and Information Systems Laboratory. Analyses and visualizations used for albedo calculations were partially produced with the Giovanni online data system, developed and maintained by the NASA GES DISC. We acknowledge the mission scientists and Principal Investigators who provided the data used in the albedo calcuations.</t>
  </si>
  <si>
    <t>10.1038/s41467-021-22837-2</t>
  </si>
  <si>
    <t>SK8EA</t>
  </si>
  <si>
    <t>WOS:000656447400001</t>
  </si>
  <si>
    <t>Thyrring, J; Wegeberg, S; Blicher, ME; Krause-Jensen, D; Hogslund, S; Olesen, B; Jozef, W; Mouritsen, KN; Peck, LS; Sejr, MK</t>
  </si>
  <si>
    <t>Thyrring, Jakob; Wegeberg, Susse; Blicher, Martin E.; Krause-Jensen, Dorte; Hogslund, Signe; Olesen, Birgit; Jozef, Wiktor; Mouritsen, Kim N.; Peck, Lloyd S.; Sejr, Mikael K.</t>
  </si>
  <si>
    <t>Latitudinal patterns in intertidal ecosystem structure in West Greenland suggest resilience to climate change</t>
  </si>
  <si>
    <t>ECOGRAPHY</t>
  </si>
  <si>
    <t>Arctic; benthos; biogeography; climate change; range shifts; space-for-time</t>
  </si>
  <si>
    <t>SEA-ICE COVER; COMMUNITY COMPOSITION; FREEZING TOLERANCE; MYTILUS-EDULIS; ARCTIC FJORD; BLUE MUSSELS; ZONE; SHIFTS; TEMPERATURE; PERFORMANCE</t>
  </si>
  <si>
    <t>Climate change has ecosystem-wide cascading effects. Little is known, however, about the resilience of Arctic marine ecosystems to environmental change. Here we quantify and compare large-scale patterns in rocky intertidal biomass, coverage and zonation in six regions along a north-south gradient of temperature and ice conditions in West Greenland (60-72 degrees N). We related the level and variation in assemblage composition, biomass and coverage to latitudinal-scale environmental drivers. Across all latitudes, the intertidal assemblage was dominated by a core of stress-tolerant foundation species that constituted &gt; 95% of the biomass. Hence, canopy-forming macroalgae, represented by Fucus distichus subsp. evanescens and F. vesiculosus and, up to 69 degrees N, also Ascophyllum nodosum, together with Semibalanus balanoides, occupied &gt; 70% of the vertical tidal range in all regions. Thus, a similar functional assemblage composition occurred across regions, and no latitudinal depression was observed. The most conspicuous difference in species composition from south to north was that three common species (the macroalgae Ascophyllum nodosum, the amphipod Gammarus setosus and the gastropod Littorina obtusata) disappeared from the mid-intertidal, although at different latitudes. There were no significant relationships between assemblage metrics and air temperature or sea ice coverage as obtained from weather stations and satellites, respectively. Although the mean biomass decreased &gt; 50% from south to north, local biomass in excess of 10 000 g ww m(-2) was found even at the northernmost site, demonstrating the patchiness of this habitat and the effect of small-scale variation in environmental characteristics. Hence, using the latitudinal gradient in a space-for-time substitution, our results suggest that while climate modification may lead to an overall increase in the intertidal biomass in north Greenland, it is unlikely to drive dramatic functional changes in ecosystem structure in the near future. Our dataset provides an important baseline for future studies to verify these predictions for Greenland's intertidal zone.</t>
  </si>
  <si>
    <t>[Thyrring, Jakob; Peck, Lloyd S.] British Antarctic Survey, Cambridge, England; [Thyrring, Jakob] Univ British Columbia, Dept Zool, Vancouver, BC, Canada; [Wegeberg, Susse; Krause-Jensen, Dorte; Mouritsen, Kim N.; Sejr, Mikael K.] Aarhus Univ, Arctic Res Ctr, Aarhus, Denmark; [Wegeberg, Susse] Aarhus Univ, Dept Biosci, Arctic Environm, Roskilde, Denmark; [Blicher, Martin E.] Greenland Inst Nat Resources, Greenland Climate Res Ctr, Nuuk, Greenland; [Krause-Jensen, Dorte; Hogslund, Signe; Sejr, Mikael K.] Aarhus Univ, Dept Biosci, Marine Ecol, Silkeborg, Denmark; [Olesen, Birgit; Mouritsen, Kim N.] Aarhus Univ, Aquat Biol, Dept Biol, Aarhus C, Denmark; [Jozef, Wiktor] Polish Acad Sci, Inst Oceanol, Sopot, Poland</t>
  </si>
  <si>
    <t>UK Research &amp; Innovation (UKRI); Natural Environment Research Council (NERC); NERC British Antarctic Survey; University of British Columbia; Aarhus University; Aarhus University; Greenland Institute of Natural Resources; Aarhus University; Aarhus University; Polish Academy of Sciences; Institute of Oceanology of the Polish Academy of Sciences</t>
  </si>
  <si>
    <t>Thyrring, J (corresponding author), British Antarctic Survey, Cambridge, England.</t>
  </si>
  <si>
    <t>thyrring@bios.au.dk</t>
  </si>
  <si>
    <t>Wiktor, Józef/B-1245-2012; Thyrring, Jakob/M-9479-2015; Olesen, Birgit/K-1997-2013; Krause-Jensen, Dorte/J-5666-2013; Sejr, Mikael K./J-5459-2013; Mouritsen, Kim N./K-6569-2013</t>
  </si>
  <si>
    <t>Wiktor, Józef/0000-0002-3468-0513; Hogslund, Signe/0000-0001-5926-8464; Thyrring, Jakob/0000-0002-1029-3105; Olesen, Birgit/0000-0002-8864-6716; Krause-Jensen, Dorte/0000-0001-9792-256X; Sejr, Mikael K./0000-0001-8370-5791; Mouritsen, Kim N./0000-0003-3564-8328</t>
  </si>
  <si>
    <t>DANCEA, the Greenland Ecosystem Monitoring program; Greenland Government through The Environmental Agency for Mineral Resource Activities (EAMRA); Independent Research Fund Denmark (DFF-International Postdoc) [7027-00060B]; Aage V. Jensens Fond; Marie Sklodowska-Curie Individual Fellowship (IF) [797387]; EU H2020 project INTAROS; Independent Research Fund Denmark [8021-00222B]; UKRI Natural Environment Research Council; NERC [bas0100036] Funding Source: UKRI; Marie Curie Actions (MSCA) [797387] Funding Source: Marie Curie Actions (MSCA)</t>
  </si>
  <si>
    <t>DANCEA, the Greenland Ecosystem Monitoring program; Greenland Government through The Environmental Agency for Mineral Resource Activities (EAMRA); Independent Research Fund Denmark (DFF-International Postdoc)(Det Frie Forskningsrad (DFF)); Aage V. Jensens Fond; Marie Sklodowska-Curie Individual Fellowship (IF); EU H2020 project INTAROS; Independent Research Fund Denmark(Det Frie Forskningsrad (DFF)); UKRI Natural Environment Research Council(UK Research &amp; Innovation (UKRI)Natural Environment Research Council (NERC)); NERC(UK Research &amp; Innovation (UKRI)Natural Environment Research Council (NERC)); Marie Curie Actions (MSCA)(Marie Curie Actions)</t>
  </si>
  <si>
    <t>Field work was supported by DANCEA, the Greenland Ecosystem Monitoring program (), and by the Greenland Government through The Environmental Agency for Mineral Resource Activities (EAMRA). J.T. was supported by the Independent Research Fund Denmark (DFF-International Postdoc; contract number 7027-00060B), Aage V. Jensens Fond, and by a Marie Sklodowska-Curie Individual Fellowship (IF; contract number 797387). M.S.E. was supported by the EU H2020 project INTAROS. D.K.J. was supported by the Independent Research Fund Denmark (contract number 8021-00222B, `CARMA'). L.S.P. was supported by core funds from the UKRI Natural Environment Research Council.</t>
  </si>
  <si>
    <t>0906-7590</t>
  </si>
  <si>
    <t>1600-0587</t>
  </si>
  <si>
    <t>Ecography</t>
  </si>
  <si>
    <t>10.1111/ecog.05381</t>
  </si>
  <si>
    <t>TV0OG</t>
  </si>
  <si>
    <t>WOS:000648084500001</t>
  </si>
  <si>
    <t>Gervais, CR; Champion, C; Pecl, GT</t>
  </si>
  <si>
    <t>Gervais, Connor R.; Champion, Curtis; Pecl, Gretta T.</t>
  </si>
  <si>
    <t>Species on the move around the Australian coastline: A continental-scale review of climate-driven species redistribution in marine systems</t>
  </si>
  <si>
    <t>citizen science; climate change; ecosystem reorganization; historical data; ocean warming; range contraction; range extension; range shift</t>
  </si>
  <si>
    <t>RANGE SHIFTS; COMMUNITY ENGAGEMENT; ENVIRONMENTAL DNA; WESTERN-AUSTRALIA; RAPID ASSESSMENT; CITIZEN SCIENCE; TROPICAL FISHES; EXPANSION; HABITAT; BIODIVERSITY</t>
  </si>
  <si>
    <t>Climate-driven changes in the distribution of species are a pervasive and accelerating impact of climate change, and despite increasing research effort in this rapidly emerging field, much remains unknown or poorly understood. We lack a holistic understanding of patterns and processes at local, regional and global scales, with detailed explorations of range shifts in the southern hemisphere particularly under-represented. Australian waters encompass the world's third largest marine jurisdiction, extending from tropical to sub-Antarctic climate zones, and have waters warming at rates twice the global average in the north and two to four times in the south. Here, we report the results of a multi-taxon continent-wide review describing observed and predicted species redistribution around the Australian coastline, and highlight critical gaps in knowledge impeding our understanding of, and response to, these considerable changes. Since range shifts were first reported in the region in 2003, 198 species from nine Phyla have been documented shifting their distribution, 87.3% of which are shifting poleward. However, there is little standardization of methods or metrics reported in observed or predicted shifts, and both are hindered by a lack of baseline data. Our results demonstrate the importance of historical data sets and underwater visual surveys, and also highlight that approximately one-fifth of studies incorporated citizen science. These findings emphasize the important role the public has had, and can continue to play, in understanding the impact of climate change. Most documented shifts are of coastal fish species in sub-tropical and temperate systems, while tropical systems in general were poorly explored. Moreover, most distributional changes are only described at the poleward boundary, with few studies considering changes at the warmer, equatorward range limit. Through identifying knowledge gaps and research limitations, this review highlights future opportunities for strategic research effort to improve the representation of Australian marine species and systems in climate-impact research.</t>
  </si>
  <si>
    <t>[Gervais, Connor R.] Macquarie Univ, Dept Biol Sci, Sydney, NSW, Australia; [Champion, Curtis] NSW Dept Primary Ind, Fisheries Res, Coffs Harbour, NSW, Australia; [Champion, Curtis] Southern Cross Univ, Natl Marine Sci Ctr, Coffs Harbour, NSW, Australia; [Pecl, Gretta T.] Univ Tasmania, Inst Marine &amp; Antarctic Studies, Hobart, Tas, Australia; [Pecl, Gretta T.] Univ Tasmania, Ctr Marine Socioecol, Hobart, Tas, Australia</t>
  </si>
  <si>
    <t>Macquarie University; NSW Department of Primary Industries; Southern Cross University; University of Tasmania; University of Tasmania</t>
  </si>
  <si>
    <t>Gervais, CR (corresponding author), Macquarie Univ, Dept Biol Sci, Sydney, NSW, Australia.;Pecl, GT (corresponding author), Univ Tasmania, Inst Marine &amp; Antarctic Studies, Hobart, Tas, Australia.</t>
  </si>
  <si>
    <t>cgervais9249@gmail.com; gretta.pecl@utas.edu.au</t>
  </si>
  <si>
    <t>Pecl, Gretta/D-7267-2011</t>
  </si>
  <si>
    <t>Pecl, Gretta/0000-0003-0192-4339; Gervais, Connor/0000-0001-6501-9798; Champion, Curtis/0000-0002-8666-5112</t>
  </si>
  <si>
    <t>Australian Research Council [FT140100596]; Australian Research Council [FT140100596] Funding Source: Australian Research Council</t>
  </si>
  <si>
    <t>Australian Research Council, Grant/Award Number: FT140100596</t>
  </si>
  <si>
    <t>10.1111/gcb.15634</t>
  </si>
  <si>
    <t>SR3ZQ</t>
  </si>
  <si>
    <t>WOS:000647949600001</t>
  </si>
  <si>
    <t>Daniels, J; Aoki, N; Havassy, J; Katija, K; Osborn, KJ</t>
  </si>
  <si>
    <t>Daniels, Joost; Aoki, Nadege; Havassy, Josh; Katija, Kakani; Osborn, Karen J.</t>
  </si>
  <si>
    <t>Metachronal Swimming with Flexible Legs: A Kinematics Analysis of the Midwater Polychaete Tomopteris</t>
  </si>
  <si>
    <t>ANTARCTIC KRILL; LOCOMOTION; IMAGE; FISH; MECHANISMS; KINETICS; COST; DRAG</t>
  </si>
  <si>
    <t>Aquatic animals have developed a wide array of adaptations specific to life underwater, many of which are related to moving in the water column. Different swimming methods have emerged, such as lift-based flapping, drag-based body undulations, and paddling. Patterns occur across scales and taxa, where animals with analogous body features use similar locomotory methods. Metachronal paddling is one such wide-spread propulsion mechanism, occurring in taxa as diverse as ctenophores, crustaceans, and polychaetes. Sequential movement of multiple, near identical appendages, allows for steady swimming through phase-offsets between adjacent propulsors. The soft-bodied, holopelagic polychaete Tomopteris has two rows of segmental appendages (parapodia) positioned on opposite sides along its flexible body that move in a metachronal pattern. The outer one-third of their elongate parapodia consist of two paddle-like pinnules that can be spread or, when contracted, fold together to change the effective width of the appendage. Along with metachronal paddling, tomopterid bodies undulate laterally, and by using high speed video and numerical modeling, we seek to understand how these two behaviors combine to generate effective swimming. We collected animals using deep-diving remotely operated vehicles, and recorded video data in shore- and ship-based imaging laboratories. Kinematics were analyzed using landmark tracking of features in the video data. We determined that parapodia are actively moved to generate thrust and pinnules are actively spread and contracted to create differences in drag between power and recovery strokes. At the same time, the body wave increases the parapodium stroke angle and extends the parapodia into undisturbed water adjacent to the body, enhancing thrust. Based on kinematics measurements used as input to a 1D numerical model of drag-based swimming, we found that spreading of the pinnules during the power stroke provides a significant contribution to propulsion, similar to the contribution provided by the body wave. We conclude that tomopterids combine two different propulsive modes, which are enabled by their flexible body plan. This makes their anatomy and kinematics of interest not only for biologists, but also for soft materials and robotics engineers.</t>
  </si>
  <si>
    <t>[Daniels, Joost; Katija, Kakani; Osborn, Karen J.] Monterey Bay Aquarium Res Inst, 7700 Sandholdt Rd, Moss Landing, CA 95039 USA; [Aoki, Nadege; Havassy, Josh; Katija, Kakani; Osborn, Karen J.] Smithsonian Natl Museum Nat Hist, Invertebrate Zool, 1000 Constitut Ave NW, Washington, DC 20560 USA</t>
  </si>
  <si>
    <t>Monterey Bay Aquarium Research Institute; Smithsonian Institution; Smithsonian National Museum of Natural History</t>
  </si>
  <si>
    <t>Daniels, J (corresponding author), Monterey Bay Aquarium Res Inst, 7700 Sandholdt Rd, Moss Landing, CA 95039 USA.</t>
  </si>
  <si>
    <t>joost@mbari.org</t>
  </si>
  <si>
    <t>Aoki, Nadege/JHT-8197-2023; Aoki, Nadege/KEJ-6272-2024; Daniels, Joost/N-2378-2015; Osborn, Karen/JCP-4942-2023</t>
  </si>
  <si>
    <t>Aoki, Nadege/0000-0003-3111-4273;</t>
  </si>
  <si>
    <t>David and Lucile Packard Foundation; Smithsonian National Museum of Natural History Associate Director for Science Research Fund; National Science Foundation on grant OCE [1560088]; Cornell University's Tanner Dean Scholarship; Division Of Ocean Sciences; Directorate For Geosciences [1560088] Funding Source: National Science Foundation</t>
  </si>
  <si>
    <t>David and Lucile Packard Foundation(The David &amp; Lucile Packard Foundation); Smithsonian National Museum of Natural History Associate Director for Science Research Fund; National Science Foundation on grant OCE; Cornell University's Tanner Dean Scholarship; Division Of Ocean Sciences; Directorate For Geosciences(National Science Foundation (NSF)NSF - Directorate for Geosciences (GEO))</t>
  </si>
  <si>
    <t>This research was funded by the David and Lucile Packard Foundation, and the Smithsonian National Museum of Natural History Associate Director for Science Research Fund. N.A. and A.A. were supported by the National Science Foundation on grant OCE-#1560088 and N.A. by Cornell University's Tanner Dean Scholarship.</t>
  </si>
  <si>
    <t>10.1093/icb/icab059</t>
  </si>
  <si>
    <t>WOS:000736126200009</t>
  </si>
  <si>
    <t>Hopfenblatt, J; Geyer, A; Aulinas, M; Alvarez-Valero, AM; Gisbert, G; Kereszturi, G; Ercilla, G; Gómez-Ballesteros, M; Márquez, A; García-Castellanos, D; Pedrazzi, D; Sumino, H; Höskuldsson, A; Giralt, S; Angulo-Preckler, C</t>
  </si>
  <si>
    <t>Hopfenblatt, J.; Geyer, A.; Aulinas, M.; Alvarez-Valero, A. M.; Gisbert, G.; Kereszturi, G.; Ercilla, G.; Gomez-Ballesteros, M.; Marquez, A.; Garcia-Castellanos, D.; Pedrazzi, D.; Sumino, H.; Hoskuldsson, A.; Giralt, S.; Angulo-Preckler, C.</t>
  </si>
  <si>
    <t>Formation of Stanley Patch volcanic cone: New insights into the evolution of Deception Island caldera (Antarctica)</t>
  </si>
  <si>
    <t>Deception Island; South Shetland Islands; Antarctic volcanism; Caldera flooding; Caldera evolution; Seismic profiles</t>
  </si>
  <si>
    <t>SOUTH SHETLAND ISLANDS; K-AR AGES; BRANSFIELD STRAIT; SUBDUCTION HISTORY; ERUPTION; COLLAPSE; CLASSIFICATION; CONSTRAINTS; DYNAMICS; MODELS</t>
  </si>
  <si>
    <t>Deception Island (South Shetland Islands) is one of the most active volcanoes in Antarctica, with more than 20 explosive eruptive events registered over the past centuries. Recent eruptions (1967, 1969, and 1970) and volcanic unrest episodes (1992, 1999, and 2014-2015) demonstrate that volcanic activity is likely occurring in the future. This is of special concern for scientists, logistic personnel, and tourists, since the South Shetland Islands are an important tourist destination and host numerous year-round and seasonal scientific stations and base camps. Significant efforts have been made to understand the complex magmatic and volcanic evolution of Deception Island with special interest on its subaerial part. However, studies on submerged volcanic cones within Port Foster, the sea-flooded part of Deception Island's caldera depression, are comparatively scarce. Here, we provide a full characterization of Stanley Patch volcano, the largest of these volcanic edifices. Estimated morphometric parameters based on new multibeam bathymetric data, supported by petrographic and chemical observations from rock samples collected on the crater rim, reveal that Stanley Patch volcano grew in a subaerial environment. This result, combined with previous findings and new sedimentological evidence from our ultra-high resolution seismic profiles, allow to further detail the island's geologic evolution since the caldera collapse. We conclude that the complete flooding of Port Foster could have only occurred after the formation of Stanley Patch volcano, i.e. during the last similar to 2000 years, and in a time period of a few days or less. (C) 2021 The Author(s). Published by Elsevier B.V.</t>
  </si>
  <si>
    <t>[Hopfenblatt, J.; Geyer, A.; Garcia-Castellanos, D.; Pedrazzi, D.; Giralt, S.] CSIC, Geosci Barcelona, Geo3Bcn, Lluis Sole &amp; Sabaris S-N, Barcelona 08028, Spain; [Hopfenblatt, J.; Aulinas, M.] Univ Barcelona, Dept Mineral Petrol &amp; Geol Aplicada, Marti Franques S-N, Barcelona 08028, Spain; [Alvarez-Valero, A. M.] Univ Salamanca, Dept Geol, Salamanca 37008, Spain; [Gisbert, G.] CSIC UCM, Inst Geociencias, Severo Ochoa 7, Madrid 28040, Spain; [Kereszturi, G.] Massey Univ, Sch Agr &amp; Environm, Volcan Risk Solut, Palmerston North, New Zealand; [Ercilla, G.] ICM CSIC, Inst Ciencias Mar, Continental Margin Grp, Paseo Maritimo Barceloneta 37-49, Barcelona 08003, Spain; [Gomez-Ballesteros, M.] Inst Espanol Oceanog, C Corazon Maria 8, Madrid 28002, Spain; [Marquez, A.] Univ Rey Juan Carlos, Area Geol, ESCET, Madrid 28933, Spain; [Sumino, H.] Univ Tokyo, Dept Gen Syst Studies, Grad Sch Arts &amp; Sci, Tokyo, Japan; [Hoskuldsson, A.] Univ Iceland, Inst Earth Sci, Nord Volcanol Ctr, Sturlugata 7, IS-101 Reykjavik, Iceland; [Angulo-Preckler, C.] UiT Arctic Univ Norway, Norwegian Coll Fishery Sci, Tromso, Norway; [Angulo-Preckler, C.] IRBio Res Inst Biodivers, Barcelona, Spain</t>
  </si>
  <si>
    <t>Consejo Superior de Investigaciones Cientificas (CSIC); University of Barcelona; University of Salamanca; Complutense University of Madrid; Consejo Superior de Investigaciones Cientificas (CSIC); CSIC-UCM - Instituto de Geociencias (IGEO); Massey University; Consejo Superior de Investigaciones Cientificas (CSIC); CSIC - Centro Mediterraneo de Investigaciones Marinas y Ambientales (CMIMA); CSIC - Instituto de Ciencias del Mar (ICM); Spanish Institute of Oceanography; Universidad Rey Juan Carlos; University of Tokyo; University of Iceland; UiT The Arctic University of Tromso</t>
  </si>
  <si>
    <t>Geyer, A (corresponding author), CSIC, Geosci Barcelona, Geo3Bcn, Lluis Sole &amp; Sabaris S-N, Barcelona 08028, Spain.</t>
  </si>
  <si>
    <t>ageyer@geo3bcn.csic.es</t>
  </si>
  <si>
    <t>Kereszturi, Gabor/I-1520-2019; Álvarez-Valero, Antonio M./B-2732-2015; Geyer, Adelina/C-9490-2011; Giralt, Santiago/AAA-8585-2020; Sumino, Hirochika/G-4912-2014; Gisbert, Guillem/HKW-0585-2023; Angulo_Preckler, Carlos/A-6456-2011; Garcia-Castellanos, Daniel/B-1203-2008; Geyer, Adelina/A-6624-2012</t>
  </si>
  <si>
    <t>Kereszturi, Gabor/0000-0003-4336-2012; Giralt, Santiago/0000-0001-8570-7838; Angulo_Preckler, Carlos/0000-0001-9028-274X; Hopfenblatt Hours, Joaquin/0000-0003-4235-8302; Gisbert, Guillem/0000-0001-7737-8376; Geyer, Adelina/0000-0002-8803-6504; Hoskuldsson, Armann/0000-0002-6316-2563; Aulinas, Meritxell/0000-0003-3795-3537; Ercilla, Gemma/0000-0002-9709-2938</t>
  </si>
  <si>
    <t>Spanish Government (AEI/FEDER, UE) [CTM2009-05919-E/ANT, CTM2011-13578-E/ANT, CTM2016-79617-P, PGC2018-095693-B-I00]; USAL-2019 project; GALIEO-IHM Program; Ramon y Cajal [RYC-2012-11024]; JSPS invitation fellowship program [S18113]; Beatriu de Pinos [2016 BP 00086]; Juan de la Cierva [IJCI-2016-30482]</t>
  </si>
  <si>
    <t>Spanish Government (AEI/FEDER, UE)(Spanish Government); USAL-2019 project; GALIEO-IHM Program; Ramon y Cajal(Spanish Government); JSPS invitation fellowship program; Beatriu de Pinos; Juan de la Cierva(Instituto de Salud Carlos IIISpanish Government)</t>
  </si>
  <si>
    <t>This research was supported by the Spanish Government RECALDEC (CTM2009-05919-E/ANT), PEVOLDEC (CTM2011-13578-E/ANT), POSVOLDEC (CTM2016-79617-P)(AEI/FEDER, UE), VOLGASDEC (PGC2018-095693-B-I00), USAL-2019 project (Programa Propio mod. 1B) and the GALIEO-IHM Program. A.G. is grateful for her Ramon y Cajal contract (RYC-2012-11024), and A.M.A-V for the grant under the JSPS invitation fellowship program (S18113). D.P. is grateful for his Beatriu de Pinos (2016 BP 00086) and Juan de la Cierva (IJCI-201630482) contracts. We thank all themilitary staff of the Spanish Antarctic Base Gabriel de Castilla, BIO Hesperides oceanographic cruise and the Marine Hydrographic Institute, for their constant help and logistic support. This research is part of POLARCSIC and PTI VOLCAN activities. English editing by Grant George Buffett (www.terranova.barcelona).We thank the Editor, J.L. Macias, and both reviewers A. Di Roberto and P. Nomikou for their constructive comments that have allowed improving a previous version of this manuscript.</t>
  </si>
  <si>
    <t>10.1016/j.jvolgeores.2021.107249</t>
  </si>
  <si>
    <t>SU7WU</t>
  </si>
  <si>
    <t>WOS:000663343500003</t>
  </si>
  <si>
    <t>Cope, LE; Plourde, S; Winkler, G</t>
  </si>
  <si>
    <t>Cope, Laurie Emma; Plourde, Stephane; Winkler, Gesche</t>
  </si>
  <si>
    <t>Seasonal variation of growth and reproduction of the subarctic krill species, Thysanoessa raschii, driven by environmental conditions in the Estuary and Gulf of St. Lawrence</t>
  </si>
  <si>
    <t>Thysanoessa raschii; St. Lawrence Estuary; somatic growth; egg production; instantaneous growth rate</t>
  </si>
  <si>
    <t>ANTARCTIC KRILL; MEGANYCTIPHANES-NORVEGICA; EUPHAUSIA-SUPERBA; NORTHERN KRILL; EGG-PRODUCTION; INERMIS KROYER; MOLT CYCLE; M-SARS; TEMPERATURE; RATES</t>
  </si>
  <si>
    <t>The aim of this study was to quantify somatic growth and reproduction of Thysanoessa raschii in response to environmental conditions in the St. Lawrence Estuary and Gulf of St. Lawrence, Canada. We sampled between 2010 and 2016 from spring to late summer and incubated individuals. Fresh molts were collected daily and measured to calculate the growth increment following the instantaneous growth rate method while eggs were counted daily. Our results showed a seasonal pattern of somatic growth and reproduction driven by temperature and chl. a concentration with a decrease in somatic growth in August when egg production was maximal, suggesting a trade-off. Functional relationship analyses revealed a narrow optimal temperature window for somatic growth with maximum temperatures observed between 1.2 and 2.0 degrees C in the cold intermediate layer (50-150 m). Maximum egg production was observed at temperatures between 3.8 and 5.7 degrees C in the surface layer (0-50 m). A required minimum concentration of chl. a of 9 mg.m(-3) for somatic growth was observed. For egg production, the minimum observed was integrated chl. a (0-50 m) of 80 mg.m(-2). We also observed the importance of optimal conditions lasting for one to 3 weeks to support biological processes in T. raschii.</t>
  </si>
  <si>
    <t>[Cope, Laurie Emma; Winkler, Gesche] Univ Quebec Rimouski, Inst Sci Mer Rimouski, 310 Allee Ursulines, Rimouski, PQ G5L 2Z9, Canada; [Plourde, Stephane] Inst Maurice Lamontagne Peches &amp; Oceans Canada, 850 Route Mer, Mont Joli, PQ G5H 3Z4, Canada</t>
  </si>
  <si>
    <t>University of Quebec; Universite du Quebec a Rimouski; Fisheries &amp; Oceans Canada</t>
  </si>
  <si>
    <t>Cope, LE (corresponding author), Univ Quebec Rimouski, Inst Sci Mer Rimouski, 310 Allee Ursulines, Rimouski, PQ G5L 2Z9, Canada.</t>
  </si>
  <si>
    <t>cope.laurie.e@hotmail.com</t>
  </si>
  <si>
    <t>Natural Sciences and Engineering Research Council of Canada (NSERC) [STPGP-447363]; Natural Sciences and Engineering Research Council of Canada (Fisheries and Oceans Canada); Natural Sciences and Engineering Research Council of Canada (Quebec-Ocean); Natural Sciences and Engineering Research Council of Canada (Universite du Quebec a Rimouski/Institut des Sciences de la Mer)</t>
  </si>
  <si>
    <t>Natural Sciences and Engineering Research Council of Canada (NSERC)(Natural Sciences and Engineering Research Council of Canada (NSERC)); Natural Sciences and Engineering Research Council of Canada (Fisheries and Oceans Canada)(Natural Sciences and Engineering Research Council of Canada (NSERC)); Natural Sciences and Engineering Research Council of Canada (Quebec-Ocean)(Natural Sciences and Engineering Research Council of Canada (NSERC)); Natural Sciences and Engineering Research Council of Canada (Universite du Quebec a Rimouski/Institut des Sciences de la Mer)(Natural Sciences and Engineering Research Council of Canada (NSERC))</t>
  </si>
  <si>
    <t>Natural Sciences and Engineering Research Council of Canada (NSERC; strategic partnership grant STPGP-447363 awarded to G.W. and S.P., Fisheries and Oceans Canada, Quebec-Ocean, and Universite du Quebec a Rimouski/Institut des Sciences de la Mer). This is a contribution to the program of Quebec-Ocean (Groupe interinstitutionnel de recherche en oceanographie du Quebec).</t>
  </si>
  <si>
    <t>MAY-JUN</t>
  </si>
  <si>
    <t>10.1093/plankt/fbab032</t>
  </si>
  <si>
    <t>SS1EP</t>
  </si>
  <si>
    <t>WOS:000661484700010</t>
  </si>
  <si>
    <t>Hill, SL; Pinkerton, MH; Ballerini, T; Cavan, EL; Gurney, LJ; Martins, I; Xavier, JC</t>
  </si>
  <si>
    <t>Hill, S. L.; Pinkerton, M. H.; Ballerini, T.; Cavan, E. L.; Gurney, L. J.; Martins, I; Xavier, J. C.</t>
  </si>
  <si>
    <t>Robust model-based indicators of regional differences in food-web structure in the Southern Ocean</t>
  </si>
  <si>
    <t>Food-web model; Southern Ocean; Network structure; Model personality; System Omnivory Index; Ecosystem change</t>
  </si>
  <si>
    <t>PARAMETER UNCERTAINTY; ANTARCTIC PENINSULA; ECOPATH; ECOSYSTEMS; ECOSIM; PRODUCTIVITY; COMPLEXITY; EFFICIENCY; FLOW</t>
  </si>
  <si>
    <t>Efforts to model marine food-webs are generally undertaken by small teams working separately on specific regions (&lt;106 km2) and making independent decisions about how to deal with data gaps and uncertainties. Differences in these largely arbitrary decisions (which we call 'model personality') can potentially obscure true differences between regional food-webs or lead to spurious differences. Here we explore the influence of model personality on a comparison of four Southern Ocean regional food-web models. We construct alternative model versions which sequentially remove aspects of personality (alternative model 'currencies', schemes for aggregating organisms into functional groups, and energetic parameter values). These alternative versions preserve regional differences in biomass and feeding relationships. Variation in a set of model metrics that are insensitive to absolute biomass and production identifies multiple regional contrasts, a subset of which are robust to differences in model personality. These contrasts imply real differences in ecosystem structure which, in conjunction with differences in primary production and consumer biomass (spanning two and four orders of magnitude respectively), underpin differences in function. Existing regional models are therefore a useful resource for comparing ecosystem structure, function and response to change if comparative studies assess and report the influence of model personality.</t>
  </si>
  <si>
    <t>[Hill, S. L.; Xavier, J. C.] British Antarctic Survey, Cambridge, England; [Pinkerton, M. H.] Natl Inst Water &amp; Atmospher Res, Wellington, New Zealand; [Ballerini, T.] Thalassa Marine Res &amp; Sci Commun, Marseille, France; [Cavan, E. L.] Imperial Coll London, Dept Life Sci, London, England; [Gurney, L. J.] St Lawrence River Inst Environm Sci, Cornwall, ON, Canada; [Martins, I; Xavier, J. C.] Univ Coimbra, Marine &amp; Environm Sci Ctr, Dept Life Sci, Coimbra, Portugal; [Martins, I] Univ Porto, CIIMAR Ctr Interdisciplinar Invest Marinha &amp; Ambi, CIMAR, Ave Gen Norton de Matos S-N, P-4450208 Matosinhos, Portugal</t>
  </si>
  <si>
    <t>UK Research &amp; Innovation (UKRI); Natural Environment Research Council (NERC); NERC British Antarctic Survey; National Institute of Water &amp; Atmospheric Research (NIWA) - New Zealand; Imperial College London; Universidade de Coimbra; Universidade do Porto</t>
  </si>
  <si>
    <t>Hill, SL (corresponding author), British Antarctic Survey, Cambridge, England.</t>
  </si>
  <si>
    <t>sih@bas.ac.uk</t>
  </si>
  <si>
    <t>Cavan, Emma/AFY-2671-2022; Xavier, José/KFB-6739-2024; Simeon, Hill L/B-2307-2008</t>
  </si>
  <si>
    <t>Martins, Irene/0000-0002-8521-2613; /0000-0002-9621-6660</t>
  </si>
  <si>
    <t>NERC (UK) National Capability funding; New Zealand Ministry of Business, Innovation and Employment (MBIE) Endeavour Fund programme 'Ross-RAMP' [C01X1710]; University of Coimbra [IF/00616/2013]; MARE [UID/MAR/04292/2020]; CIIMAR [UIDB/04423/2020, UIDP/04423/2020]; National Funds through FCT-Foundation for Science and Technology (Portugal); New Zealand Ministry of Business, Innovation &amp; Employment (MBIE) [C01X1710] Funding Source: New Zealand Ministry of Business, Innovation &amp; Employment (MBIE)</t>
  </si>
  <si>
    <t>NERC (UK) National Capability funding; New Zealand Ministry of Business, Innovation and Employment (MBIE) Endeavour Fund programme 'Ross-RAMP'; University of Coimbra; MARE; CIIMAR; National Funds through FCT-Foundation for Science and Technology (Portugal); New Zealand Ministry of Business, Innovation &amp; Employment (MBIE)(New Zealand Ministry of Business, Innovation and Employment (MBIE))</t>
  </si>
  <si>
    <t>SH was supported by NERC (UK) National Capability funding. MP was supported by New Zealand Ministry of Business, Innovation and Employment (MBIE) Endeavour Fund programme 'Ross-RAMP' (C01X1710). IM was supported by University of Coimbra (projects IF/00616/2013 awarded to JCX) and by strategic projects by MARE (UID/MAR/04292/2020) and by CIIMAR (UIDB/04423/2020 and UIDP/04423/2020) with National Funds through FCT-Foundation for Science and Technology (Portugal). We thank Lionel Arteaga of Princeton University for providing the net primary production data, the editors of this volume and two anonymous referees for constructive feedback.</t>
  </si>
  <si>
    <t>10.1016/j.jmarsys.2021.103556</t>
  </si>
  <si>
    <t>WOS:000656425200004</t>
  </si>
  <si>
    <t>Edwards, TL; Nowicki, S; Marzeion, B; Hock, R; Goelzer, H; Seroussi, H; Jourdain, NC; Slater, DA; Turner, FE; Smith, CJ; McKenna, CM; Simon, E; Abe-Ouchi, A; Gregory, JM; Larour, E; Lipscomb, WH; Payne, AJ; Shepherd, A; Agosta, C; Alexander, P; Albrecht, T; Anderson, B; Asay-Davis, X; Aschwanden, A; Barthel, A; Bliss, A; Calov, R; Chambers, C; Champollion, N; Choi, Y; Cullather, R; Cuzzone, J; Dumas, C; Felikson, D; Fettweis, X; Fujita, K; Galton-Fenzi, BK; Gladstone, R; Golledge, NR; Greve, R; Hattermann, T; Hoffman, MJ; Humbert, A; Huss, M; Huybrechts, P; Immerzeel, W; Kleiner, T; Kraaijenbrink, P; Le Clec'h, S; Lee, VC; Leguy, GR; Little, CM; Lowry, DP; Malles, JH; Martin, DF; Maussion, F; Morlighem, M; O'Neill, JF; Nias, I; Pattyn, F; Pelle, T; Price, SF; Quiquet, A; Radic, V; Reese, R; Rounce, DR; Rückamp, M; Sakai, A; Shafer, C; Schlegel, NJ; Shannon, S; Smith, RS; Straneo, F; Sun, SN; Tarasov, L; Trusel, LD; Van Breedam, J; van de Wal, R; van den Broeke, M; Winkelmann, R; Zekollari, H; Zhao, C; Zhang, T; Zwinger, T</t>
  </si>
  <si>
    <t>Edwards, Tamsin L.; Nowicki, Sophie; Marzeion, Ben; Hock, Regine; Goelzer, Heiko; Seroussi, Helene; Jourdain, Nicolas C.; Slater, Donald A.; Turner, Fiona E.; Smith, Christopher J.; McKenna, Christine M.; Simon, Erika; Abe-Ouchi, Ayako; Gregory, Jonathan M.; Larour, Eric; Lipscomb, William H.; Payne, Antony J.; Shepherd, Andrew; Agosta, Cecile; Alexander, Patrick; Albrecht, Torsten; Anderson, Brian; Asay-Davis, Xylar; Aschwanden, Andy; Barthel, Alice; Bliss, Andrew; Calov, Reinhard; Chambers, Christopher; Champollion, Nicolas; Choi, Youngmin; Cullather, Richard; Cuzzone, Joshua; Dumas, Christophe; Felikson, Denis; Fettweis, Xavier; Fujita, Koji; Galton-Fenzi, Benjamin K.; Gladstone, Rupert; Golledge, Nicholas R.; Greve, Ralf; Hattermann, Tore; Hoffman, Matthew J.; Humbert, Angelika; Huss, Matthias; Huybrechts, Philippe; Immerzeel, Walter; Kleiner, Thomas; Kraaijenbrink, Philip; Le Clec'h, Sebastien; Lee, Victoria; Leguy, Gunter R.; Little, Christopher M.; Lowry, Daniel P.; Malles, Jan-Hendrik; Martin, Daniel F.; Maussion, Fabien; Morlighem, Mathieu; O'Neill, James F.; Nias, Isabel; Pattyn, Frank; Pelle, Tyler; Price, Stephen F.; Quiquet, Aure'lien; Radic, Valentina; Reese, Ronja; Rounce, David R.; Ruckamp, Martin; Sakai, Akiko; Shafer, Courtney; Schlegel, Nicole-Jeanne; Shannon, Sarah; Smith, Robin S.; Straneo, Fiammetta; Sun, Sainan; Tarasov, Lev; Trusel, Luke D.; Van Breedam, Jonas; van de Wal, Roderik; van den Broeke, Michiel; Winkelmann, Ricarda; Zekollari, Harry; Zhao, Chen; Zhang, Tong; Zwinger, Thomas</t>
  </si>
  <si>
    <t>Projected land ice contributions to twenty-first-century sea level rise</t>
  </si>
  <si>
    <t>GLOBAL SENSITIVITY-ANALYSIS; SPATIAL SENSITIVITIES; ENVIRONMENTAL-CHANGE; MASS RESPONSE; SHEET; GREENLAND; ANTARCTICA; EMULATION; MELT; UNCERTAINTY</t>
  </si>
  <si>
    <t>Efficient statistical emulation of melting land ice under various climate scenarios to 2100 indicates a contribution from melting land ice to sea level increase of at least 13 centimetres sea level equivalent. The land ice contribution to global mean sea level rise has not yet been predicted(1) using ice sheet and glacier models for the latest set of socio-economic scenarios, nor using coordinated exploration of uncertainties arising from the various computer models involved. Two recent international projects generated a large suite of projections using multiple models(2-8), but primarily used previous-generation scenarios(9) and climate models(10), and could not fully explore known uncertainties. Here we estimate probability distributions for these projections under the new scenarios(11,12) using statistical emulation of the ice sheet and glacier models. We find that limiting global warming to 1.5 degrees Celsius would halve the land ice contribution to twenty-first-century sea level rise, relative to current emissions pledges. The median decreases from 25 to 13 centimetres sea level equivalent (SLE) by 2100, with glaciers responsible for half the sea level contribution. The projected Antarctic contribution does not show a clear response to the emissions scenario, owing to uncertainties in the competing processes of increasing ice loss and snowfall accumulation in a warming climate. However, under risk-averse (pessimistic) assumptions, Antarctic ice loss could be five times higher, increasing the median land ice contribution to 42 centimetres SLE under current policies and pledges, with the 95th percentile projection exceeding half a metre even under 1.5 degrees Celsius warming. This would severely limit the possibility of mitigating future coastal flooding. Given this large range (between 13 centimetres SLE using the main projections under 1.5 degrees Celsius warming and 42 centimetres SLE using risk-averse projections under current pledges), adaptation planning for twenty-first-century sea level rise must account for a factor-of-three uncertainty in the land ice contribution until climate policies and the Antarctic response are further constrained.</t>
  </si>
  <si>
    <t>[Edwards, Tamsin L.; Turner, Fiona E.; O'Neill, James F.] Kings Coll London, Dept Geog, London, England; [Nowicki, Sophie; Simon, Erika; Cullather, Richard; Felikson, Denis; Nias, Isabel] NASA, Goddard Space Flight Ctr, Greenbelt, MD USA; [Nowicki, Sophie] SUNY Buffalo, Dept Geol, Buffalo, NY USA; [Nowicki, Sophie] SUNY Buffalo, RENEW Inst, Buffalo, NY USA; [Marzeion, Ben; Champollion, Nicolas] Univ Bremen, Inst Geog, Bremen, Germany; [Marzeion, Ben] Univ Bremen, MARUM Ctr Marine Environm Sci, Bremen, Germany; [Hock, Regine; Goelzer, Heiko; Aschwanden, Andy; Rounce, David R.; van den Broeke, Michiel] Univ Alaska Fairbanks, Inst Geophys, Fairbanks, AK 99775 USA; [Hock, Regine] Univ Oslo, Dept Geosci, Oslo, Norway; [Hock, Regine] Univ Utrecht, Inst Marine &amp; Atmospher Res Utrecht, Utrecht, Netherlands; [Goelzer, Heiko; Pattyn, Frank; Sun, Sainan; Zekollari, Harry] Univ Libre Bruxelles, Lab Glaciol, Brussels, Belgium; [Goelzer, Heiko] Bjerknes Ctr Climate Res, NORCE Norwegian Res Ctr, Bergen, Norway; [Seroussi, Helene; Larour, Eric; Choi, Youngmin; Cuzzone, Joshua; Schlegel, Nicole-Jeanne] CALTECH, Jet Prop Lab, Pasadena, CA USA; [Jourdain, Nicolas C.; Champollion, Nicolas] Univ Grenoble Alpes, CNRS, Inst Geosci Environm, G INP,IRD, Grenoble, France; [Slater, Donald A.; Straneo, Fiammetta] Univ Calif San Diego, Scripps Inst Oceanog, La Jolla, CA 92093 USA; [Slater, Donald A.] Univ St Andrews, Sch Geog &amp; Sustainable Dev, St Andrews, Fife, Scotland; [Slater, Donald A.] Univ Edinburgh, Sch Geosci, Edinburgh, Midlothian, Scotland; [Smith, Christopher J.; McKenna, Christine M.; Abe-Ouchi, Ayako] Univ Leeds, Priestley Int Ctr Climate, Leeds, W Yorkshire, England; [Smith, Christopher J.] Int Inst Appl Syst Anal IIASA, Laxenburg, Austria; [Abe-Ouchi, Ayako] Univ Tokyo, Atmosphere &amp; Ocean Res Inst, Tokyo, Japan; [Gregory, Jonathan M.; Smith, Robin S.] Univ Reading, Natl Ctr Atmospher Sci, Reading, Berks, England; [Gregory, Jonathan M.] Hadley Ctr, Met Off, Exeter, Devon, England; [Lipscomb, William H.; Leguy, Gunter R.] Natl Ctr Atmospher Res, Climate &amp; Global Dynam Lab, POB 3000, Boulder, CO 80307 USA; [Payne, Antony J.; Shannon, Sarah] Univ Bristol, Sch Geog Sci, Bristol, Avon, England; [Shepherd, Andrew] Univ Leeds, Sch Earth &amp; Environm, Ctr Polar Observat &amp; Modelling, Leeds, W Yorkshire, England; [Agosta, Cecile; Dumas, Christophe; Quiquet, Aure'lien] Univ Paris Saclay, Lab Sci Climat &amp; Environm, LSCE IPSL, CEA CNRS UVSQ, Gif Sur Yvette, France; [Alexander, Patrick] Columbia Univ, Lamont Doherty Geol Observ, Palisades, NY 10964 USA; [Alexander, Patrick; Anderson, Brian] NASA, Goddard Inst Space Studies, New York, NY 10025 USA; [Albrecht, Torsten; Calov, Reinhard; Reese, Ronja; Winkelmann, Ricarda] Potsdam Inst Climate Impact Res PIK, Leibniz Assoc, Potsdam, Germany; [Golledge, Nicholas R.] Victoria Univ Wellington, Antarctic Res Ctr, Wellington, New Zealand; [Asay-Davis, Xylar; Barthel, Alice; Hoffman, Matthew J.; Price, Stephen F.; Zhang, Tong] Los Alamos Natl Lab, Div Theoret, Los Alamos, NM USA; [Bliss, Andrew] Colorado State Univ, Dept Anthropol &amp; Geog, Ft Collins, CO 80523 USA; [Chambers, Christopher; Greve, Ralf] Hokkaido Univ, Inst Low Temp Sci, Sapporo, Hokkaido, Japan; [Choi, Youngmin; Morlighem, Mathieu; Pelle, Tyler] Univ Calif Irvine, Dept Earth Syst Sci, Irvine, CA USA; [Felikson, Denis] Univ Space Res Assoc, Goddard Earth Sci Technol &amp; Res Studies &amp; Invest, Columbia, MD USA; [Fettweis, Xavier] Univ Liege, Dept Geog, Lab Climatol, Liege, Belgium; [Fujita, Koji; Sakai, Akiko] Nagoya Univ, Grad Sch Environm Studies, Nagoya, Aichi, Japan; [Galton-Fenzi, Benjamin K.] Australian Antarctic Div, Kingston, Tas, Australia; [Galton-Fenzi, Benjamin K.; Zhao, Chen] Univ Tasmania, Australian Antarctic Program Partnership, Inst Marine &amp; Antarctic Studies, Hobart, Tas, Australia; [Gladstone, Rupert] Univ Lapland, Arctic Ctr, Rovaniemi, Finland; [Greve, Ralf] Hokkaido Univ, Arctic Res Ctr, Sapporo, Hokkaido, Japan; [Hattermann, Tore] Norwegian Polar Res Inst, Tromso, Norway; [Hattermann, Tore] Univ Tromso, Dept Phys &amp; Technol, Energy &amp; Climate Grp, Arctic Univ, Tromso, Norway; [Humbert, Angelika; Kleiner, Thomas; Ruckamp, Martin] Alfred Wegener Inst, Helmholtz Zentrum Polar &amp; Meeresforsch, Bremerhaven, Germany; [Humbert, Angelika] Univ Bremen, Dept Geosci, Bremen, Germany; [Huss, Matthias; Zekollari, Harry] Swiss Fed Inst Technol, Lab Hydraul Hydrol &amp; Glaciol VAW, Zurich, Switzerland; [Huss, Matthias; Malles, Jan-Hendrik] Swiss Fed Inst Forest Snow &amp; Landscape Res WSL, Birmensdorf, Switzerland; [Huss, Matthias; van de Wal, Roderik] Univ Fribourg, Dept Geosci, Fribourg, Switzerland; [Huybrechts, Philippe; Le Clec'h, Sebastien; Van Breedam, Jonas] Vrije Univ Brussel, Earth Syst Sci, Brussels, Belgium; [Huybrechts, Philippe; Le Clec'h, Sebastien; Van Breedam, Jonas] Vrije Univ Brussel, Dept Geografie, Brussels, Belgium; [Immerzeel, Walter; Kraaijenbrink, Philip] Univ Utrecht, Dept Phys Geog, Utrecht, Netherlands; [Lee, Victoria] Univ Bristol, Sch Geog Sci, Ctr Polar Observat &amp; Modelling, Bristol, Avon, England; [Little, Christopher M.] Atmospher &amp; Environm Res, Lexington, MA USA; [Lowry, Daniel P.] GNS Sci, Lower Hutt, New Zealand; [Martin, Daniel F.; Shafer, Courtney] Lawrence Berkeley Natl Lab, Computat Res Div, Berkeley, CA USA; [Maussion, Fabien] Univ Innsbruck, Dept Atmospher &amp; Cryospher Sci, Innsbruck, Austria; [Nias, Isabel] Univ Liverpool, Sch Environm Sci, Liverpool, Merseyside, England; [Radic, Valentina] Univ British Columbia, Dept Earth Ocean &amp; Atmospher Sci, Vancouver, BC, Canada; [Rounce, David R.] Carnegie Mellon Univ, Dept Civil &amp; Environm Engn, Pittsburgh, PA 15213 USA; [Tarasov, Lev] Mem Univ Newfoundland, Dept Phys &amp; Phys Oceanog, St John, NF, Canada; [Trusel, Luke D.] Penn State Univ, Dept Geog, University Pk, PA 16802 USA; [Winkelmann, Ricarda] Univ Potsdam, Dept Phys &amp; Astron, Potsdam, Germany; [Zekollari, Harry] Delft Univ Technol, Dept Geosci &amp; Remote Sensing, Delft, Netherlands; [Zhang, Tong] Beijing Normal Univ, State Key Lab Earth Surface Proc &amp; Resource, Beijing, Peoples R China; [Zwinger, Thomas] CSC IT Ctr Sci, Espoo, Finland</t>
  </si>
  <si>
    <t>University of London; King's College London; National Aeronautics &amp; Space Administration (NASA); NASA Goddard Space Flight Center; State University of New York (SUNY) System; State University of New York (SUNY) Buffalo; State University of New York (SUNY) System; State University of New York (SUNY) Buffalo; University of Bremen; University of Bremen; University of Alaska System; University of Alaska Fairbanks; University of Oslo; Utrecht University; Universite Libre de Bruxelles; Bjerknes Centre for Climate Research; Norwegian Research Centre (NORCE); National Aeronautics &amp; Space Administration (NASA); NASA Jet Propulsion Laboratory (JPL); California Institute of Technology; Centre National de la Recherche Scientifique (CNRS); Institut de Recherche pour le Developpement (IRD); Communaute Universite Grenoble Alpes; Universite Grenoble Alpes (UGA); University of California System; University of California San Diego; Scripps Institution of Oceanography; University of St Andrews; University of Edinburgh; University of Leeds; International Institute for Applied Systems Analysis (IIASA); University of Tokyo; University of Reading; UK Research &amp; Innovation (UKRI); Natural Environment Research Council (NERC); NERC National Centre for Atmospheric Science; Met Office - UK; Hadley Centre; National Center Atmospheric Research (NCAR) - USA; University of Bristol; University of Leeds; CEA; Centre National de la Recherche Scientifique (CNRS); Universite Paris Saclay; Universite Paris Cite; Columbia University; National Aeronautics &amp; Space Administration (NASA); NASA Goddard Space Flight Center; Goddard Institute for Space Studies; Potsdam Institut fur Klimafolgenforschung; Victoria University Wellington; United States Department of Energy (DOE); Los Alamos National Laboratory; Colorado State University; Hokkaido University; University of California System; University of California Irvine; Universities Space Research Association (USRA); University of Liege; Nagoya University; Australian Antarctic Division; University of Tasmania; University of Lapland; Hokkaido University; Norwegian Polar Institute; UiT The Arctic University of Tromso; Helmholtz Association; Alfred Wegener Institute, Helmholtz Centre for Polar &amp; Marine Research; University of Bremen; Swiss Federal Institutes of Technology Domain; ETH Zurich; Swiss Federal Institutes of Technology Domain; Swiss Federal Institute for Forest, Snow &amp; Landscape Research; University of Fribourg; Vrije Universiteit Brussel; Vrije Universiteit Brussel; Utrecht University; University of Bristol; Atmospheric &amp; Environmental Research; GNS Science - New Zealand; United States Department of Energy (DOE); Lawrence Berkeley National Laboratory; University of Innsbruck; University of Liverpool; University of British Columbia; Carnegie Mellon University; Memorial University Newfoundland; Pennsylvania Commonwealth System of Higher Education (PCSHE); Pennsylvania State University; Pennsylvania State University - University Park; University of Potsdam; Delft University of Technology; Beijing Normal University</t>
  </si>
  <si>
    <t>Edwards, TL (corresponding author), Kings Coll London, Dept Geog, London, England.</t>
  </si>
  <si>
    <t>tamsin.edwards@kcl.ac.uk</t>
  </si>
  <si>
    <t>Morlighem, Mathieu/O-9942-2014; Goelzer, Heiko/M-2367-2016; Fujita, Koji/E-6104-2010; Lipscomb, William/AAR-8668-2021; Barthel, Alice/AHE-2973-2022; Gregory, Jonathan/J-2939-2016; van de wal, roderik/D-1705-2011; Maussion, Fabien/B-9814-2013; Van den Broeke, Michiel R./F-7867-2011; albrecht, torsten/J-8259-2019; Quiquet, Aurélien/P-6180-2014; Trusel, Luke D/E-2578-2013; Smith, Christopher/AHD-0991-2022; Seroussi, Helene/AAX-5342-2021; Agosta, Cécile/HLQ-5577-2023; Huss, Matthias/JLL-6340-2023; Sakai, Akiko/M-5413-2013; Pattyn, Frank/AAA-9640-2019; Felikson, Denis/M-2397-2016; Zhang, Tong/HJG-9501-2022; Zhao, Chen/S-2693-2019; Abe-Ouchi, Ayako A/M-6359-2013; Greve, Ralf/G-2336-2010; Marzeion, Ben/G-6514-2013; payne, antony/A-8916-2008; Price, Stephen/E-1568-2013; Zwinger, Thomas/H-5163-2018; Huybrechts, Philippe/J-5278-2013; Jourdain, Nicolas/B-6899-2015</t>
  </si>
  <si>
    <t>Morlighem, Mathieu/0000-0001-5219-1310; Goelzer, Heiko/0000-0002-5878-9599; Fujita, Koji/0000-0003-3753-4981; Barthel, Alice/0000-0002-2481-8646; Gregory, Jonathan/0000-0003-1296-8644; van de wal, roderik/0000-0003-2543-3892; Maussion, Fabien/0000-0002-3211-506X; Van den Broeke, Michiel R./0000-0003-4662-7565; albrecht, torsten/0000-0001-7459-2860; Quiquet, Aurélien/0000-0001-6207-3043; Smith, Christopher/0000-0003-0599-4633; Seroussi, Helene/0000-0001-9201-1644; Pattyn, Frank/0000-0003-4805-5636; Felikson, Denis/0000-0002-3785-5112; Zhao, Chen/0000-0003-0368-1334; Abe-Ouchi, Ayako A/0000-0003-1745-5952; Greve, Ralf/0000-0002-1341-4777; Van Breedam, Jonas/0000-0003-1504-9520; Zekollari, Harry/0000-0002-7443-4034; Humbert, Angelika/0000-0002-0244-8760; McKenna, Christine/0000-0002-9677-4582; Marzeion, Ben/0000-0002-6185-3539; Malles, Jan-Hendrik/0000-0002-4208-704X; payne, antony/0000-0001-8825-8425; Sun, Sainan/0000-0002-1614-2658; Rounce, David/0000-0002-4481-4191; Price, Stephen/0000-0001-6878-2553; Slater, Donald/0000-0001-8394-6149; Zwinger, Thomas/0000-0003-3360-4401; Schlegel, Nicole-Jeanne/0000-0001-8035-448X; Huybrechts, Philippe/0000-0003-1406-0525; Straneo, Fiammetta/0000-0002-1735-2366; Martin, Daniel/0000-0003-4488-2538; Golledge, Nicholas/0000-0001-7676-8970; Reese, Ronja/0000-0001-7625-040X; Jourdain, Nicolas/0000-0002-1372-2235; Nias, Isabel/0000-0002-5657-8691; Turner, Fiona/0000-0002-5919-153X; Edwards, Tamsin/0000-0002-4760-4704; Lipscomb, William/0000-0002-7100-3730</t>
  </si>
  <si>
    <t>Grants-in-Aid for Scientific Research [21H03582] Funding Source: KAKEN; NERC [NE/T011920/1, NE/J005681/1, NE/T009381/1, cpom30001, NE/T009470/1] Funding Source: UKRI</t>
  </si>
  <si>
    <t>Grants-in-Aid for Scientific Research(Ministry of Education, Culture, Sports, Science and Technology, Japan (MEXT)Japan Society for the Promotion of ScienceGrants-in-Aid for Scientific Research (KAKENHI)); NERC(UK Research &amp; Innovation (UKRI)Natural Environment Research Council (NERC))</t>
  </si>
  <si>
    <t>MAY 6</t>
  </si>
  <si>
    <t>10.1038/s41586-021-03302-y</t>
  </si>
  <si>
    <t>RY0YD</t>
  </si>
  <si>
    <t>Green Submitted, Green Accepted, Green Published</t>
  </si>
  <si>
    <t>WOS:000647642900014</t>
  </si>
  <si>
    <t>DeConto, RM; Pollard, D; Alley, RB; Velicogna, I; Gasson, E; Gomez, N; Sadai, S; Condron, A; Gilford, DM; Ashe, EL; Kopp, RE; Li, DW; Dutton, A</t>
  </si>
  <si>
    <t>DeConto, Robert M.; Pollard, David; Alley, Richard B.; Velicogna, Isabella; Gasson, Edward; Gomez, Natalya; Sadai, Shaina; Condron, Alan; Gilford, Daniel M.; Ashe, Erica L.; Kopp, Robert E.; Li, Dawei; Dutton, Andrea</t>
  </si>
  <si>
    <t>The Paris Climate Agreement and future sea-level rise from Antarctica</t>
  </si>
  <si>
    <t>ICE-SHEET RETREAT; GLACIAL ISOSTATIC-ADJUSTMENT; RAPID BEDROCK UPLIFT; VISCOELASTIC RESPONSE; SYSTEM MODEL; SURFACE; GREENLAND; SHELVES; DRIVEN; EARTH</t>
  </si>
  <si>
    <t>An observationally calibrated ice sheet-shelf model suggests that global warming of 3 degrees C will trigger rapid Antarctic ice loss, contributing about 0.5 cm per year of sea-level rise by 2100. The Paris Agreement aims to limit global mean warming in the twenty-first century to less than 2 degrees Celsius above preindustrial levels, and to promote further efforts to limit warming to 1.5 degrees Celsius(1). The amount of greenhouse gas emissions in coming decades will be consequential for global mean sea level (GMSL) on century and longer timescales through a combination of ocean thermal expansion and loss of land ice(2). The Antarctic Ice Sheet (AIS) is Earth's largest land ice reservoir (equivalent to 57.9 metres of GMSL)(3), and its ice loss is accelerating(4). Extensive regions of the AIS are grounded below sea level and susceptible to dynamical instabilities(5-8) that are capable of producing very rapid retreat(8). Yet the potential for the implementation of the Paris Agreement temperature targets to slow or stop the onset of these instabilities has not been directly tested with physics-based models. Here we use an observationally calibrated ice sheet-shelf model to show that with global warming limited to 2 degrees Celsius or less, Antarctic ice loss will continue at a pace similar to today's throughout the twenty-first century. However, scenarios more consistent with current policies (allowing 3 degrees Celsius of warming) give an abrupt jump in the pace of Antarctic ice loss after around 2060, contributing about 0.5 centimetres GMSL rise per year by 2100-an order of magnitude faster than today(4). More fossil-fuel-intensive scenarios(9) result in even greater acceleration. Ice-sheet retreat initiated by the thinning and loss of buttressing ice shelves continues for centuries, regardless of bedrock and sea-level feedback mechanisms(10-12) or geoengineered carbon dioxide reduction. These results demonstrate the possibility that rapid and unstoppable sea-level rise from Antarctica will be triggered if Paris Agreement targets are exceeded.</t>
  </si>
  <si>
    <t>[DeConto, Robert M.; Sadai, Shaina; Li, Dawei] Univ Massachusetts Amherst, Dept Geosci, Amherst, MA 01003 USA; [Pollard, David; Alley, Richard B.] Penn State Univ, Earth &amp; Environm Syst Inst, University Pk, PA 16802 USA; [Alley, Richard B.] Penn State Univ, Dept Geosci, University Pk, PA 16802 USA; [Velicogna, Isabella] Univ Calif Irvine, Earth Syst Sci, Irvine, CA USA; [Gasson, Edward] Univ Bristol, Sch Geog Sci, Bristol, Avon, England; [Gomez, Natalya] McGill Univ, Dept Earth &amp; Planetary Sci, Montreal, PQ, Canada; [Condron, Alan] Woods Hole Oceanog Inst, Dept Geol &amp; Geophys, Woods Hole, MA 02543 USA; [Gilford, Daniel M.; Ashe, Erica L.; Kopp, Robert E.] Rutgers State Univ, Dept Earth &amp; Planetary Sci, Piscataway, NJ USA; [Li, Dawei] Shanghai Jiao Tong Univ, Sch Oceanog, Shanghai, Peoples R China; [Dutton, Andrea] Univ Wisconsin Madison, Dept Geosci, Madison, WI USA</t>
  </si>
  <si>
    <t>University of Massachusetts System; University of Massachusetts Amherst;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California System; University of California Irvine; University of Bristol; McGill University; Woods Hole Oceanographic Institution; Rutgers University System; Rutgers University New Brunswick; Shanghai Jiao Tong University; University of Wisconsin System; University of Wisconsin Madison</t>
  </si>
  <si>
    <t>DeConto, RM (corresponding author), Univ Massachusetts Amherst, Dept Geosci, Amherst, MA 01003 USA.</t>
  </si>
  <si>
    <t>deconto@geo.umass.edu</t>
  </si>
  <si>
    <t>Velicogna, Isabella/R-5561-2018; Kopp, Robert E/B-8822-2008; Dutton, Andrea/A-2506-2008</t>
  </si>
  <si>
    <t>Ashe, Erica/0000-0002-7445-6321; Li, Dawei/0000-0002-4886-9173; Gilford, Daniel/0000-0003-2422-0887; eric, azhe/0009-0002-4135-7236; Dutton, Andrea/0000-0002-3836-119X; Condron, Alan/0000-0002-7337-1713; Sadai, Shaina/0000-0002-6723-6531</t>
  </si>
  <si>
    <t>NERC [NE/T007397/2, NE/T007397/1] Funding Source: UKRI</t>
  </si>
  <si>
    <t>10.1038/s41586-021-03427-0</t>
  </si>
  <si>
    <t>WOS:000647642900015</t>
  </si>
  <si>
    <t>Walters, A; Robert, M; Cresson, P; Le Bris, H; Kopp, D</t>
  </si>
  <si>
    <t>Walters, Andrea; Robert, Marianne; Cresson, Pierre; Le Bris, Herve; Kopp, Dorothee</t>
  </si>
  <si>
    <t>Food web structure in relation to environmental drivers across a continental shelf ecosystem</t>
  </si>
  <si>
    <t>STABLE-ISOTOPE ANALYSIS; SCALE SPATIAL VARIATION; CELTIC SEA; MARINE ECOSYSTEM; TROPHIC ECOLOGY; FISH COMMUNITY; RESOURCE USE; DELTA-N-15; DELTA-C-13; NICHE</t>
  </si>
  <si>
    <t>Quantification of the physical and biological factors that influence the spatial structuring of food webs is central to inform effective resource management. We used baseline-corrected stable isotope ratios (delta C-13 and delta N-15) of 63 invertebrate and fish to investigate food web structure across a continental shelf gradient-the Celtic Sea Shelf in the Northeast Atlantic Ocean. Hierarchical clustering on delta C-13 and delta N-15 showed that the shelf food web is characterized by four trophic levels with trophic groups spread across pelagic and benthic trophic pathways. Four biomass-weighted isotopic diversity metrics provided indicators on the status of the system, showing a relatively complex food web with high trophic redundancy at intermediate trophic levels suggesting resilience to disturbances. Two sets of statistical models, at the community scale and for each trophic group, identified five distinct trophic assemblages associated with different chlorophyll a concentrations, water depth, and bottom temperature. A cold, vertically mixed-water assemblage over the outer shelf comprised the largest habitat and most diverse assemblage, highlighting the importance of cold productive conditions in the Celtic Sea. Trophic group model results were used to generate spatial area predictions to compare functioning of groups using isotopic overlap (similarity and nestedness) metrics. Isotopic niche area was larger (spanning two trophic levels) in shallow habitats, but not in habitats underlying high primary production or nutrient-rich water masses, suggesting stronger benthic-pelagic trophic coupling in inner shelf habitats. Results suggest that depth and intensity of pelagic production are major drivers of trophic structure and functioning of Celtic Sea communities.</t>
  </si>
  <si>
    <t>[Walters, Andrea; Robert, Marianne; Kopp, Dorothee] IFREMER, Sci &amp; Halieut Technol Res Unit, Lorient, France; [Cresson, Pierre] IFREMER, Channel &amp; North Sea Fisheries Res Unit, Boulogne Sur Mer, France; [Le Bris, Herve] INRAE, Inst Agro, Ecol &amp; Ecosyst Hlth, ESE, Rennes, France</t>
  </si>
  <si>
    <t>Ifremer; Ifremer; Institut Agro; INRAE</t>
  </si>
  <si>
    <t>Walters, A (corresponding author), IFREMER, Sci &amp; Halieut Technol Res Unit, Lorient, France.</t>
  </si>
  <si>
    <t>arwalters38@gmail.com</t>
  </si>
  <si>
    <t>Cresson, Pierre/D-8402-2012; Robert, Marianne/V-6221-2018</t>
  </si>
  <si>
    <t>Cresson, Pierre/0000-0002-3485-4261; Kopp, Dorothee/0000-0002-8767-2736; Robert, Marianne/0000-0002-4727-5509; Walters, Andrea/0000-0002-7166-5689</t>
  </si>
  <si>
    <t>France Fillere Peche; Region Bretagne; French government; Region Haut de France; Ifremer</t>
  </si>
  <si>
    <t>France Fillere Peche; Region Bretagne(Region Bretagne); French government; Region Haut de France; Ifremer</t>
  </si>
  <si>
    <t>This study was carried out as part of the EATME project supported by France Fillere Peche and Region Bretagne. P. Cresson is supported by grants from the French government, the Region Haut de France and Ifremer under the framework of the project CPER MARCO 2015-2020. A. Walters is an Adjunct Researcher within the Institute for Marine and Antarctic Studies, University of Tasmania. The authors would like to thank Laurene Merillet and Pierre-Yves Hernvann for data support and discussions, and the crew onboard the R/V Thalassa. The authors thank the editor K. David Hambright and two anonymous reviewers for comments that improved previous versions of the manuscript.</t>
  </si>
  <si>
    <t>10.1002/lno.11773</t>
  </si>
  <si>
    <t>SS2IZ</t>
  </si>
  <si>
    <t>WOS:000647431800001</t>
  </si>
  <si>
    <t>Dürwald, A; Zühlke, MK; Schlüter, R; Gebbe, R; Bartosik, D; Unfried, F; Becher, D; Schweder, T</t>
  </si>
  <si>
    <t>Duerwald, Alexandra; Zuehlke, Marie-Katherin; Schlueter, Rabea; Gebbe, Rebecca; Bartosik, Daniel; Unfried, Frank; Becher, Doerte; Schweder, Thomas</t>
  </si>
  <si>
    <t>Reaching out in anticipation: bacterial membrane extensions represent a permanent investment in polysaccharide sensing and utilization</t>
  </si>
  <si>
    <t>SUBCELLULAR-LOCALIZATION; EXTRACELLULAR VESICLES; VIRULENCE FACTORS; MECHANISM; BIOGENESIS; IDENTIFICATION; PHYTOPLANKTON; VISUALIZATION; SEQUENCE; GROWTH</t>
  </si>
  <si>
    <t>Outer membrane extensions are common in many marine bacteria. However, the function of these surface enlargements or extracellular compartments is poorly understood. Using a combined approach of microscopy and subproteome analyses, we therefore examined Pseudoalteromonas distincta ANT/505, an Antarctic polysaccharide degrading gamma-proteobacterium. P. distincta produced outer membrane vesicles (MV) and vesicle chains (VC) on polysaccharide and non-polysaccharide carbon sources during the exponential and stationary growth phase. Surface structures of carbohydrate-grown cells were equipped with increased levels of highly substrate-specific proteins. At the same time, proteins encoded in all other polysaccharide degradation-related genomic regions were also detected in MV and VC samples under all growth conditions, indicating a basal expression. In addition, two alkaline phosphatases were highly abundant under non-limiting phosphate conditions. Surface structures may thus allow rapid sensing and fast responses in nutritionally deprived environments. It may also facilitate efficient carbohydrate processing and reduce loss of substrates and enzymes by diffusion as important adaptions to the aquatic ecosystem.</t>
  </si>
  <si>
    <t>[Duerwald, Alexandra; Zuehlke, Marie-Katherin; Gebbe, Rebecca; Bartosik, Daniel; Unfried, Frank; Schweder, Thomas] Ernst Moritz Arndt Univ Greifswald, Inst Pharm, Pharmaceut Biotechnol, D-17487 Greifswald, Germany; [Zuehlke, Marie-Katherin; Unfried, Frank; Becher, Doerte; Schweder, Thomas] Inst Marine Biotechnol, D-17489 Greifswald, Germany; [Schlueter, Rabea] Ernst Moritz Arndt Univ Greifswald, Dept Biol, Imaging Ctr, D-17489 Greifswald, Germany; [Becher, Doerte] Ernst Moritz Arndt Univ Greifswald, Inst Microbiol, Microbial Prote, D-17487 Greifswald, Germany</t>
  </si>
  <si>
    <t>Universitat Greifswald; Universitat Greifswald; Universitat Greifswald</t>
  </si>
  <si>
    <t>Schweder, T (corresponding author), Ernst Moritz Arndt Univ Greifswald, Inst Pharm, Pharmaceut Biotechnol, D-17487 Greifswald, Germany.;Schweder, T (corresponding author), Inst Marine Biotechnol, D-17489 Greifswald, Germany.</t>
  </si>
  <si>
    <t>schweder@uni-greifswald.de</t>
  </si>
  <si>
    <t>Schweder, Thomas/GQB-0990-2022; Becher, Dorte/B-4454-2015</t>
  </si>
  <si>
    <t>Schweder, Thomas/0000-0002-7213-3596; Bartosik, Daniel/0000-0002-5103-4564; Durwald, Alexandra/0000-0001-9503-485X; Unfried, Frank/0000-0002-9304-4947; Zuhlke, Marie-Katherin/0000-0002-8081-9969; Becher, Dorte/0000-0002-9630-5735</t>
  </si>
  <si>
    <t>German Research Foundation (DFG) [SPP 1158, SCHW 595/9-1, FOR 2406, SCHW 595/10-2]; Institute of Marine Biotechnology e.V.</t>
  </si>
  <si>
    <t>German Research Foundation (DFG)(German Research Foundation (DFG)); Institute of Marine Biotechnology e.V.</t>
  </si>
  <si>
    <t>The authors are grateful to Jana Matulla, Annette Meuche and Stefan Bock for excellent technical assistance and Sebastian Grund for mass spectrometry analyses. We thank Oliver Otto from the ZIK-HIKE (Innovation Center -Humoral Immune Responses in Cardiovascular Disorders) of the University of Greifswald for the possibility to use the scanning electron microscope Supra 40VP and Christian Denker for all advices and assistance in device operation. We thank Stephanie Markert for critical reading of the manuscript. The work of this study was financially supported by the German Research Foundation (DFG) in the framework of the priority program (SPP 1158) `Antarctic Research with comparative investigations in Arctic ice areas' by a grant (SCHW 595/9-1) and in the research unit FOR 2406 `Proteogenomics of Marine Polysaccharide Utilization' (POMPU) by a grant (SCHW 595/10-2). Frank Unfried was financially supported by a scholarship from the Institute of Marine Biotechnology e.V.</t>
  </si>
  <si>
    <t>10.1111/1462-2920.15537</t>
  </si>
  <si>
    <t>TB3CV</t>
  </si>
  <si>
    <t>WOS:000648032100001</t>
  </si>
  <si>
    <t>Brown, MS; Bowman, JS; Lin, YJ; Feehan, CJ; Moreno, CM; Cassar, N; Marchetti, A; Schofield, OM</t>
  </si>
  <si>
    <t>Brown, Michael S.; Bowman, Jeff S.; Lin, Yajuan; Feehan, Colette J.; Moreno, Carly M.; Cassar, Nicolas; Marchetti, Adrian; Schofield, Oscar M.</t>
  </si>
  <si>
    <t>Low diversity of a key phytoplankton group along the West Antarctic Peninsula</t>
  </si>
  <si>
    <t>COMMUNITY COMPOSITION; FOOD-WEB; SEA-ICE; VARIABILITY; EUKARYOTES; PLANKTON; BIOMASS; WATERS; TOOL</t>
  </si>
  <si>
    <t>The West Antarctic Peninsula (henceforth Peninsula) is experiencing rapid warming and melting that is impacting the regional marine food web. The primary phytoplankton groups along the Peninsula are diatoms and cryptophytes. Relative to diatoms, there has been little focus on regional cryptophytes, and thus our understanding of their diversity and ecology is limited, especially at the species level. This gap is important, as diatoms and cryptophytes play distinct roles in the regional marine food web and biogeochemistry. Here, we use a phylogenetic placement approach with 18S rRNA gene amplicon sequence variants to assess surface ocean cryptophyte diversity and its drivers at a high taxonomic resolution along the Peninsula. Data were collected over 5 years (2012-2016) during the regional research cruises of the Palmer Long-Term Ecological Research program. Our results indicate that there are two major cryptophyte taxa along the Peninsula, consisting of distinct Geminigera spp., which in aggregate always comprise nearly 100% of the cryptophyte community (indicating low taxa evenness). The primary taxon dominates the cryptophyte community across all samples/years, which span a broad range of oceanographic conditions. A shift in cryptophyte community composition between a lower (higher) primary (secondary) taxon percentage is associated with distinct oceanographic conditions, including lower (higher) temperature, salinity, nutrients, and cryptophyte relative abundance (phytoplankton biomass and diatom relative abundance). These results emphasize the need for a full characterization of the ecology of these two taxa, as it is predicted that cryptophytes will increase along the Peninsula given projections of continued regional environmental change.</t>
  </si>
  <si>
    <t>[Brown, Michael S.; Schofield, Oscar M.] Rutgers State Univ, Dept Marine &amp; Coastal Sci, New Brunswick, NJ 08901 USA; [Bowman, Jeff S.] Scripps Inst Oceanog, Integrat Oceanog Div, La Jolla, CA USA; [Lin, Yajuan; Cassar, Nicolas] Duke Univ, Nicholas Sch Environm, Div Earth &amp; Ocean Sci, Durham, NC 27708 USA; [Feehan, Colette J.] Montclair State Univ, Dept Biol, Montclair, NJ USA; [Moreno, Carly M.; Marchetti, Adrian] Univ N Carolina, Dept Marine Sci, Chapel Hill, NC 27515 USA</t>
  </si>
  <si>
    <t>Rutgers University System; Rutgers University New Brunswick; University of California System; University of California San Diego; Scripps Institution of Oceanography; Duke University; Montclair State University; University of North Carolina; University of North Carolina Chapel Hill</t>
  </si>
  <si>
    <t>Brown, MS (corresponding author), Rutgers State Univ, Dept Marine &amp; Coastal Sci, New Brunswick, NJ 08901 USA.</t>
  </si>
  <si>
    <t>mbrown@marine.rutgers.edu</t>
  </si>
  <si>
    <t>; Schofield, Oscar/H-4169-2018; Cassar, Nicolas/B-4260-2011</t>
  </si>
  <si>
    <t>Marchetti, Adrian/0000-0003-4608-4775; Brown, Michael/0000-0002-0046-7917; Schofield, Oscar/0000-0003-2359-4131; Cassar, Nicolas/0000-0003-0100-3783; Feehan, Colette/0000-0001-7849-4053; Lin, Yajuan/0000-0002-9057-9321; Bowman, Jeff/0000-0002-8811-6280</t>
  </si>
  <si>
    <t>NSF OPP Integrated Systems Science Program Award [1440435]; NSF OPP Award [1043339, 1341479]; NSF OPP [1846837, 1821911]; Simons Foundation Early Career Marine Microbial Investigator award; Directorate For Geosciences; Office of Polar Programs (OPP) [1846837, 1821911] Funding Source: National Science Foundation</t>
  </si>
  <si>
    <t>NSF OPP Integrated Systems Science Program Award(National Science Foundation (NSF)); NSF OPP Award; NSF OPP(National Science Foundation (NSF)NSF - Directorate for Geosciences (GEO)); Simons Foundation Early Career Marine Microbial Investigator award; Directorate For Geosciences; Office of Polar Programs (OPP)(National Science Foundation (NSF)NSF - Directorate for Geosciences (GEO))</t>
  </si>
  <si>
    <t>We thank all past and present Palmer LTER members for their dedication in the field and lab, and support crew for their assistance. This research was supported by NSF OPP Integrated Systems Science Program Award No. 1440435 to O.M.S. for the Palmer LTER, and NSF OPP Award Nos. 1043339 to N.C. and 1341479 to A.M for the DNA data set. J.S.B. was supported by NSF OPP Award Nos. 1846837 and 1821911, and a Simons Foundation Early Career Marine Microbial Investigator award.</t>
  </si>
  <si>
    <t>10.1002/lno.11765</t>
  </si>
  <si>
    <t>WOS:000647412200001</t>
  </si>
  <si>
    <t>Osborne, A; Ryan, PG</t>
  </si>
  <si>
    <t>Osborne, Alexis; Ryan, Peter G.</t>
  </si>
  <si>
    <t>Using digital photography to study moult extent in breeding seabirds</t>
  </si>
  <si>
    <t>OSTRICH</t>
  </si>
  <si>
    <t>albatrosses; feather wear; flight feathers; giant petrels; secondary coverts; symmetry</t>
  </si>
  <si>
    <t>STRATEGIES</t>
  </si>
  <si>
    <t>Scoring moult from live birds in the hand takes time, thereby increasing the handling stress to the birds. We show that digital photography can be used to efficiently study moult extent across multiple feather tracts. We photographed the upper wings of incubating albatrosses and giant petrels to infer which remiges and greater secondary coverts had been replaced in the previous year. Wear contrasts differentiating 'new' from 'old' feathers were easier to see for dark than white feathers, and could be enhanced by increasing image saturation. Repeat photography of the same individuals in successive years showed that the inner secondaries and associated greater coverts wear faster than the central secondaries, and this needs to be considered when aging feathers of unknown birds. Scoring primary moult in the hand took more than twice as long as photographing the entire wing. There were a few discrepancies between moult scores from photographs and birds scored in the hand, mostly due to older feathers being scored as new. These errors likely resulted from rushing to score moult in the hand under indifferent lighting conditions. However, it is essential to ensure that the wing is fully spread, so that all feathers are visible. Photographing had no impact on hatching success and it is a useful and reliable method to study the extent and symmetry of moult.</t>
  </si>
  <si>
    <t>[Osborne, Alexis; Ryan, Peter G.] Univ Cape Town, DSI NRF Ctr Excellence, Fitz Patrick Inst African Ornithol, Cape Town, South Africa; [Osborne, Alexis] Royal Soc Protect Birds, RSPB Ctr Conservat Sci, Sandy, Beds, England</t>
  </si>
  <si>
    <t>University of Cape Town; Royal Society for Protection of Birds</t>
  </si>
  <si>
    <t>Osborne, A (corresponding author), Univ Cape Town, DSI NRF Ctr Excellence, Fitz Patrick Inst African Ornithol, Cape Town, South Africa.;Osborne, A (corresponding author), Royal Soc Protect Birds, RSPB Ctr Conservat Sci, Sandy, Beds, England.</t>
  </si>
  <si>
    <t>lexisosborne@gmail.com</t>
  </si>
  <si>
    <t>Prince Edward Islands Management Committee; South African National Antarctic Programme (SANAP); UK's Royal Society for the Protection of Birds; SANAP</t>
  </si>
  <si>
    <t>Permission to visit and conduct research on Marion Island was granted by the Prince Edward Islands Management Committee. Research at Marion Island is supported by the South African National Antarctic Programme (SANAP). We thank the Administrator, Island Council and the Conservation Department of Tristan da Cunha for permission to visit and conduct research on Gough Island. Research at Gough Island is supported by the UK's Royal Society for the Protection of Birds and by SANAP.</t>
  </si>
  <si>
    <t>0030-6525</t>
  </si>
  <si>
    <t>1727-947X</t>
  </si>
  <si>
    <t>Ostrich</t>
  </si>
  <si>
    <t>AUG 27</t>
  </si>
  <si>
    <t>10.2989/00306525.2021.1897699</t>
  </si>
  <si>
    <t>WP3EC</t>
  </si>
  <si>
    <t>WOS:000647877600001</t>
  </si>
  <si>
    <t>Cleguer, C; Kelly, N; Tyne, J; Wieser, M; Peel, D; Hodgson, A</t>
  </si>
  <si>
    <t>Cleguer, Christophe; Kelly, Natalie; Tyne, Julian; Wieser, Martin; Peel, David; Hodgson, Amanda</t>
  </si>
  <si>
    <t>A Novel Method for Using Small Unoccupied Aerial Vehicles to Survey Wildlife Species and Model Their Density Distribution</t>
  </si>
  <si>
    <t>drone; UAV (unoccupied aerial vehicle); wildlife survey methodology; abundance; spatial modeling; dugong</t>
  </si>
  <si>
    <t>MEASUREMENT ERROR; SPATIAL MODELS; ABUNDANCE; MANAGEMENT; DISTANCES; MEGAFAUNA; MOVEMENT; IDENTIFY; PROTOCOL; DUGONGS</t>
  </si>
  <si>
    <t>There is growing interest from research and conservation groups in the potential for using small unoccupied aerial vehicles (UAVs; &lt;2 kg) to conduct wildlife surveys because they are affordable, easy to use, readily available and reliable. However, limitations such as short flight endurance, and in many situations, aviation regulations, have constrained the use of small UAVs in survey applications. Thus, there is a need to refine survey methods adapted to small UAVs that conform to standard operations within aviation law. We developed a novel survey approach based on a grid sampling design using two multirotor UAVs (Phantom 4 Pros) flying simultaneously, within visual line of sight, from our vessel base-station. We used this approach to assess the fine-scale distribution and abundance of dugongs (Dugong dugon) in the remote waters of the Pilbara, Western Australia during three field seasons across 2 years. We surveyed 64 non-overlapping survey cells in random order one or more times and obtained complete image coverage of each surveyed cell of our 31 km(2) survey area. Our sampling design maximizes sampling effort while limiting survey time by surveying four cells, two at a time, from one location. Overall, we conducted 240 flights with up to 17 flights per day (mean = 14 flights per day) and could obtain complete coverage of up to 11.36 km(2)per day. A total of 149 dugongs were sighted within the 50,482 images which we manually reviewed. Spatially-explicit models of dugong density distribution (corrected for availability and perception bias) were produced using general additive models to identify areas more or less used by dugongs (range of corrected dugong densities across all field season = 0.002-1.79 dugongs per 0.04 km(2)). Dugong abundance estimates ranged from 47 individuals in June 2019 (CV = 0.17) to 103 individuals in May 2018 (CV = 0.36). Our method, which proved convincing in a real-word application by its feasibility, ease of implementation, and achievable surface coverage has the potential to be used in a wide range of applications from community-based local-scale surveys, to long-term repeated/intensive surveys, and impact assessments and environmental monitoring studies.</t>
  </si>
  <si>
    <t>[Cleguer, Christophe; Tyne, Julian; Hodgson, Amanda] Murdoch Univ, Harry Butler Inst, Ctr Sustainable Aquat Ecosyst, Murdoch, WA, Australia; [Kelly, Natalie] Dept Agr Water &amp; Environm, Australian Antarctic Div, Kingston, Tas, Australia; [Tyne, Julian] South Atlantic Environm Res Inst, Stanley, Falkland Island; [Wieser, Martin] Independent Researcher Photogrammetry, Vienna, Austria; [Peel, David] CSIRO Data61, Hobart, Tas, Australia</t>
  </si>
  <si>
    <t>Murdoch University; Australian Antarctic Division; Commonwealth Scientific &amp; Industrial Research Organisation (CSIRO)</t>
  </si>
  <si>
    <t>Cleguer, C (corresponding author), Murdoch Univ, Harry Butler Inst, Ctr Sustainable Aquat Ecosyst, Murdoch, WA, Australia.</t>
  </si>
  <si>
    <t>Christophe.cleguer@murdoch.edu.au</t>
  </si>
  <si>
    <t>Hodgson, Amanda Jane/ITV-9262-2023; Kelly, Natalie/B-3481-2010; Cleguer, Christophe CC/J-9061-2014</t>
  </si>
  <si>
    <t>Hodgson, Amanda Jane/0000-0002-9479-3018; Tyne, Julian/0000-0002-0676-5659; Wieser, Martin/0009-0005-9870-6494; Kelly, Nat/0000-0002-9664-354X</t>
  </si>
  <si>
    <t>Chevron-operated Wheatstone LNG Project's State Environmental Offsets Program; Woodside through the Pluto LNG Environmental Offsets Program; Murdoch University</t>
  </si>
  <si>
    <t>This project was funded by the Chevron-operated Wheatstone LNG Project's State Environmental Offsets Program and administered by the Department of Biodiversity, Conservation and Attractions. The Wheatstone Project is a joint venture between Australian subsidiaries of Chevron, Kuwait Foreign Petroleum Exploration Company (KUFPEC), Apache Corporation and Kyushu Electric Power Company, together with PE Wheatstone Pty. Ltd. (part-owned by TEPCO). This project was also supported by Woodside through the Pluto LNG Environmental Offsets Program. Additional funding was provided by Murdoch University.</t>
  </si>
  <si>
    <t>MAY 5</t>
  </si>
  <si>
    <t>10.3389/fmars.2021.640338</t>
  </si>
  <si>
    <t>SF8XL</t>
  </si>
  <si>
    <t>WOS:000653031400001</t>
  </si>
  <si>
    <t>Corsolini, S; Metzdorff, A; Baroni, D; Roscales, JL; Jimenez, B; Cerro-Gálvez, E; Dachs, J; Galban-Malagón, C; Audy, O; Kohoutek, J; Pribylova, P; Poblete-Morales, M; Avendaño-Herrera, R; Bergami, E; Pozo, K</t>
  </si>
  <si>
    <t>Corsolini, Simonetta; Metzdorff, America; Baroni, Davide; Roscales, Jose L.; Jimenez, Begona; Cerro-Galvez, Elena; Dachs, Jordi; Galban-Malagon, Cristobal; Audy, Ondrej; Kohoutek, Jiri; Pribylova, Petra; Poblete-Morales, Matias; Avendano-Herrera, Ruben; Bergami, Elisa; Pozo, Karla</t>
  </si>
  <si>
    <t>Legacy and novel flame retardants from indoor dust in Antarctica: Sources and human exposure</t>
  </si>
  <si>
    <t>PBDEs; HBCDs; Novel FRs; DPs; Antarctic research facilities; Dust</t>
  </si>
  <si>
    <t>POLYBROMINATED DIPHENYL ETHERS; PERSISTENT ORGANIC POLLUTANTS; HEALTH-RISK ASSESSMENT; DECHLORANE PLUS; CONSUMER PRODUCTS; NEW-ZEALAND; HOUSE-DUST; PBDES; AIR; ENVIRONMENTS</t>
  </si>
  <si>
    <t>The air humidity in Antarctica is very low and this peculiar weather parameter make the use of flame retardants in research facilities highly needed for safety reasons, as fires are a major risk. Legacy and novel flame retardants (nFRs) including polybrominated diphenyl ethers (PBDEs), hexabromocyclododecanes (HBCDs), 1,2-bis(2,4,6tribromophenoxy) ethane (BTBPE), Dechlorane Plus (DP), and other nFRs were measured in indoor dust samples collected at research Stations in Antarctica: Gabriel de Castilla, Spain (GCS), Julio Escudero, Chile (JES), and onboard the RRS James Clark Ross, United Kingdom (RRS JCR). The GC-HRMS and LC-MS-MS analyses of dust samples revealed ?7PBDEs of 41.5 ? 43.8 ng/g in rooms at GCS, 18.7 ? 11.6 ng/g at JES, and 27.2 ? 37.9 ng/g onboard the RRS JCR. PBDE pattern was different between the sites and most abundant congeners were BDE-183 (40%) at GCS, BDE-99 (50%) at JES, and BDE-153 (37%) onboard the RRS JCR. The ?(4)HBCDs were 257 ? 407 ng/g, 14.9 ? 14.5 ng/g, and 761 ? 1043 ng/g in indoor dust collected in rooms at GCS, JES, and RRS JCR, respectively. The ?9nFRs were 224 ? 178 ng/g at GCS, 14.1 ? 13.8 ng/g at JES, and 194 ? 392 ng/g on the RRS JCR. Syn- and anti-DP were detected in most of the samples and both isomers showed the highest concentrations at GCS: 163 ? 93.6 and 48.5 ? 61.1 ng/g, respectively. The laboratory and living room showed the highest concentration of HBCDs, DPs, BTBPE. The wide variations in FR levels in dust from the three research facilities and between differently used rooms reflect the different origin of furnishing, building materials and equipment. The potential health risk associated to a daily exposure via dust ingestion was assessed for selected FRs: BDEs 47, 99, and 153, ?-, ?-, and ?-HBCD, BTBPE, syn- and anti-DP. Although the estimated exposures are below the available reference doses, caution is needed given the expected increasing use of novel chemicals without a comprehensive toxicological profile.</t>
  </si>
  <si>
    <t>[Corsolini, Simonetta; Metzdorff, America; Baroni, Davide; Bergami, Elisa] Univ Siena, Dept Phys Earth &amp; Environm Sci, Via P Mattioli 4, I-53100 Siena, Italy; [Roscales, Jose L.; Jimenez, Begona] Inst Organ Chem, Dept Instrumental Anal &amp; Environm Chem, IQOG, CSIC, Juan Cierva 3, Madrid 28006, Spain; [Cerro-Galvez, Elena; Dachs, Jordi] IDAEA, CSIC, Dept Environm Chem, Jordi Girona 18-26, Barcelona 08034, Catalunya, Spain; [Galban-Malagon, Cristobal] Univ Mayor, Ctr Gen Ecol &amp; Environm, Camino Piramide, Santiago 5750, Chile; [Galban-Malagon, Cristobal] Univ Andres Bello, Fac Ciencias Vida, Dept Ciencias Vida, Avda Republ 252, Santiago, Chile; [Audy, Ondrej; Kohoutek, Jiri; Pribylova, Petra; Pozo, Karla] Masaryk Univ, Fac Sci, Res Ctr Toxic Cpds Environm RECETOX, Kamenice 753-5, Brno 62500, Czech Republic; [Poblete-Morales, Matias; Avendano-Herrera, Ruben] Univ Andres Bello, Fac Ciencias Vida, Lab Patol Organismos Acuat &amp; Biotecnol Acuicola, Quillota 980, Vina Del Mar 2520000, Chile; [Kohoutek, Jiri; Avendano-Herrera, Ruben] Interdisciplinary Ctr Aquaculture Res INCAR, Vina Del Mar 2520000, Chile; [Poblete-Morales, Matias; Pozo, Karla] Univ San Sebastian, Fac Ingn &amp; Tecnol, Concepcion, Chile</t>
  </si>
  <si>
    <t>University of Siena; Consejo Superior de Investigaciones Cientificas (CSIC); CSIC - Instituto de Quimica Organica General (IQOG); Consejo Superior de Investigaciones Cientificas (CSIC); CSIC - Centro de Investigacion y Desarrollo Pascual Vila (CID-CSIC); CSIC - Instituto de Diagnostico Ambiental y Estudios del Agua (IDAEA); Universidad Mayor; Universidad Andres Bello; Masaryk University Brno; Universidad Andres Bello; Universidad San Sebastian</t>
  </si>
  <si>
    <t>Corsolini, S (corresponding author), Univ Siena, Dept Phys Earth &amp; Environm Sci, Via P Mattioli 4, I-53100 Siena, Italy.</t>
  </si>
  <si>
    <t>simonetta.corsolini@unisi.it</t>
  </si>
  <si>
    <t>Pozo, Karla/D-3822-2012; Corsolini, Simonetta/B-9460-2012; Jiménez, Begoña/C-6324-2012; Galbán-Malagón, Cristobal/B-2170-2017; Bergami, Elisa/JFJ-1703-2023; Galban Malagon, Cristobal/J-2384-2015; Roscales, Jose/H-6716-2015</t>
  </si>
  <si>
    <t>Corsolini, Simonetta/0000-0002-9772-2362; Jiménez, Begoña/0000-0002-2401-4648; Bergami, Elisa/0000-0001-8149-9584; Galban Malagon, Cristobal/0000-0001-8397-5804; Baroni, Davide/0000-0002-8852-927X; Dachs, Jordi/0000-0002-4237-169X; Pozo, Karla/0000-0001-7747-7518; Avendano-Herrera, Ruben/0000-0001-5368-4475; Poblete-Morales, Matias/0000-0001-9064-3285; Roscales, Jose/0000-0002-0446-6911</t>
  </si>
  <si>
    <t>Project SENTINEL [CTM2015-70535-P]; Projects ANID-FONDECYT [1130329, 1161673, 11150548]; Projects ANID-FONDAP [15110027, ANID-PIA-INACh-ACT192057]; Project INACH [RT_08_13]; British Antarctic Survey-Ecosystems Team; RECETOX research infrastructure (Czech Ministry of Education, Youth and Sports) [LM2018121]; RECETOX Research Infrastructure [CZ.02.1.01/0.0/0.0/16_013/0001761]; Horizon2020 [857560]; Czech Ministry of Education, Youth and Sports [02.1.01/0.0/0.0/18_046/0015975]; POLARCSIC; TERNUA</t>
  </si>
  <si>
    <t>Project SENTINEL; Projects ANID-FONDECYT; Projects ANID-FONDAP; Project INACH; British Antarctic Survey-Ecosystems Team; RECETOX research infrastructure (Czech Ministry of Education, Youth and Sports); RECETOX Research Infrastructure; Horizon2020; Czech Ministry of Education, Youth and Sports(Ministry of Education, Youth &amp; Sports - Czech Republic); POLARCSIC; TERNUA</t>
  </si>
  <si>
    <t>Project SENTINEL-CTM2015-70535-P.; Projects ANID-FONDECYT 1130329, 1161673, 11150548, Projects ANID-FONDAP 15110027, ANID-PIA-INACh-ACT192057,; Project INACH RT_08_13.; British Antarctic Survey-Ecosystems Team.; RECETOX research infrastructure (Czech Ministry of Education, Youth and Sports: LM2018121) and RECETOX Research Infrastructure (CZ.02.1.01/0.0/0.0/16_013/0001761).; Project CETOCOEN EXCELLENCE Teaming 2 supported by Horizon2020 (857560) Czech Ministry of Education, Youth and Sports no. 02.1.01/0.0/0.0/18_046/0015975.; POLARCSIC.; TERNUA.</t>
  </si>
  <si>
    <t>10.1016/j.envres.2020.110344</t>
  </si>
  <si>
    <t>SA9KE</t>
  </si>
  <si>
    <t>WOS:000649620900010</t>
  </si>
  <si>
    <t>Savvichev, A; Rusanov, I; Dvornikov, Y; Kadnikov, V; Kallistova, A; Veslopolova, E; Chetverova, A; Leibman, M; Sigalevich, PA; Pimenov, N; Ravin, N; Khomutov, A</t>
  </si>
  <si>
    <t>Savvichev, Alexander; Rusanov, Igor; Dvornikov, Yury; Kadnikov, Vitaly; Kallistova, Anna; Veslopolova, Elena; Chetverova, Antonina; Leibman, Marina; Sigalevich, Pavel A.; Pimenov, Nikolay; Ravin, Nikolai; Khomutov, Artem</t>
  </si>
  <si>
    <t>The water column of the Yamal tundra lakes as a microbial filter preventing methane emission</t>
  </si>
  <si>
    <t>GREENHOUSE-GAS EMISSIONS; BACTERIAL COMMUNITIES; ANAEROBIC OXIDATION; PERMAFROST THAW; NORTHERN LAKES; CARBON-DIOXIDE; SP NOV.; SOIL; DIVERSITY; SEDIMENTS</t>
  </si>
  <si>
    <t>Microbiological, molecular ecological, biogeochemical, and isotope geochemical research was carried out in four lakes of the central part of the Yamal Peninsula in the area of continuous permafrost. Two of them were large (73.6 and 118.6 ha) and deep (up to 10.6 and 12.3 m) mature lakes embedded into all geomorphological levels of the peninsula, and two others were smaller (3.2 and 4.2 ha) shallow (2.3 and 1.8 m) lakes which were formed as a result of thermokarst on constitutional (segregated) ground ice. Samples were collected in August 2019. The Yamal tundra lakes were found to exhibit high phytoplankton production (340-1200 mg C m(-2) d(-1)) during the short summer season. Allochthonous and autochthonous, particulate and dissolved organic matter was deposited onto the bottom sediments, where methane was the main product of anaerobic degradation, and its content was 33-990 mu mol CH4 dm(-3). The rates of hydrogenotrophic methanogenesis appeared to be higher in the sediments of deep lakes than in those of the shallow ones. In the sediments of all lakes, Methanoregula and Methanosaeta were predominant components of the archaeal methanogenic community. Methane oxidation (1.4-9.9 mu mol dm(-3) d(-1)) occurred in the upper sediment layers simultaneously with methanogenesis. Methylobacter tundripaludum (family Methylococcaceae) predominated in the methanotrophic community of the sediments and the water column. The activity of methanotrophic bacteria in deep mature lakes resulted in a decrease in the dissolved methane concentration in lake water from 0.8-4.1 to 0.4 mu mol CH4 L-1 d(-1), while in shallow thermokarst lakes the geochemical effect of methanotrophs was much less pronounced. Thus, only small, shallow Yamal lakes may contribute significantly to the overall diffusive methane emissions from the water surface during the warm summer season. The water column of large, deep lakes on Yamal acts, however, as a microbial filter preventing methane emission into the atmosphere. It can be assumed that climate warming will lead to an increase in the total area of thermokarst lakes, which will enhance the effect of methane release into the atmosphere.</t>
  </si>
  <si>
    <t>[Savvichev, Alexander; Rusanov, Igor; Kadnikov, Vitaly; Kallistova, Anna; Veslopolova, Elena; Sigalevich, Pavel A.; Pimenov, Nikolay; Ravin, Nikolai] Russian Acad Sci, Res Ctr Biotechnol, Winogradsky Inst Microbiol, Moscow 119071, Russia; [Savvichev, Alexander; Rusanov, Igor; Kadnikov, Vitaly; Kallistova, Anna; Veslopolova, Elena; Sigalevich, Pavel A.; Pimenov, Nikolay; Ravin, Nikolai] Russian Acad Sci, Res Ctr Biotechnol, Inst Bioengn, Moscow 119071, Russia; [Dvornikov, Yury] RUDN Univ, Agr &amp; Technol Inst, Dept Landscape Design &amp; Sustainable Ecosyst, Miklukho Maklaya Str 6, Moscow 117198, Russia; [Chetverova, Antonina] St Petersburg Univ, Inst Earth Sci, St Petersburg 199034, Russia; [Chetverova, Antonina] Arctic &amp; Antarctic Res Inst, Otto Schmidt Lab Polar &amp; Marine Res, St Petersburg 199397, Russia; [Leibman, Marina; Khomutov, Artem] Russian Acad Sci, Tyumen Sci Ctr, Siberian Branch, Earth Cryosphere Inst, Tyumen 625000, Russia</t>
  </si>
  <si>
    <t>Research Center of Biotechnology RAS; Russian Academy of Sciences; Research Center of Biotechnology RAS; Russian Academy of Sciences; Peoples Friendship University of Russia; Saint Petersburg State University; Arctic &amp; Antarctic Research Institute; Russian Academy of Sciences; Tyumen Scientific Center of the Russian Academy of Sciences</t>
  </si>
  <si>
    <t>Sigalevich, PA (corresponding author), Russian Acad Sci, Res Ctr Biotechnol, Winogradsky Inst Microbiol, Moscow 119071, Russia.;Sigalevich, PA (corresponding author), Russian Acad Sci, Res Ctr Biotechnol, Inst Bioengn, Moscow 119071, Russia.</t>
  </si>
  <si>
    <t>pavelsigalevich@list.ru</t>
  </si>
  <si>
    <t>Kallistova, Anna Yu/D-7810-2014; Rusanov, Igor/Q-5874-2018; Dvornikov, Yury/J-5087-2016; Khomutov, Artem V/M-6490-2017; Kadnikov, Vitaly/E-2359-2014; Cheterova, Antonina/N-1019-2013; Savvichev, Alexander/B-9245-2018; Leibman, Marina/V-6577-2017</t>
  </si>
  <si>
    <t>Dvornikov, Yury/0000-0003-3491-4487; Kadnikov, Vitaly/0000-0002-3022-9784; Kallistova, Anna/0000-0003-4088-4093; Cheterova, Antonina/0000-0001-7461-3617; Savvichev, Alexander/0000-0002-2459-2990; Leibman, Marina/0000-0003-4634-6413</t>
  </si>
  <si>
    <t>Russian Science Foundation [16-14-10201]; Russian Foundation for Basic Research [20-04-00487]; Ministry of Science and Higher Education of the Russian Federation; Russian Science Foundation [16-14-10201] Funding Source: Russian Science Foundation</t>
  </si>
  <si>
    <t>Russian Science Foundation(Russian Science Foundation (RSF)); Russian Foundation for Basic Research(Russian Foundation for Basic Research (RFBR)Spanish Government); Ministry of Science and Higher Education of the Russian Federation; Russian Science Foundation(Russian Science Foundation (RSF))</t>
  </si>
  <si>
    <t>Field research and publication of the article have been supported by the Russian Science Foundation (grant no. 16-14-10201). Field sampling was supported by the Russian Foundation for Basic Research (grant nos. 18-05-60222 and MK3751.2019.5). Radiotracer studies were supported by the Russian Foundation for Basic Research, project 20-04-00487. Investigation of the processes of the methane cycle and of the microbial community structure was supported by the Ministry of Science and Higher Education of the Russian Federation.</t>
  </si>
  <si>
    <t>10.5194/bg-18-2791-2021</t>
  </si>
  <si>
    <t>RZ3DK</t>
  </si>
  <si>
    <t>WOS:000648477600001</t>
  </si>
  <si>
    <t>Lédée, EJI; Heupel, MR; Taylor, MD; Harcourt, RG; Jaine, FRA; Huveneers, C; Udyawer, V; Campbell, HA; Babcock, RC; Hoenner, X; Barnett, A; Braccini, M; Brodie, S; Butcher, PA; Cadiou, G; Dwyer, RG; Espinoza, M; Ferreira, LC; Fetterplace, L; Fowler, A; Harborne, AR; Knott, NA; Lowry, M; McAllister, J; McAuley, R; Meekan, M; Mills, K; Peddemors, VM; Pillans, R; Semmens, J; Smoothey, AF; Speed, C; Stehfest, K; van der Meulen, D; Simpfendorfer, CA</t>
  </si>
  <si>
    <t>Ledee, Elodie J. I.; Heupel, Michelle R.; Taylor, Matthew D.; Harcourt, Robert G.; Jaine, Fabrice R. A.; Huveneers, Charlie; Udyawer, Vinay; Campbell, Hamish A.; Babcock, Russell C.; Hoenner, Xavier; Barnett, Adam; Braccini, Matias; Brodie, Stephanie; Butcher, Paul A.; Cadiou, Gwenael; Dwyer, Ross G.; Espinoza, Mario; Ferreira, Luciana C.; Fetterplace, Lachlan; Fowler, Anthony; Harborne, Alastair R.; Knott, Nathan A.; Lowry, Michael; McAllister, Jaime; McAuley, Rory; Meekan, Mark; Mills, Kade; Peddemors, Victor M.; Pillans, Richard; Semmens, Jayson; Smoothey, Amy F.; Speed, Conrad; Stehfest, Kilian; van der Meulen, Dylan; Simpfendorfer, Colin A.</t>
  </si>
  <si>
    <t>Continental-scale acoustic telemetry and network analysis reveal new insights into stock structure</t>
  </si>
  <si>
    <t>acoustic telemetry; fisheries management; individual removal analysis; large‐ scale movements; stock identification</t>
  </si>
  <si>
    <t>BLACKTIP REEF SHARKS; CARCHARHINUS-MELANOPTERUS; POPULATION-STRUCTURE; GENETIC-STRUCTURE; FISHERIES MANAGEMENT; MOVEMENT PATTERNS; TRACKING; CONNECTIVITY; BEHAVIOR; ECOLOGY</t>
  </si>
  <si>
    <t>Delineation of population structure (i.e. stocks) is crucial to successfully manage exploited species and to address conservation concerns for threatened species. Fish migration and associated movements are key mechanisms through which discrete populations mix and are thus important determinants of population structure. Detailed information on fish migration and movements is becoming more accessible through advances in telemetry and analysis methods however such information is not yet used systematically in stock structure assessment. Here, we described how detections of acoustically tagged fish across a continental-scale array of underwater acoustic receivers were used to assess stock structure and connectivity in seven teleost and seven shark species and compared to findings from genetic and conventional tagging. Network analysis revealed previously unknown population connections in some species, and in others bolstered support for existing stock discrimination by identifying nodes and routes important for connectivity. Species with less variability in their movements required smaller sample sizes (45-50 individuals) to reveal useful stock structure information. Our study shows the power of continental-scale acoustic telemetry networks to detect movements among fishery jurisdictions. We highlight methodological issues that need to be considered in the design of acoustic telemetry studies for investigating stock structure and the interpretation of the resulting data. The advent of broad-scale acoustic telemetry networks across the globe provides new avenues to understand how movement informs population structure and can lead to improved management.</t>
  </si>
  <si>
    <t>[Ledee, Elodie J. I.] Carleton Univ, Dept Biol, Fish Ecol &amp; Conservat Physiol Lab, Ottawa, ON, Canada; [Heupel, Michelle R.] Australian Inst Marine Sci, Townsville, Qld, Australia; [Taylor, Matthew D.; Cadiou, Gwenael; Knott, Nathan A.; Lowry, Michael] Port Stephens Fisheries Inst, New South Wales Dept Primary Ind, Taylors Beach, NSW, Australia; [Harcourt, Robert G.; Jaine, Fabrice R. A.] Sydney Inst Marine Sci, Integrated Marine Observing Syst IMOS Anim Tracki, Mosman, NSW, Australia; [Harcourt, Robert G.; Jaine, Fabrice R. A.] Macquarie Univ, Dept Biol Sci, N Ryde, NSW, Australia; [Huveneers, Charlie] Flinders Univ S Australia, Coll Sci &amp; Engn, Adelaide, SA, Australia; [Udyawer, Vinay] Australian Inst Marine Sci, Arafura Timor Res Facil, Darwin, NT, Australia; [Campbell, Hamish A.] Charles Darwin Univ, Res Inst Environm &amp; Livelihoods, Darwin, NT, Australia; [Babcock, Russell C.; Pillans, Richard] CSIRO Oceans &amp; Atmosphere, St Lucia, Qld, Australia; [Hoenner, Xavier] CSIRO Oceans &amp; Atmosphere, Hobart, Tas, Australia; [Hoenner, Xavier] Univ Tasmania, Australian Ocean Data Network, Integrated Marine Observing Syst, Hobart, Tas, Australia; [Barnett, Adam] James Cook Univ, Coll Sci &amp; Engn, Marine Data Technol Hub, Cairns, Qld, Australia; [Braccini, Matias] Dept Primary Ind &amp; Reg Dev Western Australia, North Beach, WA, Australia; [Brodie, Stephanie] Univ Calif Santa Cruz, Inst Marine Sci, Santa Cruz, CA 95064 USA; [Butcher, Paul A.] Natl Marine Sci Ctr, New South Wales Dept Primary Ind, Coffs Harbour, NSW, Australia; [Cadiou, Gwenael] Univ Technol Sydney, Sch Life Sci, Broadway, NSW, Australia; [Dwyer, Ross G.] Univ Sunshine Coast, Global Change Ecol Res Grp, Maroochydore, Qld, Australia; [Espinoza, Mario] Univ Costa Rica, Ctr Invest Ciencias Mar &amp; Limnol, San Jose, Costa Rica; [Espinoza, Mario] Univ Costa Rica, Escuela Biol, San Jose, Costa Rica; [Ferreira, Luciana C.] Univ Western Australia, Australian Inst Marine Sci, Indian Ocean Marine Res Ctr, Crawley, WA, Australia; [Fetterplace, Lachlan] Swedish Univ Agr Sci, Inst Coastal Res, Dept Aquat Resources, Oregrund, Sweden; [Fowler, Anthony] South Australian Res &amp; Dev Inst, Henley Beach, SA, Australia; [Harborne, Alastair R.] Florida Int Univ, Inst Environm, North Miami, FL USA; [Harborne, Alastair R.] Florida Int Univ, Dept Biol Sci, North Miami, FL USA; [Harborne, Alastair R.] Univ Queensland, Marine Spatial Ecol Lab, Sch Biol Sci, Brisbane, Qld, Australia; [Harborne, Alastair R.] Univ Queensland, Australian Res Council, Sch Biol Sci, Ctr Excellence Coral Reef Studies, Brisbane, Qld, Australia; [McAllister, Jaime; Semmens, Jayson] Univ Tasmania, Inst Marine &amp; Antarctic Studies, Fisheries &amp; Aquaculture Ctr, Hobart, Tas, Australia; [McAuley, Rory] Minderoo Fdn, Broadway Nedlands, WA, Australia; [Meekan, Mark; Speed, Conrad] Australian Inst Marine Sci, UWA IOMRC MO96, Crawley, WA, Australia; [Mills, Kade] Victorian Natl Pk Assoc, Carlton, Vic, Australia; [Peddemors, Victor M.; Smoothey, Amy F.] Sydney Inst Marine Sci, NSW Dept Primary Ind, Fisheries Res, Mosman, NSW, Australia; [Stehfest, Kilian] David Suzuki Fdn, Vancouver, BC, Canada; [van der Meulen, Dylan] Batemans Bay Fisheries Ctr, NSW Dept Primary Ind, Fisheries, Batemans Bay, Batemans Bay, NSW, Australia; [Simpfendorfer, Colin A.] James Cook Univ, Coll Sci &amp; Engn, Ctr Sustainable Trop Fisheries &amp; Aquaculture, Townsville, Qld, Australia</t>
  </si>
  <si>
    <t>Carleton University; Australian Institute of Marine Science; NSW Department of Primary Industries; Sydney Institute of Marine Science; Macquarie University; Flinders University South Australia; Australian Institute of Marine Science; Charles Darwin University; Commonwealth Scientific &amp; Industrial Research Organisation (CSIRO); Commonwealth Scientific &amp; Industrial Research Organisation (CSIRO); University of Tasmania; James Cook University; University of California System; University of California Santa Cruz; Southern Cross University; NSW Department of Primary Industries; University of Technology Sydney; University of the Sunshine Coast; Universidad Costa Rica; Universidad Costa Rica; Australian Institute of Marine Science; University of Western Australia; Swedish University of Agricultural Sciences; South Australian Research &amp; Development Institute (SARDI); State University System of Florida; Florida International University; State University System of Florida; Florida International University; University of Queensland; University of Queensland; University of Tasmania; Minderoo Foundation; Australian Institute of Marine Science; Sydney Institute of Marine Science; NSW Department of Primary Industries; NSW Department of Primary Industries; James Cook University</t>
  </si>
  <si>
    <t>Lédée, EJI (corresponding author), James Cook Univ, Coll Sci &amp; Engn, Ctr Sustainable Trop Fisheries &amp; Aquaculture, Townsville, Qld, Australia.</t>
  </si>
  <si>
    <t>elodie.ledee@my.jcu.edu.au</t>
  </si>
  <si>
    <t>Dwyer, Ross/IQR-5509-2023; Speed, Conrad W/F-2913-2015; Simpfendorfer, Colin A/G-9681-2011; Taylor, Matthew/HMP-1929-2023; Peddemors, Victor M/Q-4281-2016; Lédée, Elodie/X-1537-2019; Pillans, Richard D/F-2458-2012; Jaine, Fabrice/D-1622-2016; Knott, Nathan/AAA-8888-2019; Harborne, Alastair R/F-6155-2013; Babcock, Russell C/A-3794-2012; Butcher, Paul/T-4367-2019; Taylor, Matthew David/IRZ-9539-2023; Hoenner, Xavier/N-7422-2014; van der Meulen, Dylan/A-8449-2017; Fetterplace, Lachlan/F-3654-2016</t>
  </si>
  <si>
    <t>Speed, Conrad W/0000-0003-3186-8710; Lédée, Elodie/0000-0001-8495-7827; Jaine, Fabrice/0000-0002-9304-5034; Knott, Nathan/0000-0002-7873-0412; Butcher, Paul/0000-0001-7338-6037; Taylor, Matthew David/0000-0002-1519-9521; Harcourt, Robert/0000-0003-4666-2934; Hoenner, Xavier/0000-0001-5811-1166; van der Meulen, Dylan/0000-0002-9777-7670; Dwyer, Ross/0000-0003-1136-5489; Campbell, Hamish/0000-0003-1428-1686; Huveneers, Charlie/0000-0001-8937-1358; Fetterplace, Lachlan/0000-0002-5325-1108; Semmens, Jayson/0000-0003-1742-6692; Cerqueira Ferreira, Luciana/0000-0001-6755-2799; Brodie, Stephanie/0000-0003-0869-9939; Meekan, Mark/0000-0002-3067-9427; Udyawer, Vinay/0000-0001-5812-0740</t>
  </si>
  <si>
    <t>Fisheries Research and Development Corporation [2018-091]; Integrated Marine Observing System (IMOS)</t>
  </si>
  <si>
    <t>Fisheries Research and Development Corporation; Integrated Marine Observing System (IMOS)</t>
  </si>
  <si>
    <t>Funding for this meta-analysis was provided by the Fisheries Research and Development Corporation (Grant #2018-091) and the Integrated Marine Observing System (IMOS). Data was sourced from Australia's Integrated Marine Observing System (IMOS)-IMOS is enabled by the National Collaborative Research Infrastructure Strategy (NCRIS). It is operated by a consortium of institutions as an unincorporated joint venture, with the University of Tasmania as Lead Agent. We would like to thank P McDowall, J van den Broek and B Walker for technical assistance in maintaining the national IMOS receiver network. We also acknowledge contributions of all collaborators and their institutions to the contents of the national IMOS Animal Tracking Facility database. We would also like to thank the editor and David Jacoby and Frederick Whoriskey for their helpful comments on the manuscript.</t>
  </si>
  <si>
    <t>10.1111/faf.12565</t>
  </si>
  <si>
    <t>WOS:000647316700001</t>
  </si>
  <si>
    <t>Kezoudi, M; Tesche, M; Smith, H; Tsekeri, A; Baars, H; Dollner, M; Estellés, V; Bühl, J; Weinzierl, B; Ulanowski, Z; Müller, D; Amiridis, V</t>
  </si>
  <si>
    <t>Kezoudi, Maria; Tesche, Matthias; Smith, Helen; Tsekeri, Alexandra; Baars, Holger; Dollner, Maximilian; Estelles, Victor; Buehl, Johannes; Weinzierl, Bernadett; Ulanowski, Zbigniew; Mueller, Detlef; Amiridis, Vassilis</t>
  </si>
  <si>
    <t>Measurement report: Balloon-borne in situ profiling of Saharan dust over Cyprus with the UCASS optical particle counter</t>
  </si>
  <si>
    <t>LONG-RANGE TRANSPORT; NORTH-AFRICAN DUST; MINERAL DUST; SIZE DISTRIBUTION; AEROSOL TYPES; COARSE-MODE; AIRCRAFT; LIDAR; CAMPAIGN; AERONET</t>
  </si>
  <si>
    <t>This paper presents measurements of mineral dust concentration in the diameter range from 0.4 to 14.0 mu m with a novel balloon-borne optical particle counter, the Universal Cloud and Aerosol Sounding System (UCASS). The balloon launches were coordinated with ground-based active and passive remote-sensing observations and airborne in situ measurements with a research aircraft during a Saharan dust outbreak over Cyprus from 20 to 23 April 2017. The aerosol optical depth at 500 nm reached values up to 0.5 during that event over Cyprus, and particle number concentrations were as high as 50 cm 3 for the diameter range between 0.8 and 13.9 mu m. Comparisons of the total particle number concentration and the particle size distribution from two cases of balloon-borne measurements with aircraft observations show reasonable agreement in magnitude and shape despite slight mismatches in time and space. While column-integrated size distributions from balloon-borne measurements and groundbased remote sensing show similar coarse-mode peak concentrations and diameters, they illustrate the ambiguity related to the missing vertical information in passive sun photometer observations. Extinction coefficient inferred from the balloon-borne measurements agrees with those derived from coinciding Raman lidar observations at height levels with particle number concentrations smaller than 10 cm (-3) for the diameter range from 0.8 to 13.9 mu m. An overestimation of the UCASS-derived extinction coefficient of a factor of 2 compared to the lidar measurement was found for layers with particle number concentrations that exceed 25 cm(-3), i.e. in the centre of the dust plume where particle concentrations were highest. This is likely the result of a variation in the refractive index and the shape and size dependency of the extinction efficiency of dust particles along the UCASS measurements. In the future, profile measurements of the particle number concentration and particle size distribution with the UCASS could provide a valuable addition to the measurement capabilities generally used in field experiments that are focussed on the observation of coarse aerosols and clouds.</t>
  </si>
  <si>
    <t>[Kezoudi, Maria] Cyprus Inst, Climate &amp; Atmosphere Res Ctr CARE C, Nicosia, Cyprus; [Kezoudi, Maria; Tesche, Matthias; Smith, Helen; Ulanowski, Zbigniew; Mueller, Detlef] Univ Hertfordshire, Ctr Atmospher &amp; Climate Phys Res CACP, Hatfield, Herts, England; [Tsekeri, Alexandra; Amiridis, Vassilis] Natl Observ Athens, Athens, Greece; [Baars, Holger; Buehl, Johannes] Leibniz Inst Tropospher Res, Leipzig, Germany; [Dollner, Maximilian; Weinzierl, Bernadett] Univ Vienna, Fac Phys Aerosol Phys &amp; Environm Phys, Vienna, Austria; [Estelles, Victor] Univ Valencia, Earth Phys &amp; Thermodynam Dept, Valencia, Spain; [Estelles, Victor] ISAC CNR, Rome, Italy; [Ulanowski, Zbigniew] Univ Manchester, Sch Earth &amp; Environm Sci, Manchester, Lancs, England; [Ulanowski, Zbigniew] British Antarctic Survey, NERC, Cambridge, England; [Tesche, Matthias] Univ Leipzig, Leipzig Inst Meteorol LIM, Leipzig, Germany; [Smith, Helen] TruLife Opt Ltd, London, England</t>
  </si>
  <si>
    <t>University of Hertfordshire; National Observatory of Athens; Leibniz Institut fur Tropospharenforschung (TROPOS); University of Vienna; University of Valencia; Consiglio Nazionale delle Ricerche (CNR); Istituto di Scienze dell'Atmosfera e del Clima (ISAC-CNR); University of Manchester; UK Research &amp; Innovation (UKRI); Natural Environment Research Council (NERC); NERC British Antarctic Survey; Leipzig University</t>
  </si>
  <si>
    <t>Kezoudi, M (corresponding author), Cyprus Inst, Climate &amp; Atmosphere Res Ctr CARE C, Nicosia, Cyprus.;Kezoudi, M (corresponding author), Univ Hertfordshire, Ctr Atmospher &amp; Climate Phys Res CACP, Hatfield, Herts, England.</t>
  </si>
  <si>
    <t>m.kezoudi@cyi.ac.cy</t>
  </si>
  <si>
    <t>Tsekeri, Alexandra/L-5503-2013; Kezoudi, Maria/HDN-9958-2022; MUELLER, DETLEF/F-1010-2015; Tesche, Matthias/S-6848-2019; Estelles, Victor/I-4673-2014; Dollner, Maximilian/N-4630-2016; Amiridis, Vassilis/G-6769-2012; Baars, Holger/I-3308-2015; Weinzierl, Bernadett/G-5319-2012</t>
  </si>
  <si>
    <t>Tsekeri, Alexandra/0000-0002-3745-225X; MUELLER, DETLEF/0000-0002-0203-7654; Tesche, Matthias/0000-0003-0096-4785; Dollner, Maximilian/0000-0002-9196-4969; Baars, Holger/0000-0002-2316-8960; Ulanowski, Zbigniew/0000-0003-4761-6980; Kezoudi, Maria/0000-0001-8262-5079; Weinzierl, Bernadett/0000-0003-4555-5686</t>
  </si>
  <si>
    <t>Royal Society [RG160071]; European Research Council (A-LIFE) [640458]; European Union's Horizon 2020 research and innovation programme (ACTRIS-2) [654109]; Franco-German Fellowship Programme on Climate, Energy, and Earth System Research (Make Our Planet Great Again -German Research Initiative (MOPGAGRI)) [57429422]; Spanish Ministry of Economy and Competitiveness (MINECO); European Regional Development Fund (FEDER) [CGL2017-86966R]; European Research Council (ERC) [640458] Funding Source: European Research Council (ERC); NERC [bas0100032] Funding Source: UKRI</t>
  </si>
  <si>
    <t>Royal Society(Royal Society); European Research Council (A-LIFE)(European Research Council (ERC)); European Union's Horizon 2020 research and innovation programme (ACTRIS-2); Franco-German Fellowship Programme on Climate, Energy, and Earth System Research (Make Our Planet Great Again -German Research Initiative (MOPGAGRI)); Spanish Ministry of Economy and Competitiveness (MINECO)(Spanish Government); European Regional Development Fund (FEDER)(European Union (EU)); European Research Council (ERC)(European Research Council (ERC)Spanish Government); NERC(UK Research &amp; Innovation (UKRI)Natural Environment Research Council (NERC))</t>
  </si>
  <si>
    <t>This research has been supported by the Royal Society (Royal Society Research Grant RG160071), the European Research Council (A-LIFE (grant no. 640458)), the European Union's Horizon 2020 research and innovation programme (ACTRIS-2 (grant no. 654109)), the Franco-German Fellowship Programme on Climate, Energy, and Earth System Research (Make Our Planet Great Again -German Research Initiative (MOPGAGRI (grant no. 57429422)), and the Spanish Ministry of Economy and Competitiveness (MINECO), and the European Regional Development Fund (FEDER) for the ESR/SKYNET activities (CGL2017-86966R project).</t>
  </si>
  <si>
    <t>10.5194/acp-21-6781-2021</t>
  </si>
  <si>
    <t>RZ3DA</t>
  </si>
  <si>
    <t>WOS:000648476600003</t>
  </si>
  <si>
    <t>Thomas, M; Laube, JC; Kaiser, J; Allin, S; Martinerie, P; Mulvaney, R; Ridley, A; Röckmann, T; Sturges, WT; Witrant, E</t>
  </si>
  <si>
    <t>Thomas, Max; Laube, Johannes C.; Kaiser, Jan; Allin, Samuel; Martinerie, Patricia; Mulvaney, Robert; Ridley, Anna; Rockmann, Thomas; Sturges, William T.; Witrant, Emmanuel</t>
  </si>
  <si>
    <t>Stratospheric carbon isotope fractionation and tropospheric histories of CFC-11, CFC-12, and CFC-113 isotopologues</t>
  </si>
  <si>
    <t>We present novel measurements of the carbon isotope composition of CFC-11 (CCl3F), CFC-12 (CCl2F2), and CFC-113 (CF2ClCFCl2), three atmospheric trace gases that are important for both stratospheric ozone depletion and global warming. These measurements were carried out on air samples collected in the stratosphere - the main sink region for these gases - and on air extracted from deep polar firn snow. We quantify, for the first time, the apparent isotopic fractionation, epsilon(app)(C-13), for these gases as they are destroyed in the high- and mid-latitude stratosphere: epsilon(app)(CFC-12, high-latitude) = (-20.2 +/- 4.4) parts per thousand, and epsilon(app)(CFC-113, high-latitude) = (-9.4 +/- 4.4) parts per thousand, epsilon(app)(CFC-12, mid-latitude) = (30.3 +/- 10.7) parts per thousand, and epsilon(app)(CFC-113, mid-latitude) = (34.4 +/- 9.8) parts per thousand. Our CFC-11 measurements were not sufficient to calculate epsilon(app)(CFC-11), so we instead used previously reported photolytic fractionation for CFC-11 and CFC-12 to scale our epsilon(app)(CFC-12), resulting in epsilon(app)(CFC-11, high-latitude) = (-7.8 +/- 1.7) parts per thousand and epsilon(app)(CFC-11, mid-latitude) = (-11.7 +/- 4.2) parts per thousand. Measurements of firn air were used to construct histories of the tropospheric isotopic composition, delta(T)(C-13), for CFC-11 (1950s to 2009), CFC-12 (1950s to 2009), and CFC-113 (1970s to 2009), with delta(T)(C-13) increasing for each gas. We used epsilon(app)(high-latitude), which was derived from more data, and a constant isotopic composition of emissions, delta(E)(C-13), to model delta(T)(C-13, CFC-11), delta(T)(C-13, CFC-12), and delta(T)(C-13, CFC-113). For CFC-11 and CFC-12, modelled delta(T)(C-13) was consistent with measured delta(T)(C-13) for the entire period covered by the measurements, suggesting that no dramatic change in delta(E)(C-13, CFC-11) or delta(E)(C-13, CFC-12) has occurred since the 1950s. For CFC-113, our modelled delta(T)(C-13, CFC-113) did not agree with our measurements earlier than 1980. This discrepancy may be indicative of a change in delta(E)(C-13, CFC-113). However, this conclusion is based largely on a single sample and only just significant outside the 95% confidence interval. Therefore more work is needed to independently verify this temporal trend in the global tropospheric C-13 isotopic composition of CFC-113. Our modelling predicts increasing delta(T)(C-13, CFC-11), delta(T)(C-13, CFC-12), and delta(T)(C-13, CFC-113) into the future. We investigated the effect of recently reported new CFC-11 emissions on background delta(T)(C-13, CFC-11) by fixing model emissions after 2012 and comparing delta(T)(C-13, CFC-11) in this scenario to the model base case. The difference in delta(T)(C-13, CFC-11) between these scenarios was 1.4 parts per thousand in 2050. This difference is smaller than our model uncertainty envelope and would therefore require improved modelling and measurement precision as well as better quantified isotopic source compositions to detect.</t>
  </si>
  <si>
    <t>[Thomas, Max; Laube, Johannes C.; Kaiser, Jan; Allin, Samuel; Ridley, Anna; Sturges, William T.] Univ East Anglia, Ctr Ocean &amp; Atmospher Sci, Sch Environm Sci, Norwich, Norfolk, England; [Laube, Johannes C.] Forschungszentrum Julich, Inst Energy &amp; Climate Res Stratosphere IEK 7, Julich, Germany; [Martinerie, Patricia] Univ Grenoble Alpes, CNRS, IRD, Grenoble INP,IGE, F-38000 Grenoble, France; [Mulvaney, Robert] British Antarctic Survey, Cambridge, England; [Rockmann, Thomas] Univ Utrecht, Inst Marine &amp; Atmospher Res, Utrecht, Netherlands; [Witrant, Emmanuel] Univ Grenoble Alpes, Grenoble Image Parole Signal Automat GIPSA Lab, CNRS, Grenoble, France; [Thomas, Max] Univ Otago, Dept Phys, Dunedin, New Zealand</t>
  </si>
  <si>
    <t>University of East Anglia; Helmholtz Association; Research Center Julich; Communaute Universite Grenoble Alpes; Institut National Polytechnique de Grenoble; Universite Grenoble Alpes (UGA); Institut de Recherche pour le Developpement (IRD); Centre National de la Recherche Scientifique (CNRS); UK Research &amp; Innovation (UKRI); Natural Environment Research Council (NERC); NERC British Antarctic Survey; Utrecht University; Communaute Universite Grenoble Alpes; Institut National Polytechnique de Grenoble; Universite Grenoble Alpes (UGA); Centre National de la Recherche Scientifique (CNRS); University of Otago</t>
  </si>
  <si>
    <t>Laube, JC (corresponding author), Univ East Anglia, Ctr Ocean &amp; Atmospher Sci, Sch Environm Sci, Norwich, Norfolk, England.;Laube, JC (corresponding author), Forschungszentrum Julich, Inst Energy &amp; Climate Res Stratosphere IEK 7, Julich, Germany.</t>
  </si>
  <si>
    <t>j.laube@fz-juelich.de</t>
  </si>
  <si>
    <t>Kaiser, Jan/D-3327-2009; Laube, Johannes C/P-6772-2017; Rockmann, Thomas/F-4479-2015; Mulvaney, Robert/K-3929-2012</t>
  </si>
  <si>
    <t>Kaiser, Jan/0000-0002-1553-4043; Martinerie, Patricia/0000-0002-6820-2296; Rockmann, Thomas/0000-0002-6688-8968; Mulvaney, Robert/0000-0002-5372-8148; Thomas, Max/0000-0002-2327-3664</t>
  </si>
  <si>
    <t>European Research Council [678904]; Horizon 2020 (EUROCHAMP-2020) [730997]; Natural Environment Research Council [NE/I021918/1]; NERC [NE/I021918/1] Funding Source: UKRI; European Research Council (ERC) [678904] Funding Source: European Research Council (ERC)</t>
  </si>
  <si>
    <t>European Research Council(European Research Council (ERC)); Horizon 2020 (EUROCHAMP-2020); Natural Environment Research Council(UK Research &amp; Innovation (UKRI)Natural Environment Research Council (NERC)); NERC(UK Research &amp; Innovation (UKRI)Natural Environment Research Council (NERC)); European Research Council (ERC)(European Research Council (ERC)Spanish Government)</t>
  </si>
  <si>
    <t>This research has been supported by the European Research Council (EXC3ITE (grant no. 678904)), Horizon 2020 (EUROCHAMP-2020 (grant no. 730997)), and the Natural Environment Research Council (grant no. NE/I021918/1).</t>
  </si>
  <si>
    <t>10.5194/acp-21-6857-2021</t>
  </si>
  <si>
    <t>RZ3VR</t>
  </si>
  <si>
    <t>WOS:000648526000001</t>
  </si>
  <si>
    <t>Bongiovanni, C; Stewart, HA; Jamieson, AJ</t>
  </si>
  <si>
    <t>Bongiovanni, Cassandra; Stewart, Heather A.; Jamieson, Alan J.</t>
  </si>
  <si>
    <t>High-resolution multibeam sonar bathymetry of the deepest place in each ocean</t>
  </si>
  <si>
    <t>GEOSCIENCE DATA JOURNAL</t>
  </si>
  <si>
    <t>Arctic Ocean; Atlantic Ocean; Indian Ocean; Pacific Ocean; Southern Ocean</t>
  </si>
  <si>
    <t>CHALLENGER DEEP; TRENCHES; MODEL</t>
  </si>
  <si>
    <t>Over the course of 10 months, the global Five Deeps Expedition (2018-2019) mapped similar to 550,000 km(2) of seafloor of which 61% comprised new coverage over areas never before surveyed and similar to 30% was acquired from some of the ocean's deepest trenches and fracture zones. The deepest points of each ocean were mapped using a latest-generation, full-ocean depth Kongsberg EM 124 multibeam echosounder. These extreme depths were corrected using Conductivity, Temperature and Depth (CTD) data from sea surface to full ocean depth. The deepest place in each ocean were identified as the Brownson Deep, Puerto Rico Trench in the Atlantic Ocean (8,378 +/- 5 m), an unnamed deep within the South Sandwich Trench in the Southern Ocean (7,432 +/- 13 m), an unnamed deep within the Java Trench in the Indian Ocean (7,187 +/- 13 m), Challenger Deep within the Mariana Trench in the Pacific Ocean (10,924 +/- 15 m), and the Molloy Hole in the Arctic Ocean (5,551 +/- 14 m). As part of the overarching mission of the Five Deeps Expedition, and to clarify beyond doubt the deepest point in the Indian, Pacific and Southern oceans, other sites were visited that had been postulated as potential deepest locations. This study has confirmed that the Horizon Deep within the Tonga Trench is the second deepest point in the Pacific Ocean (10,816 +/- 16 m), the Dordrecht Deep within the Diamantina Fracture Zone is not the deepest point in the Indian Ocean (7,019 +/- 17 m) and that in accordance with the guidelines of the Antarctic Treaty and International Hydrographic Organisation, although the Meteor Deep is the deepest point in the South Sandwich Trench (8,265 +/- 13 m) it is located within the waters of the Atlantic Ocean and not the Southern Ocean.</t>
  </si>
  <si>
    <t>[Bongiovanni, Cassandra] Caladan Ocean LLC, 5909 Luther Lane, Dallas, TX 75225 USA; [Stewart, Heather A.] Lyell Ctr, British Geol Survey, Edinburgh, Midlothian, Scotland; [Jamieson, Alan J.] Newcastle Univ, Sch Nat &amp; Environm Sci, Newcastle Upon Tyne, Tyne &amp; Wear, England</t>
  </si>
  <si>
    <t>UK Research &amp; Innovation (UKRI); Natural Environment Research Council (NERC); NERC British Geological Survey; Newcastle University - UK</t>
  </si>
  <si>
    <t>Bongiovanni, C (corresponding author), Caladan Ocean LLC, 5909 Luther Lane, Dallas, TX 75225 USA.</t>
  </si>
  <si>
    <t>cassie.bongiovanni@gmail.com</t>
  </si>
  <si>
    <t>Bongiovanni, Cassandra/0000-0003-4263-1954; Stewart, Heather Ann/0000-0002-5590-6972; Jamieson, Alan/0000-0001-9835-2909</t>
  </si>
  <si>
    <t>Government of the United Kingdom [DPLUS093]; British Geological Survey; NERC [bgs06003] Funding Source: UKRI</t>
  </si>
  <si>
    <t>Government of the United Kingdom; British Geological Survey; NERC(UK Research &amp; Innovation (UKRI)Natural Environment Research Council (NERC))</t>
  </si>
  <si>
    <t>Government of the United Kingdom, Grant/Award Number: DPLUS093; British Geological Survey</t>
  </si>
  <si>
    <t>2049-6060</t>
  </si>
  <si>
    <t>GEOSCI DATA J</t>
  </si>
  <si>
    <t>Geosci. Data J.</t>
  </si>
  <si>
    <t>10.1002/gdj3.122</t>
  </si>
  <si>
    <t>2L9EL</t>
  </si>
  <si>
    <t>WOS:000647017400001</t>
  </si>
  <si>
    <t>Esmaeili, N; Carter, CG; Wilson, R; Walker, SP; Miller, MR; Bridle, A; Symonds, JE</t>
  </si>
  <si>
    <t>Esmaeili, Noah; Carter, Chris G.; Wilson, Richard; Walker, Seumas P.; Miller, Matthew R.; Bridle, Andrew; Symonds, Jane E.</t>
  </si>
  <si>
    <t>Proteomic investigation of liver and white muscle in efficient and inefficient Chinook salmon (Oncorhynchus tshawytscha): Fatty acid metabolism and protein turnover drive feed efficiency</t>
  </si>
  <si>
    <t>Chinook salmon; Efficient fish; Feed efficiency; Growth performance; Proteomics</t>
  </si>
  <si>
    <t>ENDOPLASMIC-RETICULUM STRESS; BRAIN SEROTONERGIC ACTIVITY; RAINBOW-TROUT; GENE-EXPRESSION; RNA-SEQ; CONVERSION EFFICIENCY; INDIVIDUAL VARIATION; GROWTH EFFICIENCY; LIPID DEPOSITION; PIGS DIVERGENT</t>
  </si>
  <si>
    <t>Feed efficiency, the relative ability to convert feed nutrients into growth, is an important factor in the primary production of animals. Farming fish with improved feed efficiency is necessary to reduce production costs and achieve sustainability for the aquaculture industry. Proteomics provides an approach to discover biochemical mechanisms driving feed efficiency. To do this, we have evaluated the proteomic profile of liver and white muscle in efficient (EFF) and inefficient (INEFF) Chinook salmon (Oncorhynchus tshawytscha). Twenty-six fish, 14 EFF and 12 INEFF individuals, were assessed using liquid chromatography-tandem mass spectrometry (LC-MS/ MS) and a data-independent acquisition method. In total, 2433 liver and 635 white muscle proteins were quantified across all samples. Bioinformatics showed enrichment of gene ontology (GO) terms related to lipid metabolism in liver of EFF fish (-30% of total GO terms). Protein metabolism (-30% of total GO terms) were the top enriched pathways in white muscle of EFF fish. In INEFF fish, protein processing in endoplasmic reticulum and proteolysis (-40% of total GO terms) were the highest enriched GO terms in the liver. This is the first study to compare feed efficient and inefficient individuals at the proteomic level in an aquatic species and the results provide a preliminary insight into the fundamental molecular landscape of feed efficiency in Chinook salmon.</t>
  </si>
  <si>
    <t>[Esmaeili, Noah; Carter, Chris G.; Miller, Matthew R.; Bridle, Andrew; Symonds, Jane E.] Univ Tasmania, Inst Marine &amp; Antarctic Studies, Private Bag 49, Hobart, Tas, Australia; [Wilson, Richard] Univ Tasmania, Res Div, Cent Sci Lab, Hobart, Tas 7001, Australia; [Walker, Seumas P.; Miller, Matthew R.; Symonds, Jane E.] Cawthron Inst, Nelson 7010, New Zealand</t>
  </si>
  <si>
    <t>University of Tasmania; University of Tasmania; Cawthron Institute</t>
  </si>
  <si>
    <t>Esmaeili, N (corresponding author), Univ Tasmania, Inst Marine &amp; Antarctic Studies, Private Bag 49, Hobart, Tas, Australia.</t>
  </si>
  <si>
    <t>noah.esmaeili@utas.edu.au</t>
  </si>
  <si>
    <t>Carter, Chris Guy/A-3438-2008; Wilson, Richard R/H-8429-2012; Bridle, Andrew R/B-4117-2013; Esmaeili, Noah/Q-4536-2019; Miller, Matthew Robert/D-5982-2011</t>
  </si>
  <si>
    <t>Carter, Chris Guy/0000-0001-5210-1282; Esmaeili, Noah/0000-0001-8704-939X; Miller, Matthew Robert/0000-0002-5402-7466; Bridle, Andrew/0000-0002-5788-1297</t>
  </si>
  <si>
    <t>Ministry of Business, Innovation and Employment (MBIE) [CAWX1606]; Cawthron Institute; Tasmania Graduate Research Scholarship; University of Tasmania; New Zealand Ministry of Business, Innovation &amp; Employment (MBIE) [CAWX1606] Funding Source: New Zealand Ministry of Business, Innovation &amp; Employment (MBIE)</t>
  </si>
  <si>
    <t>Ministry of Business, Innovation and Employment (MBIE)(New Zealand Ministry of Business, Innovation and Employment (MBIE)); Cawthron Institute; Tasmania Graduate Research Scholarship; University of Tasmania; New Zealand Ministry of Business, Innovation &amp; Employment (MBIE)(New Zealand Ministry of Business, Innovation and Employment (MBIE))</t>
  </si>
  <si>
    <t>This work was funded by Ministry of Business, Innovation and Employment (MBIE) endeavour fund Feedefficient salmon for the future (CAWX1606) , Cawthron Institute and Tasmania Graduate Research Scholarship and RTP Stipend Scholarship to Moha Esmaeili from the University of Tasmania. We appreciate the hard work of staff in the Cawthron Institute's Finfish Research Centre. We wish to thank CSL and IMAS, University of Tasmania for facilitating analyses. We would like to express our gratitude to all the scientists, technicians, and industry partners who contributed to this project. Many thanks to Peyman Dolati for assisting with laboratory work.</t>
  </si>
  <si>
    <t>10.1016/j.aquaculture.2021.736855</t>
  </si>
  <si>
    <t>SP0LN</t>
  </si>
  <si>
    <t>WOS:000659364800012</t>
  </si>
  <si>
    <t>Francis, D; Mattingly, KS; Lhermitte, S; Temimi, M; Heil, P</t>
  </si>
  <si>
    <t>Francis, Diana; Mattingly, Kyle S.; Lhermitte, Stef; Temimi, Marouane; Heil, Petra</t>
  </si>
  <si>
    <t>Atmospheric extremes caused high oceanward sea surface slope triggering the biggest calving event in more than 50 years at the Amery Ice Shelf</t>
  </si>
  <si>
    <t>TWIN TROPICAL CYCLONES; SOUTHERN-HEMISPHERE; GLOBAL CLIMATOLOGY; FLEXURAL WAVES; MCMURDO-SOUND; VARIABILITY; GLACIER; TRENDS; CYCLOGENESIS; ANTARCTICA</t>
  </si>
  <si>
    <t>Ice shelf instability is one of the main sources of uncertainty in Antarctica's contribution to future sea level rise. Calving events play a crucial role in ice shelf weakening but remain unpredictable, and their governing processes are still poorly understood. In this study, we analyze the unexpected September 2019 calving event from the Amery Ice Shelf, the largest since 1963 and which occurred almost a decade earlier than expected, to better understand the role of the atmosphere in calving. We find that atmospheric extremes provided a deterministic role in this event. A series of anomalously deep and stationary explosive twin polar cyclones over the Cooperation and Davis seas generated tides and wind-driven ocean slope, leading to fracture amplification along the pre-existing rift and ultimately calving of the massive iceberg. The calving was triggered by high oceanward sea surface slopes produced by the storms. The observed record-anomalous atmospheric conditions were promoted by blocking ridges and Antarctic-wide anomalous poleward transport of heat and moisture. Blocking highs helped in (i) directing moist and warm air masses towards the ice shelf and (ii) maintaining the observed extreme cyclones stationary at the front of the ice shelf for several days. Accumulation of cold air over the ice sheet, due to the blocking highs, led to the formation of an intense cold high pressure over the ice sheet, which helped fuel sustained anomalously deep cyclones via increased baroclinicity. Our results stress the importance of atmospheric extremes in ice shelf dynamics via tides and sea surface slope and its need to be accounted for when considering Antarctic ice shelf variability and contribution to sea level, especially given that more of these extremes are predicted under a warmer climate.</t>
  </si>
  <si>
    <t>[Francis, Diana] Khalifa Univ, Environm &amp; Geophys Sci ENGEOS Lab, POB 127788, Abu Dhabi, U Arab Emirates; [Mattingly, Kyle S.] Rutgers State Univ, Inst Earth Ocean &amp; Atmospher Sci, New Brunswick, NJ 08901 USA; [Lhermitte, Stef] Delft Univ Technol, Dept Geosci &amp; Remote Sensing, Mekelweg 5, NL-2628 CD Delft, Netherlands; [Temimi, Marouane] Stevens Inst Technol, Dept Civil Environm &amp; Ocean Engn CEOE, Hoboken, NJ 07030 USA; [Heil, Petra] Univ Tasmania, Inst Marine &amp; Antarctic Studies IMAS, Hobart, Tas 7001, Australia</t>
  </si>
  <si>
    <t>Khalifa University of Science &amp; Technology; Rutgers University System; Rutgers University New Brunswick; Delft University of Technology; Stevens Institute of Technology; University of Tasmania</t>
  </si>
  <si>
    <t>Francis, D (corresponding author), Khalifa Univ, Environm &amp; Geophys Sci ENGEOS Lab, POB 127788, Abu Dhabi, U Arab Emirates.</t>
  </si>
  <si>
    <t>diana.francis@ku.ac.ae</t>
  </si>
  <si>
    <t>Mattingly, Kyle/HMP-7305-2023; Lhermitte, Stef (Stefaan)/A-3385-2013; Temimi, Marouane/HRD-9058-2023; FRANCIS, Diana/N-3729-2018</t>
  </si>
  <si>
    <t>Lhermitte, Stef (Stefaan)/0000-0002-1622-0177; Temimi, Marouane/0000-0003-0006-2685; Mattingly, Kyle/0000-0002-7384-0903; Heil, Petra/0000-0003-2078-0342; FRANCIS, Diana/0000-0002-7587-0006</t>
  </si>
  <si>
    <t>Masdar, Abu Dhabi Future Energy Company, United Arab Emirates [8434000221]; Australian government's Australian Antarctic Partnership Program [4506]</t>
  </si>
  <si>
    <t>Masdar, Abu Dhabi Future Energy Company, United Arab Emirates; Australian government's Australian Antarctic Partnership Program</t>
  </si>
  <si>
    <t>This research has been supported by Masdar, Abu Dhabi Future Energy Company, United Arab Emirates (grant no. 8434000221). The contribution of Petra Heil was supported by the Australian government's Australian Antarctic Partnership Program and contributes to AAS project 4506.</t>
  </si>
  <si>
    <t>10.5194/tc-15-2147-2021</t>
  </si>
  <si>
    <t>RZ3GQ</t>
  </si>
  <si>
    <t>WOS:000648486100001</t>
  </si>
  <si>
    <t>Stukel, MR; Décima, M; Selph, KE; Gutiérrez-Rodríguez, A</t>
  </si>
  <si>
    <t>Stukel, Michael R.; Decima, Moira; Selph, Karen E.; Gutierrez-Rodriguez, Andres</t>
  </si>
  <si>
    <t>Size-specific grazing and competitive interactions between large salps and protistan grazers</t>
  </si>
  <si>
    <t>ANTARCTIC POLAR FRONT; SOUTHERN-OCEAN; EUPHAUSIA-SUPERBA; FECAL PELLETS; GELATINOUS-ZOOPLANKTON; AUSTRAL SUMMER; DAILY RATION; GROWTH; KRILL; MICROZOOPLANKTON</t>
  </si>
  <si>
    <t>We investigated competition between Salpa thompsoni and protistan grazers during Lagrangian experiments near the Subtropical Front in the southwest Pacific sector of the Southern Ocean. Over a month, the salp community shifted from dominance by large (&gt; 100 mm) oozooids and small (&lt; 20 mm) blastozooids to large (similar to 60 mm) blastozooids. Phytoplankton biomass was consistently dominated by nano- and microphytoplankton (&gt; 2 mu m cells). Using bead-calibrated flow-cytometry light scatter to estimate phytoplankton size, we quantified size-specific salp and protistan zooplankton grazing pressure. Salps were able to feed at a &gt; 10,000 : 1 predator : prey size (linear-dimension) ratio. Small blastozooids efficiently retained cells &gt; 1.4 mu m ( high end of picoplankton size, 0.6-2 mu m cells) and also obtained substantial nutrition from smaller bacteriasized cells. Larger salps could only feed efficiently on &gt; 5.9 mu m cells and were largely incapable of feeding on picoplankton. Due to the high biomass of nano- and microphytoplankton, however, all salps derived most of their (phytoplankton-based) nutrition from these larger autotrophs. Phagotrophic protists were the dominant competitors for these prey items and consumed approximately 50% of the biomass of all phytoplankton size classes each day. Using a Bayesian statistical framework, we developed an allometricscaling equation for salp clearance rates as a function of salp and prey size: Clearance(ESD) = phi . TL psi xmin (ESD/theta x TL)(2)/0.16 + (ESD/theta x TL'),1) xQ(10) (T - 12 degrees C)/10 where ESD is prey equivalent spherical diameter (mu m), TL is S. thompsoni total length, phi = 5.6 x 10(-3) - 3.6 x 10(-4), psi = 2.1 - 0.13, theta = 0.58 - 0.08, and gamma = 0.46 - 0.03 and clearance rate is L d(-1) salp(-1). We discuss the biogeochemical and food-web implications of competitive interactions among salps, krill, and protozoans.</t>
  </si>
  <si>
    <t>[Stukel, Michael R.] Florida State Univ, Dept Earth Ocean &amp; Atmospher Sci, Tallahassee, FL 32306 USA; [Stukel, Michael R.] Florida State Univ, Ctr Ocean Atmospher Predict Studies, Tallahassee, FL 32306 USA; [Decima, Moira; Gutierrez-Rodriguez, Andres] Natl Inst Water &amp; Atmospher Res NIWA, Wellington, New Zealand; [Decima, Moira] Univ Calif San Diego, Scripps Inst Oceanog, San Diego, CA USA; [Selph, Karen E.] Univ Hawaii Manoa, Dept Oceanog, Honolulu, HI 96822 USA</t>
  </si>
  <si>
    <t>State University System of Florida; Florida State University; State University System of Florida; Florida State University; National Institute of Water &amp; Atmospheric Research (NIWA) - New Zealand; University of California System; University of California San Diego; Scripps Institution of Oceanography; University of Hawaii System; University of Hawaii Manoa</t>
  </si>
  <si>
    <t>Stukel, MR (corresponding author), Florida State Univ, Dept Earth Ocean &amp; Atmospher Sci, Tallahassee, FL 32306 USA.;Stukel, MR (corresponding author), Florida State Univ, Ctr Ocean Atmospher Predict Studies, Tallahassee, FL 32306 USA.</t>
  </si>
  <si>
    <t>mstukel@fsu.edu</t>
  </si>
  <si>
    <t>Gutierrez Rodriguez, Andres/JLM-2332-2023; Stukel, Michael R/F-9029-2013</t>
  </si>
  <si>
    <t>Gutierrez Rodriguez, Andres/0000-0003-1274-3752; Selph, Karen/0000-0001-7281-4706</t>
  </si>
  <si>
    <t>U.S. National Science Foundation [OCE1756610, 1756465]; Ministry for Business, Innovation and Employment (MBIE) of New Zealand; NIWA core program Coast and Oceans Food Webs (COES); NIWA core program Coast and Oceans Ocean Flows (COOF); Royal Society of New Zealand Marsden Fast-track award; Directorate For Geosciences [1756465] Funding Source: National Science Foundation; Division Of Ocean Sciences [1756465] Funding Source: National Science Foundation</t>
  </si>
  <si>
    <t>U.S. National Science Foundation(National Science Foundation (NSF)); Ministry for Business, Innovation and Employment (MBIE) of New Zealand(New Zealand Ministry of Business, Innovation and Employment (MBIE)); NIWA core program Coast and Oceans Food Webs (COES); NIWA core program Coast and Oceans Ocean Flows (COOF); Royal Society of New Zealand Marsden Fast-track award(Royal Society of New Zealand); Directorate For Geosciences(National Science Foundation (NSF)NSF - Directorate for Geosciences (GEO)); Division Of Ocean Sciences(National Science Foundation (NSF)NSF - Directorate for Geosciences (GEO))</t>
  </si>
  <si>
    <t>We would like to thank our many collaborators in the SalpPOOP project, especially Scott Nodder, Sadie Mills, Christian Fender, Florian Luskow, Morgan Meyers, Sarah Searson, Siobhan O'Connor, Karl Safi, Adriana Lopes dos Santos, Fenella Deans, and Natalia Yingling. This research was funded by U.S. National Science Foundation awards OCE1756610 and 1756465 to M.R.S. and K.E.S., by the Ministry for Business, Innovation and Employment (MBIE) of New Zealand, by NIWA core programs Coast and Oceans Food Webs (COES), Ocean Flows (COOF), and by the Royal Society of New Zealand Marsden Fast-track award to M.D. Data included in this study can be found on the Biological and Chemical Oceanography Data Management Office website (https://www.bco-dmo.org/project/754878).</t>
  </si>
  <si>
    <t>10.1002/lno.11770</t>
  </si>
  <si>
    <t>WOS:000646991800001</t>
  </si>
  <si>
    <t>Finger, JVG; Corá, DH; Petry, MV; Krüger, L</t>
  </si>
  <si>
    <t>Grohmann Finger, Julia Victoria; Cora, Denyelle Hennayra; Petry, Maria Virginia; Kruger, Lucas</t>
  </si>
  <si>
    <t>Cannibalism in southern giant petrels (Macronectes giganteus) at Nelson Island, Maritime Antarctic Peninsula</t>
  </si>
  <si>
    <t>Predation; Heterocannibalism; Feeding behavior; Seabirds; South Shetland Islands</t>
  </si>
  <si>
    <t>ENERGY-EXPENDITURE; HEART-RATE; DIET</t>
  </si>
  <si>
    <t>Southern giant petrels (Macronectes giganteus) are a scavenger and predatory species with highly opportunistic feeding habits. Although cannibalism is a likely behavior for a predatory and colonial species, there are no confirmed records of this behavior for giant petrels. In this study, we describe two cases of cannibalism in a population of southern giant petrels breeding at Harmony Point (62 degrees 18 ' S; 59 degrees 10 ' W), Nelson Island. In both cases, a male giant petrel preyed upon a nestling. Our records confirm that heterocannibalism is part of the behavior repertoire of male southern giant petrels.</t>
  </si>
  <si>
    <t>[Grohmann Finger, Julia Victoria; Cora, Denyelle Hennayra; Petry, Maria Virginia] Univ Vale do Rio dos Sinos, Lab Ornitol &amp; Anim Marinhos, Ave Unisinos 950, Sao Leopoldo, Brazil; [Cora, Denyelle Hennayra] Univ Comunitaria Regiao Chapeco, Curso Ciencias Biol, 295-D, Chapeco, SC, Brazil; [Kruger, Lucas] Inst Antartico Chileno, Dept Cient, Plaza Munoz Gamero 1055, Punta Arenas, Chile</t>
  </si>
  <si>
    <t>Universidade do Vale do Rio dos Sinos (Unisinos); Universidade Comunitaria Regional de Chapeco</t>
  </si>
  <si>
    <t>Finger, JVG (corresponding author), Univ Vale do Rio dos Sinos, Lab Ornitol &amp; Anim Marinhos, Ave Unisinos 950, Sao Leopoldo, Brazil.</t>
  </si>
  <si>
    <t>victoriafinger@hotmail.com</t>
  </si>
  <si>
    <t>Petry, Maria Virginia/AAG-5333-2021; Grohmann Finger, Júlia Victória/AAP-4653-2020; petry, maria/K-8410-2013; Kruger, Lucas/O-8912-2015</t>
  </si>
  <si>
    <t>Grohmann Finger, Júlia Victória/0000-0002-0773-7502; petry, maria/0000-0002-7870-7394; Cora, Denyelle Hennayra/0000-0002-3175-6447; Kruger, Lucas/0000-0003-4637-5302</t>
  </si>
  <si>
    <t>Fondecyt (Fondecyt Iniciacion) [11180175]; Marine Protected Areas Program of the Instituto Antartico Chileno (INACH); Coordenacao de Aperfeicoamento de Pessoal de Nivel Superior (CAPES) [001]</t>
  </si>
  <si>
    <t>Fondecyt (Fondecyt Iniciacion); Marine Protected Areas Program of the Instituto Antartico Chileno (INACH); Coordenacao de Aperfeicoamento de Pessoal de Nivel Superior (CAPES)(Coordenacao de Aperfeicoamento de Pessoal de Nivel Superior (CAPES))</t>
  </si>
  <si>
    <t>This study was funded in part by Fondecyt (Fondecyt Iniciacion 11180175) and supported by the Marine Protected Areas Program of the Instituto Antartico Chileno (INACH). It was also partially financed by Coordenacao de Aperfeicoamento de Pessoal de Nivel Superior (CAPES) through a PhD scholarship to Julia V. G. Finger (Finance Code 001).</t>
  </si>
  <si>
    <t>10.1007/s00300-021-02859-8</t>
  </si>
  <si>
    <t>WOS:000647495300002</t>
  </si>
  <si>
    <t>Cantero, ALP</t>
  </si>
  <si>
    <t>Pena Cantero, Alvaro L.</t>
  </si>
  <si>
    <t>Additions to knowledge of the biodiversity of benthic hydroids (Cnidaria: Hydrozoa) in the Balleny Islands (Antarctica)</t>
  </si>
  <si>
    <t>Hydrozoans; species richness; new records; Southern Ocean</t>
  </si>
  <si>
    <t>GENUS SCHIZOTRICHA ALLMAN; STAUROTHECA ALLMAN; OSWALDELLA STECHOW; EXPEDITIONS; POLARSTERN; OCEAN</t>
  </si>
  <si>
    <t>The Balleny Islands, an isolated archipelago located 240 km off the coast of Victoria Land (East Antarctica), are separated from the Antarctic continental shelf by waters more than 2000 m deep. The benthic hydroid fauna of these islands is little known, with only 25 species reported so far. The present study contributes to a better knowledge of the benthic hydrozoans inhabiting this archipelago by studying a small collection held at the National Institute of Water and Atmospheric Research Invertebrate Collection at Wellington, New Zealand. Sixteen species of benthic hydroids were found in the collection, belonging to nine families and 12 genera of Leptothecata. Kirchenpaueriidae and Oswaldella, with three species each, are the most speciose family and genus. Ten species represent new records for the region. The total number of benthic hydroid species known from the islands is raised to 34.</t>
  </si>
  <si>
    <t>[Pena Cantero, Alvaro L.] Univ Valencia, Inst Cavanilles Biodiversidad &amp; Biol Evolut, Dept Zool, Apdo Correos 22085, Valencia 46071, Spain</t>
  </si>
  <si>
    <t>University of Valencia</t>
  </si>
  <si>
    <t>Cantero, ALP (corresponding author), Univ Valencia, Inst Cavanilles Biodiversidad &amp; Biol Evolut, Dept Zool, Apdo Correos 22085, Valencia 46071, Spain.</t>
  </si>
  <si>
    <t>alvaro.l.pena@uv.es</t>
  </si>
  <si>
    <t>Pena Cantero, Alvaro/0000-0003-3056-6673</t>
  </si>
  <si>
    <t>New Zealand Ministry of Fisheries</t>
  </si>
  <si>
    <t>I thank Sadie Mills, National Institute of Water &amp; Atmospheric Research (NIWA), for giving me the opportunity to study the material. I also thank Diana Macpherson, from the same institution, for her help with different aspects related to the collection. Likewise, I am grateful to Dr. Fran Ramil and Dr. Dale Calder for reviewing the submitted manuscript. Specimens from voyage TAN0602 were collected as part of the project `Antarctic Geophysical &amp; Scientific Studies' funded by the New Zealand Ministry of Fisheries.</t>
  </si>
  <si>
    <t>MAY 4</t>
  </si>
  <si>
    <t>10.11646/zootaxa.4966.3.4</t>
  </si>
  <si>
    <t>US0EW</t>
  </si>
  <si>
    <t>WOS:000697111700002</t>
  </si>
  <si>
    <t>Wootton, HF; Audzijonyte, A; Morrongiello, J</t>
  </si>
  <si>
    <t>Wootton, Henry F.; Audzijonyte, Asta; Morrongiello, John</t>
  </si>
  <si>
    <t>Multigenerational exposure to warming and fishing causes recruitment collapse, but size diversity and periodic cooling can aid recovery</t>
  </si>
  <si>
    <t>climate change; fishing; evolution; reproduction; recruitment</t>
  </si>
  <si>
    <t>CLIMATE-CHANGE; MARINE FISH; TEMPERATURE; POPULATIONS; REPRODUCTION; FISHERIES; SURVIVAL; VULNERABILITY; INDIVIDUALS; SELECTION</t>
  </si>
  <si>
    <t>Global warming and fisheries harvest are significantly impacting wild fish stocks, yet their interactive influence on population resilience to stress remains unclear. We explored these interactive effects on early-life development and survival by experimentally manipulating the thermal and harvest regimes in 18 zebrafish (Danio rerio) populations over six consecutive generations. Warming advanced development rates across generations, but after three generations, it caused a sudden and large (30?50%) decline in recruitment. This warming impact was most severe in populations where size-selective harvesting reduced the average size of spawners. We then explored whether our observed recruitment decline could be explained by changes in egg size, early egg and larval survival, population sex ratio, and developmental costs. We found that it was most likely driven by temperature-induced shifts in embryonic development rate and fishing-induced male-biased sex ratios. Importantly, once harvest and warming were relaxed, recruitment rates rapidly recovered. Our study suggests that the effects of warming and fishing could have strong impacts on wild stock recruitment, but this may take several generations to manifest. However, resilience of wild populations may be higher if fishing preserves sufficient body size diversity, and windows of suitable temperature periodically occur.</t>
  </si>
  <si>
    <t>[Wootton, Henry F.; Morrongiello, John] Univ Melbourne, Sch Biosci, Melbourne, Vic 3010, Australia; [Audzijonyte, Asta] Univ Tasmania, Inst Marine &amp; Antarctic Studies, Hobart, Tas 7004, Australia</t>
  </si>
  <si>
    <t>University of Melbourne; Melbourne Genomics Health Alliance; University of Tasmania</t>
  </si>
  <si>
    <t>Wootton, HF (corresponding author), Univ Melbourne, Sch Biosci, Melbourne, Vic 3010, Australia.</t>
  </si>
  <si>
    <t>hwootton1@student.unimelb.edu.au</t>
  </si>
  <si>
    <t>Morrongiello, John/E-8716-2011; Audzijonyte, Asta/O-5598-2017</t>
  </si>
  <si>
    <t>Morrongiello, John/0000-0002-9608-4151; Wootton, Henry/0000-0001-6506-0248</t>
  </si>
  <si>
    <t>Australian Research Council [DP190101627]; UoM's Faculty of Science Research Grant Support Scheme; Pew Fellows Program in Marine Conservation; Australian Postgraduate Award; HolsworthWildlife Research Endowment</t>
  </si>
  <si>
    <t>Australian Research Council(Australian Research Council); UoM's Faculty of Science Research Grant Support Scheme; Pew Fellows Program in Marine Conservation; Australian Postgraduate Award(Australian Government); HolsworthWildlife Research Endowment</t>
  </si>
  <si>
    <t>We owe immense gratitude to the University of Melbourne (UoM) undergraduate and graduate student volunteers who dedicated their time to make this experiment possible. Thank you to Ruby Stoios, Caitlin O'Shea, Zhong Wang (Clement) Ng, Thomas Schmitt, Adeline Chew, Alycia Tsiang, Ming Fen (Eileen) Lee, Haseena Bhullar, Lucy Howell, Nick Davies, Noah Jim, Phoebe McIntosh, Sarasvati Santosa, Sarah Willington, Francesca Breidahl, Dionysia Evitaputri, Lily Harrison, GemmaWalker, Katerina Vasilatou, Grace Mui, Chethana Siriwardana, Anna Ischenko, Christian Bell, Jessica Keem, Griffin Heng, Grace Walton-Girle, Shona Elliot-Kerr, Christina Karagiorgis, Ellen Ditria, Laura Town-Hopkinson, Nick Pattinson, Sasha Kumar, Alison Carroll, Andrew Wootton, and Shakira Kumar. We owe thanks to Patricia Jusuf (UoM) and Rodney Glanvil (Monash University) for advice and help on the setup of the experiment. We also thank Silva Uusi-Heikkila (University of Jyvaskyla), Diego Barneche (Australian Institute of Marine Science), Michael Keough (UoM), and Shane Richards (University of Tasmania) for helpful discussions. Finally, we thank two anonymous reviewers who provided valuable comments that greatly improved the manuscript. Funding was provided to H.F.W. by the Australian Postgraduate Award. Research was funded by the Australian Research Council (DP190101627 to J.M. and A.A.), the HolsworthWildlife Research Endowment (H.F.W.), UoM's Faculty of Science Research Grant Support Scheme (J.M.), and Pew Fellows Program in Marine Conservation (A.A.).</t>
  </si>
  <si>
    <t>e2100300118</t>
  </si>
  <si>
    <t>10.1073/pnas.2100300118</t>
  </si>
  <si>
    <t>RX4BW</t>
  </si>
  <si>
    <t>WOS:000647171500016</t>
  </si>
  <si>
    <t>Zaretabar, A; Ouraji, H; Kenari, AA; Yeganeh, S; Esmaeili, N; Amirkolaee, AK</t>
  </si>
  <si>
    <t>Zaretabar, Amine; Ouraji, Hossein; Kenari, Abdolmohammad Abedian; Yeganeh, Sakineh; Esmaeili, Noah; Amirkolaee, Abdolsamad Keramat</t>
  </si>
  <si>
    <t>One step toward aquaculture sustainability of a carnivorous species: Fish meal replacement with barley protein concentrate plus wheat gluten meal in Caspian brown trout (Salmo trutta caspius)</t>
  </si>
  <si>
    <t>AQUACULTURE REPORTS</t>
  </si>
  <si>
    <t>Amino acid; Digestibility; Fatty acids; Fish meal; Lysine; Methionine</t>
  </si>
  <si>
    <t>ONCORHYNCHUS-MYKISS WALBAUM; DIGESTIVE ENZYME-ACTIVITIES; ALLIUM-SATIVUM POWDER; RAINBOW-TROUT; ATLANTIC SALMON; GROWTH-PERFORMANCE; FEED INGREDIENTS; APPARENT DIGESTIBILITY; INDUCED ENTERITIS; PLANT FEEDSTUFFS</t>
  </si>
  <si>
    <t>The present study evaluated the effect of replacing fish meal (FM) with barley protein concentrate (BPC) plus wheat gluten meal (WGM) on growth performance, carcass composition, digestibility, digestive enzyme activities, amino acid, and fatty acids profile of Caspian brown trout as a slow-growing and carnivorous fish species. Five experimental diets including Control (0 g/kg BPC), 25BPC (165 g/kg BPC), 50BPC (330 g/kg BPC), 75BPC (495 g/kg BPC), and 100BPC (660 g/kg BPC) were formulated. Also, WGM was added to diets to make them isonitrogenous. A total of 300 fish (13.53 +/- 1.1 g) were farmed in three replicates per treatment for eight weeks. Results showed that FM could be replaced by BPC up to 50 % without any negative effect on growth performance (330 g/kg FM, 330 g/kg BPC). Fish was fed with dietary Control, 25BPC, and 50BPC digested protein and energy significantly better than those fed other diets. Accordingly, there were negative linear relations between BCP level in diets and trypsin, pepsin, and aminopeptidase activities (P &lt; 0.01). There was no significant difference in the C20:5n3, C22:6n3, and long-chain polyunsaturated fatty acids (LC-PUFA) levels (g/kg) between individuals fed dietary Control (82.6, 148.5, 278, respectively) and 50BPC (67.0, 132.5, 244.7, respectively). Finally, pepsin and aminopeptidase had strong positive relations with weight gain, specific growth rate, the apparent digestibility coefficient of protein, lysine, and methionine values. Therefore, we suggest formulating diets with BPC up to 330 g/kg plus 40 g /kg WGM in Caspian brown trout diets based on unseen negative effects on investigated factors.</t>
  </si>
  <si>
    <t>[Zaretabar, Amine; Ouraji, Hossein; Yeganeh, Sakineh; Amirkolaee, Abdolsamad Keramat] Sari Agr Sci &amp; Nat Resources Univ, Dept Fisheries, POB 578, Sari, Mazandaran, Iran; [Kenari, Abdolmohammad Abedian] Tarbiat Modares Univ, Fac Nat Resources &amp; Marine Sci, Dept Aquaculture, Noor, Mazandaran, Iran; [Esmaeili, Noah] Univ Tasmania, Inst Marine &amp; Antarctic Studies, Hobart, Tas, Australia</t>
  </si>
  <si>
    <t>Sari Agricultural Sciences &amp; Natural Resources University (SANRU); Tarbiat Modares University; University of Tasmania</t>
  </si>
  <si>
    <t>Zaretabar, A (corresponding author), Sari Agr Sci &amp; Nat Resources Univ, Dept Fisheries, POB 578, Sari, Mazandaran, Iran.</t>
  </si>
  <si>
    <t>a.zaretabar@gmail.com; hoseinoraji@yahoo.com; aabedian@modares.ac.ir; skyeganeh@gmail.com; noah.esmaeili@utas.edu.au; amirkola@yahoo.com</t>
  </si>
  <si>
    <t>Abedian Kenari, Abdolmohammad/JWP-0761-2024; Esmaeili, Noah/Q-4536-2019; Ouraji, Hossein/AFI-8248-2022; Yeganeh, Sakineh/ABF-1484-2021; Ouraji, Hossein/AAF-3939-2022</t>
  </si>
  <si>
    <t>Esmaeili, Noah/0000-0001-8704-939X; Yeganeh, Sakineh/0000-0001-7480-7315; Abedian Kenari, Abdolmohammad/0000-0003-3410-3908; zaretabar, amine/0000-0003-3504-361X</t>
  </si>
  <si>
    <t>Sari Agricultural Sciences and Natural Resources University</t>
  </si>
  <si>
    <t>The authors wish to thank Sari Agricultural Sciences and Natural Resources University for financial support. Thanks are also extended to all involved people for their valuable practical assistance.</t>
  </si>
  <si>
    <t>2352-5134</t>
  </si>
  <si>
    <t>AQUACULT REP</t>
  </si>
  <si>
    <t>Aquacult. Rep.</t>
  </si>
  <si>
    <t>10.1016/j.aqrep.2021.100714</t>
  </si>
  <si>
    <t>TI1UG</t>
  </si>
  <si>
    <t>WOS:000672569700007</t>
  </si>
  <si>
    <t>Zhang, TL; Wang, RJ; Xiao, WS; Polyak, L; Astakhov, A; Dong, LS; Wang, CJ; Liu, YG; Shi, XF</t>
  </si>
  <si>
    <t>Zhang, Taoliang; Wang, Rujian; Xiao, Wenshen; Polyak, Leonid; Astakhov, Anatolii; Dong, Linsen; Wang, Chunjuan; Liu, Yanguang; Shi, Xuefa</t>
  </si>
  <si>
    <t>Characteristics of terrigenous components of Amerasian Arctic Ocean surface sediments: Implications for reconstructing provenance and transport modes</t>
  </si>
  <si>
    <t>Arctic Ocean; Surface sediments; Coarse fraction lithology; Bulk sediment minerlogy; Grain size; Modern transport mode</t>
  </si>
  <si>
    <t>ICE EXPORT EVENTS; LATE PLEISTOCENE; RIVER DISCHARGE; SEA-ICE; CHUKCHI MARGIN; ABYSSAL-PLAIN; SHELF; PATTERNS; ACCUMULATION; CIRCULATION</t>
  </si>
  <si>
    <t>We investigated the petrographic composition of coarse-grained clasts (&gt;250 mu m) in 117 core-top sediment samples from the western Arctic Ocean (the Amerasian Basin, Chukchi Sea, Alaskan/Beaufort margin and East Siberian Sea). Combined with analyses of bulk sediment mineralogy and grain size, we use the results to elucidate the terrigenous clastic sediment distribution patterns and transport modes in four different regions: (1) In the Chukchi Sea, the Bering Strait Inflow (BSI) contributes most of the sediments, with an additional terrigenous clastic contribution from Northern Alaska and Eastern Siberia. The highest coarse clastic content and a northward-fining of the grain-size distributions are attributed to the winnowing by the BSI. (2) In the Alaskan margin, terrigenous clasts are enriched in sea ice/anchor ice-transported quartz-rich sediments from Northern Alaska, and in addition the Alaska Coastal Current (ACC) contributes sediments originating from the Yukon River. Coarse-grained sediments accumulate near offshore Alaska with the finer fractions being transported further into the Chukchi Sea Shelf. (3) In the East Siberian Sea, coarse clasts are sparse and even absent in most study sites. Combined with the results of previous studies, we conclude that the terrigenous components are derived from the Laptev Sea and the adjacent Siberian Platform. They are transported by the Siberian Coastal Current and sea ice. (4) In the Canada Basin, terrigenous clasts are characterized by carbonate and quartz-rich sediments derived from the Canadian Arctic Archipelago (CAA). Sediments incorporated in sea ice/anchor ice drift from the CAA to the Beaufort Sea, where they combine with sediments from the Mackenzie River and are then transported into the Canada Basin by the Beaufort Gyre. Sediments and grain size in northern and southern Canada Basin also involve the early Holocene iceberg-entrained IRD from CAA and winnowing/nepheloid transported mica from marginal areas, respectively.</t>
  </si>
  <si>
    <t>[Zhang, Taoliang] Shanghai Jiao Tong Univ, Sch Oceanog, Shanghai 200240, Peoples R China; [Zhang, Taoliang; Wang, Rujian; Xiao, Wenshen] Tongji Univ, State Key Lab Marine Geol, 1239 Siping Rd, Shanghai 200092, Peoples R China; [Polyak, Leonid] Ohio State Univ, Byrd Polar &amp; Climate Res Ctr, Columbus, OH 43210 USA; [Astakhov, Anatolii] Russian Acad Sci, VI Ilichev Pacific Oceanol Inst, Far Eastern Branch, Moscow, Russia; [Dong, Linsen; Wang, Chunjuan; Liu, Yanguang; Shi, Xuefa] Minist Nat Resources, Key Lab Marine Geol &amp; Metallogeny, Inst Oceanog 1, Qingdao 266061, Peoples R China</t>
  </si>
  <si>
    <t>Shanghai Jiao Tong University; Tongji University; University System of Ohio; Ohio State University; Ilichev Pacific Oceanological Institute; Russian Academy of Sciences; First Institute of Oceanography, Ministry of Natural Resources; Ministry of Natural Resources of the People's Republic of China</t>
  </si>
  <si>
    <t>Wang, RJ (corresponding author), Tongji Univ, State Key Lab Marine Geol, 1239 Siping Rd, Shanghai 200092, Peoples R China.</t>
  </si>
  <si>
    <t>rjwang@tongji.edu.cn</t>
  </si>
  <si>
    <t>Astakhov, Anatol*/A-5895-2016; Li, Kexin/KAO-2519-2024; Liu, Xiangjun/KDO-0791-2024; shi, xuefa/AAC-6977-2022</t>
  </si>
  <si>
    <t>Astakhov, Anatol*/0000-0002-1288-0848;</t>
  </si>
  <si>
    <t>National Natural Science Foundation of China [41776187, 42006186, 41030859]; Chinese Arctic and Antarctic Administration funding [CXPT2020008]; US NSF [ARC-1304755]; Tongji SKL fund [MGK1801]; Ministry of Science and Education of Russia [17-117030110033-0]</t>
  </si>
  <si>
    <t>National Natural Science Foundation of China(National Natural Science Foundation of China (NSFC)); Chinese Arctic and Antarctic Administration funding; US NSF(National Science Foundation (NSF)); Tongji SKL fund; Ministry of Science and Education of Russia</t>
  </si>
  <si>
    <t>This work was funded by theNational Natural Science Foundation of China (No. 41776187, 42006186 and 41030859), the Chinese Arctic and Antarctic Administration funding (No. CXPT2020008). LP's contribution was supported by the US NSF award ARC-1304755, and the Tongji SKL fund MGK1801. The Russia-China Arctic Expeditions 2016 were partly supported by Ministry of Science and Education of Russia (project....-.17-117030110033-0). This work is a contribution to the 1st to 7th Chinese National Arctic Research Expeditions (CHINARE1999 to -2016) conducted by R/V Xuelong and the RUSALCA and Russia-China Arctic Expeditions. We thank the core repository of the Polar Research Institute of China for providing the sediment samples.</t>
  </si>
  <si>
    <t>10.1016/j.margeo.2021.106497</t>
  </si>
  <si>
    <t>SO7OB</t>
  </si>
  <si>
    <t>WOS:000659163500004</t>
  </si>
  <si>
    <t>Xu, WD; Wooster, MJ; Polehampton, E; Yemelyanova, R; Zhang, TR</t>
  </si>
  <si>
    <t>Xu, Weidong; Wooster, Martin J.; Polehampton, Edward; Yemelyanova, Rose; Zhang, Tianran</t>
  </si>
  <si>
    <t>Sentinel-3 active fire detection and FRP product performance-Impact of scan angle and SLSTR middle infrared channel selection</t>
  </si>
  <si>
    <t>SLSTR; Fire radiative power; Middle infared; Scan angle</t>
  </si>
  <si>
    <t>DETECTION ALGORITHM; RADIATIVE ENERGY; MODIS; SATELLITE; REFLECTANCE</t>
  </si>
  <si>
    <t>The Sentinel-3 satellites each carry the dual-Earth view Sea and Land Surface Temperature Radiometer (SLSTR). SLSTR data from the `near nadir' scan are used to produce a set of global, daily active fire (AF) products similar to those produced from MODIS data. The Sentinel-3 AF products are generated in both Near Real Time (NRT) and Non Time Critical (NTC) mode and are expected ultimately to replace those from MODIS Terra when that mission starts to reach its end of life. Middle infrared (MIR) observations are critical for the AF application, and SLSTR has two MIR channels (S7 and F1) based on different detector designs and located at different positions in the instrument focal plane, delivering different dynamic ranges with the same spectral response function. The SLSTR AF detection and FRP retrieval algorithm uses both S7 and F1 channel data, but there are options on how these are combined to generate the final AF products. Past work has shown that MODIS' AF product characteristics are strongly view zenith angle (VZA) dependent, and since the SLSTR `near nadir' scan actually extends out to a maximum VZA of 55. (similar to the maximum MODIS VZA), any such view angle dependency may also impact the choice of how the S7 and F1 channel data are combined to generate the SLSTR AF products. Here we use a combination of simulation modelling and analysis of more than 15,000 early SLSTR AF products to study how VZA affects the Sentinel-3 AF product characteristics, and how this varies when the S7 and F1 channel data are combined in different ways. Maximum use of S7 channel data provides an AF product whose statistical characteristics vary markedly with VZA around the near nadir scan. For example, the median FRP extracted from the more than 15,000 products studied varies by around an order of magnitude between the centre and edge of scan positions, a level of VZA-dependency similar to that seen with the MODIS AF products. By contrast, maximum use of data from the F1 channel provides a median FRP that varies only by a factor of similar to 3 over the same VZA range. Our simulation modelling demonstrates that this difference is a result of the area of the F1 channel ground pixel footprint remaining far more consistent around the near nadir scan compared to that of S7, which also leads to minimised F1 pixel oversampling even at high VZA observations. The result is that FRP retrievals for a fire derived using the F1 channel observations are far less sensitive to where in the scan the fire is observed. When generated in this way, the Sentinel-3 FRP product characteristics appear similar to those of the VIIRS AF products, since VIIRS also has a method of minimising pixel area growth away from nadir. We conclude that maximum use of the SLSTR F1 channel observations provides significant benefits to the Sentinel-3 AF product, and that unless there are other reasons not to do so any operational processing to generate the NRT and NTC product versions should consider this option as the default. Our findings also show the value of the novel detector design of the SLSTR F1 channel, whose advantageous pixel footprint characteristics mean that similar designs should be considered for future sensors aiming to support active fire applications.</t>
  </si>
  <si>
    <t>[Xu, Weidong; Wooster, Martin J.; Zhang, Tianran] Kings Coll London, Leverhulme Ctr Wildfires Environm &amp; Soc, Dept Geog, London WC2B 4BG, England; [Xu, Weidong; Wooster, Martin J.; Zhang, Tianran] Kings Coll London, NERC Natl Ctr Earth Observat NCEO, London, England; [Polehampton, Edward; Yemelyanova, Rose] Rutherford Appleton Lab Space RAL Space, Sci &amp; Technol Facil Council STFC, Oxford OX11 0QX, England; [Yemelyanova, Rose] Univ Bath, Dept Phys, Bath BA2 7AY, Avon, England</t>
  </si>
  <si>
    <t>University of London; King's College London; University of London; King's College London; UK Research &amp; Innovation (UKRI); Science &amp; Technology Facilities Council (STFC); University of Bath</t>
  </si>
  <si>
    <t>Wooster, MJ (corresponding author), Kings Coll London, Leverhulme Ctr Wildfires Environm &amp; Soc, Dept Geog, London WC2B 4BG, England.</t>
  </si>
  <si>
    <t>martin.wooster@kcl.ac.uk</t>
  </si>
  <si>
    <t>Polehampton, Edward/0000-0003-3153-813X</t>
  </si>
  <si>
    <t>NERC National Capability funding though the UK's National Centre for Earth Observation [NE/R016518/1]; European Space Agency FIDEX project (ESA) [4000122813/17/IBG]; NERC Airborne Research Facility (NARF); British Antarctic Survey</t>
  </si>
  <si>
    <t>NERC National Capability funding though the UK's National Centre for Earth Observation; European Space Agency FIDEX project (ESA); NERC Airborne Research Facility (NARF); British Antarctic Survey</t>
  </si>
  <si>
    <t>This work was supported by NERC National Capability funding though the UK's National Centre for Earth Observation (NE/R016518/1) and by the European Space Agency FIDEX project (ESA Contract 4000122813/17/IBG) . The NERC Airborne Research Facility (NARF) and British Antarctic Survey are thanked for support in use of the twin otter aircraft. ACRI ST are thanked for processing of the Level 2 SLSTR data products used herein.</t>
  </si>
  <si>
    <t>10.1016/j.rse.2021.112460</t>
  </si>
  <si>
    <t>SU9LG</t>
  </si>
  <si>
    <t>WOS:000663450900001</t>
  </si>
  <si>
    <t>Novillo, M; Elisio, M; Moreira, E; Macchi, G; Barrera-Oro, E</t>
  </si>
  <si>
    <t>Novillo, Manuel; Elisio, Mariano; Moreira, Eugenia; Macchi, Gustavo; Barrera-Oro, Esteban</t>
  </si>
  <si>
    <t>New insights into reproductive physiology in Antarctic fish: a trial in Lepidonotothen nudifrons</t>
  </si>
  <si>
    <t>Sex steroids; Hormonal analysis; Reproductive ecology; Potter Cove; Nototheniidae</t>
  </si>
  <si>
    <t>SOUTH SHETLAND ISLANDS; GONADOTROPIN-RELEASING-HORMONE; TERRA-NOVA BAY; NOTOTHENIA-ROSSII; ELEPHANT ISLAND; DEMERSAL FISH; POTTER COVE; STRATEGIES; FECUNDITY; INSHORE</t>
  </si>
  <si>
    <t>The spatio-temporal delimitation of fish reproduction is essential for the appropriate management and conservation strategies in populations. Assessing this feature in Antarctic Ichthyology is particularly difficult because harsh environmental conditions limit sample collection. This study shows how physiology can contribute compelling evidence to understand reproduction in Antarctic fish using the notothenioid Lepidonotothen nudifrons as a model species. Sampling included 121 specimens caught at Potter Cove (PC), South Shetland Islands (SSI), from November to late March of 2016-2018. Gonadal macroscopic and histologic features are reported. Oocyte growth and change in testosterone and estradiol plasma levels throughout the ovarian growth of L. nudifrons adult females is provided. In March, females (n = 17) attained gonado-somatic index of 13-20% (16.73 +/- 4.20), total fecundity of 2196-4652 oocytes/female, the leading clutch oocytes measured 1.7-2.1 mm, and males (n = 5) showed spermatozoids in their testicles. The leading clutch growth was significantly associated with photoperiod, with no diameter variation until the summer solstice, when it began to grow linearly with an estimated rate of 0.01 mm/day. Testosterone and estradiol increased together with the oocyte growing throughout the analysed months, with a higher rate of increase during March. The reproductive effort data, and especially the significant plasma level increase in both sex steroids observed in March, suggest that (1) females were at a late vitellogenesis stage, just prior to the oocyte final maturation, and thus L. nudifrons spawning period might begin in March at SSI; (2) PC is likely a spawning site for L. nudifrons, which indicates that nearshore areas are spawning grounds for some notothenioids.</t>
  </si>
  <si>
    <t>[Novillo, Manuel; Elisio, Mariano; Moreira, Eugenia; Macchi, Gustavo; Barrera-Oro, Esteban] Consejo Nacl Invest Cient &amp; Tecn, C1425FQB, Buenos Aires, DF, Argentina; [Novillo, Manuel; Barrera-Oro, Esteban] Consejo Nacl Invest Cient &amp; Tecn, Museo Argentino Ciencias Nat Bernardino Rivadavia, Av Angel Gallardo 470,CI405DJR, Buenos Aires, DF, Argentina; [Elisio, Mariano; Macchi, Gustavo] Inst Nacl Invest &amp; Desarrollo Pesquero INIDEP, B7602HSA, Mar Del Plata, Buenos Aires, Argentina; [Elisio, Mariano; Macchi, Gustavo] Inst Invest Marinas &amp; Costeras IIMyC, B7602GSD, Mar Del Plata, Buenos Aires, Argentina; [Moreira, Eugenia; Barrera-Oro, Esteban] Inst Antartico Argentino, B1650HMK, San Martin, Buenos Aires, Argentina; [Moreira, Eugenia] UNCPBA CICBA INBIOTEC CONICET, Fac Agron, Lab Biol Func &amp; Biotecnol BIOLAB, RA-7300 Azul, Buenos Aires, Argentina</t>
  </si>
  <si>
    <t>Consejo Nacional de Investigaciones Cientificas y Tecnicas (CONICET); Consejo Nacional de Investigaciones Cientificas y Tecnicas (CONICET); Museo Argentino de Ciencias Naturales Bernardino Rivadavia (MACN); Consejo Nacional de Investigaciones Cientificas y Tecnicas (CONICET); National Fisheries Research &amp; Development Institute (INIDEP); Instituto Antartico Argentino</t>
  </si>
  <si>
    <t>Novillo, M (corresponding author), Consejo Nacl Invest Cient &amp; Tecn, C1425FQB, Buenos Aires, DF, Argentina.;Novillo, M (corresponding author), Consejo Nacl Invest Cient &amp; Tecn, Museo Argentino Ciencias Nat Bernardino Rivadavia, Av Angel Gallardo 470,CI405DJR, Buenos Aires, DF, Argentina.</t>
  </si>
  <si>
    <t>jmanuelnovillo@gmail.com</t>
  </si>
  <si>
    <t>Macchi, Gustavo Javier/0000-0003-1821-5491; MOREIRA, EUGENIA/0000-0002-3704-1696; Elisio, Mariano/0000-0002-6590-1286</t>
  </si>
  <si>
    <t>Direccion Nacional del Antartico, Instituto Antartico Argentino [PICTA 0100]; Consejo Nacional de Investigaciones Cientificas y Tecnicas [PIP2017-2019: 11220170100219CO, 2018-8-APN-DIR]; Fondo para la Investigacion Cientifica y Tecnologica [PICT 2018:03310, 401/19]</t>
  </si>
  <si>
    <t>Direccion Nacional del Antartico, Instituto Antartico Argentino; Consejo Nacional de Investigaciones Cientificas y Tecnicas(Consejo Nacional de Investigaciones Cientificas y Tecnicas (CONICET)); Fondo para la Investigacion Cientifica y Tecnologica</t>
  </si>
  <si>
    <t>This work was supported by grants from Direccion Nacional del Antartico, Instituto Antartico Argentino [Grant Number PICTA 0100], Consejo Nacional de Investigaciones Cientificas y Tecnicas [Grant Number PIP2017-2019: 11220170100219CO, Resolution 2018-8-APN-DIR#CONICET] and Fondo para la Investigacion Cientifica y Tecnologica [Grant Number PICT 2018:03310, Resolution 401/19].</t>
  </si>
  <si>
    <t>10.1007/s00300-021-02879-4</t>
  </si>
  <si>
    <t>WOS:000646974100001</t>
  </si>
  <si>
    <t>Nardelli, SC; Cimino, MA; Conroy, JA; Fraser, WR; Steinberg, DK; Schofield, O</t>
  </si>
  <si>
    <t>Nardelli, Schuyler C.; Cimino, Megan A.; Conroy, John A.; Fraser, William R.; Steinberg, Deborah K.; Schofield, Oscar</t>
  </si>
  <si>
    <t>Krill availability in adjacent Adelie and gentoo penguin foraging regions near Palmer Station, Antarctica</t>
  </si>
  <si>
    <t>SOUTH SHETLAND ISLANDS; KING-GEORGE-ISLAND; EUPHAUSIA-SUPERBA; INTERANNUAL VARIABILITY; CHINSTRAP PENGUINS; SUBMARINE-CANYON; CLIMATE-CHANGE; MIXED-LAYER; SCOTIA SEA; WEST</t>
  </si>
  <si>
    <t>The Palmer Deep canyon along the West Antarctic Peninsula is a biological hotspot with abundant phytoplankton and krill supporting Adelie and gentoo penguin rookeries at the canyon head. Nearshore studies have focused on physical mechanisms driving primary production and penguin foraging, but less is known about finer-scale krill distribution and density. We designed two acoustic survey grids paired with conductivity-temperature-depth profiles within adjacent Adelie and gentoo penguin foraging regions near Palmer Station, Antarctica. The grids were sampled from January to March 2019 to assess variability in krill availability and associations with oceanographic properties. Krill density was similar in the two regions, but krill swarms were longer and larger in the gentoo foraging region, which was also less stratified and had lower chlorophyll concentrations. In the inshore zone near penguin colonies, depth-integrated krill density increased from summer to autumn (January-March) independent of chlorophyll concentration, suggesting a life history-driven adult krill migration rather than a resource-driven biomass increase. The daytime depth of krill biomass deepened through the summer and became decoupled from the chlorophyll maximum in March as diel vertical migration magnitude likely increased. Penguins near Palmer Station did not appear to be limited by krill availability during our study, and regional differences in krill depth match the foraging behaviors of the two penguin species. Understanding fine-scale physical forcing and ecological interactions in coastal Antarctic hotspots is critical for predicting how environmental change will impact these ecosystems.</t>
  </si>
  <si>
    <t>[Nardelli, Schuyler C.; Schofield, Oscar] Rutgers State Univ, Rutgers Univ Ctr Ocean Observing Leadership RU CO, Dept Marine &amp; Coastal Sci, New Brunswick, NJ 08901 USA; [Cimino, Megan A.] Univ Calif Santa Cruz, Inst Marine Sci, Santa Cruz, CA 95064 USA; [Conroy, John A.; Steinberg, Deborah K.] William &amp; Mary, Virginia Inst Marine Sci, Gloucester Point, VA USA; [Fraser, William R.] Polar Oceans Res Grp, Sheridan, MT USA</t>
  </si>
  <si>
    <t>Rutgers University System; Rutgers University New Brunswick; University of California System; University of California Santa Cruz; William &amp; Mary; Virginia Institute of Marine Science</t>
  </si>
  <si>
    <t>Nardelli, SC (corresponding author), Rutgers State Univ, Rutgers Univ Ctr Ocean Observing Leadership RU CO, Dept Marine &amp; Coastal Sci, New Brunswick, NJ 08901 USA.</t>
  </si>
  <si>
    <t>nardelli@marine.rutgers.edu</t>
  </si>
  <si>
    <t>; Schofield, Oscar/H-4169-2018</t>
  </si>
  <si>
    <t>Steinberg, Deborah K./0000-0001-9884-4655; Nardelli, Schuyler/0000-0001-7926-9018; Fraser, William/0000-0003-4946-1783; Conroy, Jack/0000-0001-6559-8240; Cimino, Megan/0000-0002-1715-2903; Schofield, Oscar/0000-0003-2359-4131</t>
  </si>
  <si>
    <t>National Science Foundation Antarctic Organisms and Ecosystems Program as part of the Palmer Antarctica Long-Term Ecological Research (Palmer LTER) program [PLR-1440435]; Rutgers Institute of Earth, Ocean, and Atmospheric Sciences graduate fellowship; Detroit Zoological Society; NSF Office of Polar Programs [ANT-1745018, ANT-1744859]</t>
  </si>
  <si>
    <t>National Science Foundation Antarctic Organisms and Ecosystems Program as part of the Palmer Antarctica Long-Term Ecological Research (Palmer LTER) program; Rutgers Institute of Earth, Ocean, and Atmospheric Sciences graduate fellowship; Detroit Zoological Society; NSF Office of Polar Programs(National Science Foundation (NSF))</t>
  </si>
  <si>
    <t>This work was supported by the National Science Foundation Antarctic Organisms and Ecosystems Program (PLR-1440435) as part of the Palmer Antarctica Long-Term Ecological Research (Palmer LTER) program. Additionally, S.N. acknowledges support from the Rutgers Institute of Earth, Ocean, and Atmospheric Sciences graduate fellowship, W.F. acknowledges support from the Detroit Zoological Society and NSF Office of Polar Programs (ANT-1745018), and M.C. acknowledges support from the NSF Office of Polar Programs (ANT-1744859). The Virginia Institute of Marine Science, William &amp; Mary contribution number is 4002. Thank you to Anthony Cossio and Chris Taylor for sharing acoustic processing code and advice. This work would not be possible without the Palmer LTER field teams who aided in data collection and Palmer Station personnel for logistics support. Comments from two anonymous reviewers helped improve and clarify this manuscript.</t>
  </si>
  <si>
    <t>10.1002/lno.11750</t>
  </si>
  <si>
    <t>WOS:000646459700001</t>
  </si>
  <si>
    <t>Hallsworth, JE; Mancinelli, RL; Conley, CA; Dallas, TD; Rinaldi, T; Davila, AF; Benison, KC; Rapoport, A; Cavalazzi, B; Selbmann, L; Changela, H; Westall, F; Yakimov, MM; Amils, R; Madigan, MT</t>
  </si>
  <si>
    <t>Hallsworth, John E.; Mancinelli, Rocco L.; Conley, Catharine A.; Dallas, Tiffany D.; Rinaldi, Teresa; Davila, Alfonso F.; Benison, Kathleen C.; Rapoport, Alexander; Cavalazzi, Barbara; Selbmann, Laura; Changela, Hitesh; Westall, Frances; Yakimov, Michail M.; Amils, Ricardo; Madigan, Michael T.</t>
  </si>
  <si>
    <t>Astrobiology of life on Earth</t>
  </si>
  <si>
    <t>MARS; CHAOTROPICITY; HABITABILITY; EVOLUTION; BACTERIAL; STRESS; ANALOG; LIMIT</t>
  </si>
  <si>
    <t>Astrobiology is mistakenly regarded by some as a field confined to studies of life beyond Earth. Here, we consider life on Earth through an astrobiological lens. Whereas classical studies of microbiology historically focused on various anthropocentric sub-fields (such as fermented foods or commensals and pathogens of crop plants, livestock and humans), addressing key biological questions via astrobiological approaches can further our understanding of all life on Earth. We highlight potential implications of this approach through the articles in this Environmental Microbiology special issue 'Ecophysiology of Extremophiles'. They report on the microbiology of places/processes including low-temperature environments and chemically diverse saline- and hypersaline habitats; aspects of sulphur metabolism in hypersaline lakes, dysoxic marine waters, and thermal acidic springs; biology of extremophile viruses; the survival of terrestrial extremophiles on the surface of Mars; biological soils crusts and rock-associated microbes of deserts; subsurface and deep biosphere, including a salticle formed within Triassic halite; and interactions of microbes with igneous and sedimentary rocks. These studies, some of which we highlight here, contribute to our understanding of the spatiotemporal reach of Earth'sfunctional biosphere, and the tenacity of terrestrial life. Their findings will help set the stage for future work focused on the constraints for life, and how organisms adapt and evolve to circumvent these constraints.</t>
  </si>
  <si>
    <t>[Hallsworth, John E.; Dallas, Tiffany D.] Queens Univ Belfast, Inst Global Food Secur, Sch Biol Sci, 19 Chlorine Gardens, Belfast BT9 7BL, Antrim, North Ireland; [Mancinelli, Rocco L.] NASA, Ames Res Ctr, Bay Area Environm Res Inst, Mountain View, CA 94035 USA; [Conley, Catharine A.; Davila, Alfonso F.] NASA, Ames Res Ctr, Mountain View, CA 94035 USA; [Rinaldi, Teresa] Sapienza Univ Rome, Dept Biol &amp; Biotechnol, I-00185 Rome, Italy; [Benison, Kathleen C.] West Virginia Univ, Dept Geol &amp; Geog, Morgantown, WV 26506 USA; [Rapoport, Alexander] Univ Latvia, Inst Microbiol &amp; Biotechnol, Lab Cell Biol, Jelgavas Str 1-537, LV-1004 Riga, Latvia; [Cavalazzi, Barbara] Univ Bologna, Dept Biol Geol &amp; Environm Sci, I-40126 Bologna, Italy; [Selbmann, Laura] Univ Tuscia, Dept Ecol &amp; Biol Sci, I-01100 Viterbo, Italy; [Selbmann, Laura] Italian Antarctic Natl Museum MNA, Mycol Sect, I-16128 Genoa, Italy; [Changela, Hitesh] Chinese Acad Sci, Inst Geol &amp; Geophys, Key Lab Earth &amp; Planetary Phys, Beijing 100029, Peoples R China; [Changela, Hitesh] Univ New Mexico, Dept Earth &amp; Planetary Sci, Albuquerque, NM 87131 USA; [Westall, Frances] CNRS, Ctr Biophys Mol UPR, Rue Charles Sadron,CS 80054, F-45071 Orleans, France; [Yakimov, Michail M.] IRBIM CNR, Inst Marine Biol Resources &amp; Biotechnol, I-98122 Messina, Italy; [Amils, Ricardo] Univ Autonoma Madrid, Ctr Biol Mol Severo Ochoa, CSICUAM, CBMSO, Madrid 28049, Spain; [Amils, Ricardo] INTA CSIC, Ctr Astrobiol, CAB, Torrejon De Ardoz 28055, Spain; [Madigan, Michael T.] Southern Illinois Univ, Dept Microbiol, Sch Biol Sci, Carbondale, IL 62901 USA</t>
  </si>
  <si>
    <t>Queens University Belfast; National Aeronautics &amp; Space Administration (NASA); NASA Ames Research Center; National Aeronautics &amp; Space Administration (NASA); NASA Ames Research Center; Sapienza University Rome; West Virginia University; University of Latvia; Riga Stradins University; University of Bologna; Tuscia University; Chinese Academy of Sciences; Institute of Geology &amp; Geophysics, CAS; University of New Mexico; Centre National de la Recherche Scientifique (CNRS); Consiglio Nazionale delle Ricerche (CNR); Istituto per le Risorse Biologiche Biotecnologie Marine (IRBIM-CNR); Consejo Superior de Investigaciones Cientificas (CSIC); CSIC - Centro de Biologia Molecular Severo Ochoa (CBM); Autonomous University of Madrid; Consejo Superior de Investigaciones Cientificas (CSIC); CSIC - Centro de Astrobiologia (INTA); Southern Illinois University System; Southern Illinois University</t>
  </si>
  <si>
    <t>Hallsworth, JE (corresponding author), Queens Univ Belfast, Inst Global Food Secur, Sch Biol Sci, 19 Chlorine Gardens, Belfast BT9 7BL, Antrim, North Ireland.</t>
  </si>
  <si>
    <t>j.hallsworth@qub.ac.uk</t>
  </si>
  <si>
    <t>Mancinelli, Rocco/L-8971-2016; Rapoport, Alexander/K-6213-2012; Rinaldi, Teresa/AAC-9710-2020; Davila, Alfonso F/A-2198-2013; Selbmann, Laura/L-3056-2013; Dallas, Tiffany D/AAT-6515-2021; Hallsworth, John E./K-7876-2013</t>
  </si>
  <si>
    <t>Rapoport, Alexander/0000-0002-6185-0039; Rinaldi, Teresa/0000-0001-6291-245X; Selbmann, Laura/0000-0002-8967-3329; Dallas, Tiffany D/0000-0002-5310-9857; CAVALAZZI, BARBARA/0000-0002-5135-9529; Hallsworth, John E./0000-0001-6797-9362</t>
  </si>
  <si>
    <t>Biotechnology and Biological Sciences Research Council (BBSRC, United Kingdom) [BBF003471]</t>
  </si>
  <si>
    <t>Biotechnology and Biological Sciences Research Council (BBSRC, United Kingdom)(UK Research &amp; Innovation (UKRI)Biotechnology and Biological Sciences Research Council (BBSRC))</t>
  </si>
  <si>
    <t>Funding was provided by the Biotechnology and Biological Sciences Research Council (BBSRC, United Kingdom) project BBF003471.</t>
  </si>
  <si>
    <t>10.1111/1462-2920.15499</t>
  </si>
  <si>
    <t>TR8GX</t>
  </si>
  <si>
    <t>WOS:000646724400001</t>
  </si>
  <si>
    <t>Phillips, JA; Fayet, AL; Guilford, T; Manco, F; Warwick-Evans, V; Trathan, P</t>
  </si>
  <si>
    <t>Phillips, Jessica Ann; Fayet, Annette L.; Guilford, Tim; Manco, Fabrizio; Warwick-Evans, Victoria; Trathan, Phil</t>
  </si>
  <si>
    <t>Foraging conditions for breeding penguins improve with distance from colony and progression of the breeding season at the South Orkney Islands</t>
  </si>
  <si>
    <t>Chinstrap penguin; Seabird; Foraging; Habitat selection; Index of patch quality; Prey availability; Ashmole’ s halo; GPS; TDR</t>
  </si>
  <si>
    <t>TRACKED KING PENGUINS; CHINSTRAP PENGUINS; DIVING BEHAVIOR; EUDYPTULA-MINOR; ADELIE PENGUINS; PROVISIONING STRATEGIES; PYGOSCELID PENGUINS; SATELLITE TRACKING; EASTERN CHIPMUNK; SHETLAND ISLANDS</t>
  </si>
  <si>
    <t>Background According to central place foraging theory, animals will only increase the distance of their foraging trips if more distant prey patches offer better foraging opportunities. Thus, theory predicts that breeding seabirds in large colonies could create a zone of food depletion around the colony, known as Ashmole's halo. However, seabirds' decisions to forage at a particular distance are likely also complicated by their breeding stage. After chicks hatch, parents must return frequently to feed their offspring, so may be less likely to visit distant foraging patches, even if their quality is higher. However, the interaction between prey availability, intra-specific competition, and breeding stage on the foraging decisions of seabirds is not well understood. The aim of this study was to address this question in chinstrap penguins Pygoscelis antarcticus breeding at a large colony. In particular, we aimed to investigate how breeding stage affects foraging strategy; whether birds foraging far from the colony visit higher quality patches than available locally; and whether there is evidence for intraspecific competition, indicated by prey depletions near the colony increasing over time, and longer foraging trips. Methods We used GPS and temperature-depth recorders to track the foraging movements of 221 chinstrap penguins from 4 sites at the South Orkney Islands during incubation and brood. We identified foraging dives and calculated the index of patch quality based on time allocation during the dive to assess the quality of the foraging patch. Results We found that chinstrap penguin foraging distance varied between stages, and that trips became shorter as incubation progressed. Although patch quality was lower near the colony than at more distant foraging patches, patch quality near the colony improved over the breeding season. Conclusions These results suggest chinstrap penguin foraging strategies are influenced by both breeding stage and prey distribution, and the low patch quality near the colony may be due to a combination of depletion by intraspecific competition but compensated by natural variation in prey. Reduced trip durations towards the end of the incubation period may be due to an increase in food availability, as seabirds time their reproduction so that the period of maximum energy demand in late chick-rearing coincides with maximum resource availability in the environment. This may also explain why patch quality around the colony improved over the breeding season. Overall, our study sheds light on drivers of foraging decisions in colonial seabirds, an important question in foraging ecology.</t>
  </si>
  <si>
    <t>[Phillips, Jessica Ann; Fayet, Annette L.; Guilford, Tim] Univ Oxford, Dept Zool, 11a Mansfield Rd, Oxford OX1 3SZ, England; [Manco, Fabrizio] Anglia Ruskin Univ, Cambridge Campus,East Rd, Cambridge CB1 1PT, England; [Warwick-Evans, Victoria; Trathan, Phil] British Antarctic Survey, High Cross,Madingley Rd, Cambridge CB3 0ET, England</t>
  </si>
  <si>
    <t>University of Oxford; Anglia Ruskin University; UK Research &amp; Innovation (UKRI); Natural Environment Research Council (NERC); NERC British Antarctic Survey</t>
  </si>
  <si>
    <t>Phillips, JA (corresponding author), Univ Oxford, Dept Zool, 11a Mansfield Rd, Oxford OX1 3SZ, England.;Trathan, P (corresponding author), British Antarctic Survey, High Cross,Madingley Rd, Cambridge CB3 0ET, England.</t>
  </si>
  <si>
    <t>jessy.a.phillips@gmail.com; pnt@bas.ac.uk</t>
  </si>
  <si>
    <t>Phillips, Jessica/GSJ-0493-2022</t>
  </si>
  <si>
    <t>Fayet, Annette/0000-0001-6373-0500</t>
  </si>
  <si>
    <t>Rhodes scholarship; Natural Sciences and Engineering Research Council of Canada (NSERC) Postgraduate ScholarshipsDoctoral (PGS-D); Darwin Plus [072]; UKRI/BAS Ecosystems Programme under ALI-Science; NERC [bas0100035] Funding Source: UKRI</t>
  </si>
  <si>
    <t>Rhodes scholarship; Natural Sciences and Engineering Research Council of Canada (NSERC) Postgraduate ScholarshipsDoctoral (PGS-D); Darwin Plus; UKRI/BAS Ecosystems Programme under ALI-Science(UK Research &amp; Innovation (UKRI)); NERC(UK Research &amp; Innovation (UKRI)Natural Environment Research Council (NERC))</t>
  </si>
  <si>
    <t>JAP was funded by the Rhodes scholarship and Natural Sciences and Engineering Research Council of Canada (NSERC) Postgraduate ScholarshipsDoctoral (PGS-D). VWE was supported by Darwin Plus 072. PNT was supported by the UKRI/BAS Ecosystems Programme under ALI-Science. These funding agencies had no role in the design of the study, data collection, analysis, and interpretation, or in writing the manuscript.</t>
  </si>
  <si>
    <t>10.1186/s40462-021-00261-x</t>
  </si>
  <si>
    <t>RX3UV</t>
  </si>
  <si>
    <t>WOS:000647153000001</t>
  </si>
  <si>
    <t>Krag, LA; Krafft, BA; Herrmann, B; Skov, P</t>
  </si>
  <si>
    <t>Krag, Ludvig A.; Krafft, Bjorn A.; Herrmann, Bent; Skov, Peter, V</t>
  </si>
  <si>
    <t>Physiological stress and recovery kinetics in trawl escapees of the Antarctic krill Euphausia superba Dana, 1850 (Euphausiacea)</t>
  </si>
  <si>
    <t>JOURNAL OF CRUSTACEAN BIOLOGY</t>
  </si>
  <si>
    <t>escape mortality; krill fishery; lactate; pelagic trawl; stress clearance; stress response</t>
  </si>
  <si>
    <t>CRUSTACEAN HYPERGLYCEMIC HORMONE; PREDICTING MORTALITY; DECAPOD CRUSTACEANS; BLOOD-GAS; HEMOLYMPH; LOBSTER; OXYGEN; BEHAVIOR; FATIGUE; SHRIMP</t>
  </si>
  <si>
    <t>When caught in a trawl, some individuals interacting with the fishing gear may escape, but such interactions may lead to physiological trauma that causes direct delayed mortality and/ or increased vulnerability to predation. Understanding fishery-induced stress levels and the recovery period of escapees is therefore crucial for predicting total fishing-induced mortality. Hemolymph lactate concentration is commonly used as an index of physiological stress in many crustacean species, and the clearing time of lactate back to normal levels indicates the ability to recover from stress. We measured the hemolymph lactate concentration in three groups of Antarctic krill (Euphausia superba Dana, 1850): Group 1, trawl escapees collected during fishing; Group 2, specimens subjected to simulated mesh penetration; and Group 3, an onboard acclimated control group. Individuals that had escaped the trawl during fishing had the highest concentrations of hemolymph lactate (mean &gt; 6 mmol-l). Exposure to mesh penetration was in itself not stressful, as hemolymph lactate concentrations did not differ significantly between Group 2 and the control Group (mean 0.8 mmol-l versus 0.7 mmol-l, respectively). Additional stress factors during the capture and handling process likely added to the elevated lactate levels observed in Group 1. For the trawl escapees, the lactate clearance time during stress recovery was modeled as a function of exponential decay. Hemolymph lactate levels did not differ significantly among the three groups after 200 min, which suggested that Antarctic krill recovered from fishery-induced stress within this time period.</t>
  </si>
  <si>
    <t>[Krag, Ludvig A.; Herrmann, Bent; Skov, Peter, V] Tech Univ Denmark, DK-9850 Hirtshals, Denmark; [Krafft, Bjorn A.] Inst Marine Res, N-5870 Bergen, Norway; [Herrmann, Bent] SINTEF Ocean, DK-9850 Hirtshals, Denmark; [Herrmann, Bent] Artic Univ Norway, N-9037 Tromso, Norway</t>
  </si>
  <si>
    <t>Technical University of Denmark; Institute of Marine Research - Norway; SINTEF; UiT The Arctic University of Tromso</t>
  </si>
  <si>
    <t>Krag, LA (corresponding author), Tech Univ Denmark, DK-9850 Hirtshals, Denmark.</t>
  </si>
  <si>
    <t>lak@aqua.dtu.dk</t>
  </si>
  <si>
    <t>Skov, Peter V/C-2388-2011</t>
  </si>
  <si>
    <t>Skov, Peter V/0000-0001-7900-4431; Herrmann, Bent/0000-0003-1325-6198; Krag, Ludvig Ahm/0000-0002-1531-1499</t>
  </si>
  <si>
    <t>Havforskningsinstituttet (Institute of Marine Research) in Norway; Norwegian Research Council as part of the SILF project [243619]</t>
  </si>
  <si>
    <t>Havforskningsinstituttet (Institute of Marine Research) in Norway; Norwegian Research Council as part of the SILF project(Research Council of Norway)</t>
  </si>
  <si>
    <t>This study was financed by Havforskningsinstituttet (Institute of Marine Research) in Norway and the Norwegian Research Council as part of the SILF project (grant 243619). We also extend our gratitude to Olympic AS for providing FV Juvel and its crew to conduct this survey free of charge. We are most grateful to the captain, officers, and crew on board for logistical support provided during the cruise. We would like to thank the two anonymous reviewers and the Associate Editor for providing valuable suggestions and comments which greatly improved this manuscript.</t>
  </si>
  <si>
    <t>0278-0372</t>
  </si>
  <si>
    <t>1937-240X</t>
  </si>
  <si>
    <t>J CRUSTACEAN BIOL</t>
  </si>
  <si>
    <t>J. Crustac. Biol.</t>
  </si>
  <si>
    <t>10.1093/jcbiol/ruab013</t>
  </si>
  <si>
    <t>US9RQ</t>
  </si>
  <si>
    <t>WOS:000697763200005</t>
  </si>
  <si>
    <t>Vodopivez, C; Curtosi, A; Pelletier, E; Saint-Louis, R; Spairani, LU; Hernández, EA; Zakrajsek, A; Genez, A; Mac Cormack, WP</t>
  </si>
  <si>
    <t>Vodopivez, C.; Curtosi, A.; Pelletier, E.; Saint-Louis, R.; Spairani, L. U.; Hernandez, E. A.; Zakrajsek, A.; Genez, A.; Mac Cormack, W. P.</t>
  </si>
  <si>
    <t>Low levels of PAHs and organotin compounds in surface sediment samples from a broad marine area of 25 de Mayo (King George) Island, South Shetland Islands</t>
  </si>
  <si>
    <t>Antarctica; POPs; organotin compounds; PAHs; Maxwell Bay sediments</t>
  </si>
  <si>
    <t>POLYCYCLIC AROMATIC-HYDROCARBONS; PERSISTENT ORGANIC POLLUTANTS; ADMIRALTY BAY; POTTER COVE; TBT CONTAMINATION; FILDES PENINSULA; HEAVY-METALS; OIL-SPILL; ANTARCTICA; STATION</t>
  </si>
  <si>
    <t>The Northern region of the Antarctic Peninsula constitutes the area with the highest human presence in West Antarctica. The human presence, with all the activities associated such as logistic, scientific and tourism operations, represents a potential risk of chemical pollution with both, organic and inorganic contaminants. Under these conditions knowledge about the presence and levels of the main persistent organic pollutants (POPs) is essential to evaluate the environmental status of this ecologically relevant and sensitive area. In this work, which complements our previous study regarding trace elements, we performed the first regional-scale monitoring of 24 PAHs (16 of them included in EPA list of primary pollutant), and organotin compounds (OTCs:TBT, DBT and MBT) in surface sediment from 68 sites comprising six different areas in Maxwell Bay, southeast coast of 25 de Mayo (King George) Island. POPs were quantified in surface sediment samples (20-30 m depth) obtained during two summer Antarctic expeditions by gas chromatography-mass spectrometry (GC-MS). The two most anthropized areas (South Fildes and Potter Cove) showed moderated evidence of pollution for PAHs and OTC. In some sampling sites the concentration of total PAHs was higher than 100 ng/g dw, while TBT was detected in only five samples, two of them located in Potter Cove (ranged between 14 and 18 ng/g dw), and three, located in South Fildes area (ranged between 118 and 416 ng/g dw). Although POPs contamination was evidenced in some samples close to scientific stations, a pollution pattern was not clearly identified. (c) 2021 Elsevier B.V. All rights reserved.</t>
  </si>
  <si>
    <t>[Vodopivez, C.; Curtosi, A.; Spairani, L. U.; Hernandez, E. A.; Zakrajsek, A.; Genez, A.; Mac Cormack, W. P.] Inst Antartico Argentine, 25 De Mayo 1143,B1650HMK, San Martin, Buenos Aires, Argentina; [Pelletier, E.] Univ Quebec Rimouski, Inst Sci Mer Rimouski ISMER, 310 Allee Ursulines, Rimouski, PQ G5L 3A1, Canada; [Saint-Louis, R.] Univ Quebec Rimouski, Dept Biol Chim &amp; Geog, 310 Allee Ursulines, Rimouski, PQ G5L 3A1, Canada; [Hernandez, E. A.; Mac Cormack, W. P.] Univ Buenos Aires, Fac Farm &amp; Bioquim, Inst NANOBIOTEC UBA CONICET, Junin 956 6to Piso, Caba, Argentina</t>
  </si>
  <si>
    <t>Instituto Antartico Argentino; University of Quebec; Universite du Quebec a Rimouski; University of Quebec; Universite du Quebec a Rimouski; University of Buenos Aires</t>
  </si>
  <si>
    <t>Mac Cormack, WP (corresponding author), Univ Buenos Aires, Fac Farm &amp; Bioquim, Catedra Biotecnol, Junin 956 C1113AAZ 6to Piso, Caba, Argentina.</t>
  </si>
  <si>
    <t>wmac@ffyb.uba.ar</t>
  </si>
  <si>
    <t>Natural Sciences and Engineering Research Council of Canada; Canada Research Chairs in Ecotoxicology [PICTO 2010-106, PICT 2016 2771, 20020170200117BA]; European Commission through the Marie Curie Action IRSES [318718]</t>
  </si>
  <si>
    <t>Natural Sciences and Engineering Research Council of Canada(Natural Sciences and Engineering Research Council of Canada (NSERC)CGIAR); Canada Research Chairs in Ecotoxicology(Canada Research Chairs); European Commission through the Marie Curie Action IRSES</t>
  </si>
  <si>
    <t>We would like to thank Mathieu Babin (ISMER-UQAR) for his assistance in analytical measurements and Carlo Maresca von Beckh (IAA) for his sampling work in Antarctica. This study has been in part supported by the Natural Sciences and Engineering Research Council of Canada and the Canada Research Chairs in Ecotoxicology (E.P.) , grants PICTO 2010-106 and PICT 2016 2771 (ANCyPT) , grant 20020170200117BA (University of Buenos Aires) . We also had the financial support from the European Commission through the Marie Curie Action IRSES, project no 318718, IMCONet (Interdisciplinary Modelling of climate change in coastal Western Antarctica-Network for staff Exchange and Training) .</t>
  </si>
  <si>
    <t>10.1016/j.scitotenv.2021.147206</t>
  </si>
  <si>
    <t>SP1TO</t>
  </si>
  <si>
    <t>WOS:000659455600010</t>
  </si>
  <si>
    <t>Chiodi, AM; Zhang, CD; Cokelet, ED; Yang, Q; Mordy, CW; Gentemann, CL; Cross, JN; Lawrence-Slavas, N; Meinig, C; Steele, M; Harrison, DE; Stabeno, PJ; Tabisola, HM; Zhang, DX; Burger, EF; O'Brien, KM; Wang, MY</t>
  </si>
  <si>
    <t>Chiodi, Andrew M.; Zhang, Chidong; Cokelet, Edward D.; Yang, Qiong; Mordy, Calvin W.; Gentemann, Chelle L.; Cross, Jessica N.; Lawrence-Slavas, Noah; Meinig, Christian; Steele, Michael; Harrison, Don E.; Stabeno, Phyllis J.; Tabisola, Heather M.; Zhang, Dongxiao; Burger, Eugene F.; O'Brien, Kevin M.; Wang, Muyin</t>
  </si>
  <si>
    <t>Exploring the Pacific Arctic Seasonal Ice Zone With Saildrone USVs</t>
  </si>
  <si>
    <t>Arctic sea ice; saildrone; USVs; satellite sea-ice concentration; remote navigation; air-sea fluxes; surface marine observations; ice navigation</t>
  </si>
  <si>
    <t>UNMANNED SURFACE VEHICLE; SEA-ICE; OCEAN; SEAWATER; LAYER; EDGE</t>
  </si>
  <si>
    <t>More high-quality, in situ observations of essential marine variables are needed over the seasonal ice zone to better understand Arctic (or Antarctic) weather, climate, and ecosystems. To better assess the potential for arrays of uncrewed surface vehicles (USVs) to provide such observations, five wind-driven and solar-powered saildrones were sailed into the Chukchi and Beaufort Seas following the 2019 seasonal retreat of sea ice. They were equipped to observe the surface oceanic and atmospheric variables required to estimate air-sea fluxes of heat, momentum and carbon dioxide. Some of these variables were made available to weather forecast centers in real time. Our objective here is to analyze the effectiveness of existing remote ice navigation products and highlight the challenges and opportunities for improving remote ice navigation strategies with USVs. We examine the sources of navigational sea-ice distribution information based on post-mission tabulation of the sea-ice conditions encountered by the vehicles. The satellite-based ice-concentration analyses consulted during the mission exhibited large disagreements when the sea ice was retreating fastest (e.g., the 10% concentration contours differed between analyses by up to ?175 km). Attempts to use saildrone observations to detect the ice edge revealed that in situ temperature and salinity measurements varied sufficiently in ice bands and open water that it is difficult to use these variables alone as a reliable ice-edge indicator. Devising robust strategies for remote ice zone navigation may depend on developing the capability to recognize sea ice and initiate navigational maneuvers with cameras and processing capability onboard the vehicles.</t>
  </si>
  <si>
    <t>[Chiodi, Andrew M.; Yang, Qiong; Mordy, Calvin W.; Tabisola, Heather M.; Zhang, Dongxiao; O'Brien, Kevin M.; Wang, Muyin] Univ Washington, Cooperat Inst Climate Ocean &amp; Ecosyst Studies, Seattle, WA 98195 USA; [Chiodi, Andrew M.; Zhang, Chidong; Cokelet, Edward D.; Yang, Qiong; Mordy, Calvin W.; Cross, Jessica N.; Lawrence-Slavas, Noah; Meinig, Christian; Harrison, Don E.; Stabeno, Phyllis J.; Tabisola, Heather M.; Zhang, Dongxiao; Burger, Eugene F.; O'Brien, Kevin M.; Wang, Muyin] NOAA, Pacific Marine Environm Lab, 7600 Sand Point Way Ne, Seattle, WA 98115 USA; [Gentemann, Chelle L.] Farallon Inst, Petaluma, CA USA; [Gentemann, Chelle L.] Earth &amp; Space Res, Seattle, WA USA; [Steele, Michael] Univ Washington, Appl Phys Lab, Polar Sci Ctr, Seattle, WA 98105 USA; [Yang, Qiong] Climate Corp, Seattle, WA USA</t>
  </si>
  <si>
    <t>University of Washington; University of Washington Seattle; National Oceanic Atmospheric Admin (NOAA) - USA; University of Washington; University of Washington Seattle</t>
  </si>
  <si>
    <t>Chiodi, AM (corresponding author), Univ Washington, Cooperat Inst Climate Ocean &amp; Ecosyst Studies, Seattle, WA 98195 USA.;Chiodi, AM (corresponding author), NOAA, Pacific Marine Environm Lab, 7600 Sand Point Way Ne, Seattle, WA 98115 USA.</t>
  </si>
  <si>
    <t>andy.chiodi@noaa.gov</t>
  </si>
  <si>
    <t>zhang, chao/IXD-9965-2023; Harrison, Don E/D-9582-2013; Zhang, Cheng/JAD-2236-2023; Chiodi, Andrew/AAU-2272-2021; Mordy, Calvin W/J-6808-2017; zhang, chao/HTO-2468-2023; Wang, Muyin/K-4006-2014</t>
  </si>
  <si>
    <t>Chiodi, Andrew/0000-0001-7315-4121; Wang, Muyin/0000-0001-5233-4588; Cross, Jessica/0000-0002-6650-9905</t>
  </si>
  <si>
    <t>NOAA Global Ocean Monitoring and Observation program [100007298]; University of Washington's Joint Institute for the Study of the Atmosphere and Ocean under NOAA [NA15OAR4320063, 2020-1115]; MISST3 Project, NASA [80NSSC18K0837]; National Science Foundation [1751363]; NOAA Arctic Research Program</t>
  </si>
  <si>
    <t>NOAA Global Ocean Monitoring and Observation program(National Oceanic Atmospheric Admin (NOAA) - USA); University of Washington's Joint Institute for the Study of the Atmosphere and Ocean under NOAA(National Oceanic Atmospheric Admin (NOAA) - USA); MISST3 Project, NASA; National Science Foundation(National Science Foundation (NSF)); NOAA Arctic Research Program(National Oceanic Atmospheric Admin (NOAA) - USA)</t>
  </si>
  <si>
    <t>AC was supported by funding from the NOAA Global Ocean Monitoring and Observation program (FundRef #100007298). This publication is partially funded by the University of Washington's Joint Institute for the Study of the Atmosphere and Ocean under NOAA Cooperative AgreementNA15OAR4320063, Contribution No. 2020-1115. MS and CG were funded by the MISST3 Project, NASA grant 80NSSC18K0837. MW gratefully acknowledges support from National Science Foundation Grant 1751363 and the NOAA Arctic Research Program. This is PMEL contribution 5158 and EcoFOCI contribution 0959-RPPO.</t>
  </si>
  <si>
    <t>MAY 3</t>
  </si>
  <si>
    <t>10.3389/fmars.2021.640697</t>
  </si>
  <si>
    <t>SD4ZS</t>
  </si>
  <si>
    <t>WOS:000651382900001</t>
  </si>
  <si>
    <t>Haranczyk, H; Strzalka, K; Kubat, K; Andrzejowska, A; Olech, M; Jakubiec, D; Kijak, P; Palfner, G; Casanova-Katny, A</t>
  </si>
  <si>
    <t>Haranczyk, Hubert; Strzalka, K.; Kubat, K.; Andrzejowska, A.; Olech, M.; Jakubiec, D.; Kijak, P.; Palfner, G.; Casanova-Katny, Angelica</t>
  </si>
  <si>
    <t>A comparative analysis of gaseous phase hydration properties of two lichenized fungi: Niebla tigrina (Follman) Rundel &amp; Bowler from Atacama Desert and Umbilicaria antarctica Frey &amp; I. M. Lamb from Robert Island, Southern Shetlands Archipelago, maritime Antarctica</t>
  </si>
  <si>
    <t>Antarctica; Cryptogamic species; Polar tundra; Desiccation; Arid</t>
  </si>
  <si>
    <t>DEEP DEHYDRATION; TIME-DOMAIN; NMR; SORPTION; DESICCATION; INDUCTION; APRINA</t>
  </si>
  <si>
    <t>Gaseous phase hydration properties for thalli of Niebla tigrina from Atacama Desert, and for Umbilicaria antarctica from Isla Robert, maritime Antarctica, were analyzed using H-1-NMR relaxometry, spectroscopy, and sorption isotherm analysis. The molecular dynamics of residual water was monitored to distinguish the sequential binding very tightly, tightly, and loosely bound water fractions. These two species differ in hydration kinetics faster for Desert N. tigrina [A(1) = 0.51(4); t(1) = 0.51(5) h, t(2) = 15.0(1.9) h; total 0.7 for p/p(0) = 100%], compared to Antarctic U. antarctica [A(1) = 0.082(6), t(1) = 2.4(2) h, t(2) = [26.9(2.7)] h, total 0.6 for p/p(0) = 100%] from humid polar area. The H-1-NMR measurements distinguish signal from tightly bound water, and two signals from loosely bound water, with different chemical shifts higher for U. antarctica than for N. tigrina. Both lichen species contain different amounts of water-soluble solid fraction. For U. antarctica, the saturation concentration of water soluble solid fraction, c(s) = 0.55(9), and the dissolution effect is detected at least up to Delta m/m(0) = 0.7, whereas for N. tigrina with the similar saturation concentration, c(s) = 053(4), this fraction is detected up to the threshold hydration level equal to Delta M/m(0) = 0.3 only.</t>
  </si>
  <si>
    <t>[Haranczyk, Hubert; Kubat, K.; Andrzejowska, A.; Jakubiec, D.; Kijak, P.] Jagiellonian Univ, M Smoluchowski Inst Phys, Ul Lojasiewicza 11, PL-30348 Krakow, Poland; [Strzalka, K.] Jagiellonian Univ, Malopolska Ctr Biotechnol, Krakow, Poland; [Strzalka, K.] Jagiellonian Univ, Fac Biochem Biophys &amp; Biotechnol, Krakow, Poland; [Olech, M.] Jagiellonian Univ, Inst Bot, Krakow, Poland; [Olech, M.] Polish Acad Sci, Inst Biochem &amp; Biophys, Warsaw, Poland; [Palfner, G.] Univ Concepcion, Mycol &amp; Mycorrhizal Lab, Concepcion, Chile; [Casanova-Katny, Angelica] Catholic Univ Temuco, Fac Nat Resources, Plant Ecophysiol Lab, Temuco 03694, Chile</t>
  </si>
  <si>
    <t>Jagiellonian University; Jagiellonian University; Jagiellonian University; Jagiellonian University; Polish Academy of Sciences; Institute of Biochemistry &amp; Biophysics - Polish Academy of Sciences; Universidad de Concepcion; Universidad Catolica de Temuco</t>
  </si>
  <si>
    <t>Haranczyk, H (corresponding author), Jagiellonian Univ, M Smoluchowski Inst Phys, Ul Lojasiewicza 11, PL-30348 Krakow, Poland.;Casanova-Katny, A (corresponding author), Catholic Univ Temuco, Fac Nat Resources, Plant Ecophysiol Lab, Temuco 03694, Chile.</t>
  </si>
  <si>
    <t>hubert.haranczyk@uj.edu.pl; mcasanova@uct.cl</t>
  </si>
  <si>
    <t>Kubat, Karol/N-3955-2016; Casanova-Katny, Angelica/M-3994-2014</t>
  </si>
  <si>
    <t>Kubat, Karol/0000-0003-1121-4445; Casanova-Katny, Angelica/0000-0003-3860-1445; Andrzejowska, Aleksandra/0000-0003-4541-1455</t>
  </si>
  <si>
    <t>10.1007/s00792-021-01227-y</t>
  </si>
  <si>
    <t>RY2IV</t>
  </si>
  <si>
    <t>WOS:000646490800003</t>
  </si>
  <si>
    <t>Son, SW; Shin, JH; Park, HS; Choi, J</t>
  </si>
  <si>
    <t>Son, Seok-Woo; Shin, Ji-Hoon; Park, Hyo-Seok; Choi, Jung</t>
  </si>
  <si>
    <t>The Relationship Between the Zonal Index and Annular Mode Index in Reanalysis and CMIP5 Models</t>
  </si>
  <si>
    <t>ASIA-PACIFIC JOURNAL OF ATMOSPHERIC SCIENCES</t>
  </si>
  <si>
    <t>Zonal index; Arctic Oscillation (AO) index; Antarctic oscillation (AAO) index; Reanalyses; CMIP5 models</t>
  </si>
  <si>
    <t>The annular mode at the surface, referred to as the Arctic Oscillation (AO) in the Northern Hemisphere and the Antarctic Oscillation (AAO) in the Southern Hemisphere, is statistically defined by the leading mode of variability of sea level pressure (SLP) or geopotential height. Its principal component time series is set as the AO or AAO index. Although this metric is widely used, it needs an empirical orthogonal function analysis which introduces the complexity in the multi-model analysis. As an alternative measure, the zonal index (ZI), which is traditionally defined as the zonal-mean SLP difference between the two reference latitudes, has also been used. Here we re-evaluate the interannual and trend relationships between the ZI and the AO/AAO index using the two reanalysis datasets and 35 climate model simulations for both the present and future climate. For all datasets, the spatio-temporal variability of the Southern-Hemisphere ZI is almost identical to that of the AAO index. The ZI is still useful to examine the AO-related circulation variability and change in the Northern Hemisphere but mostly in the cold season. The data-dependent ZI, optimized for each data, exhibits a rather weak relationship with the AO index. This result suggests that the interannual variability and long-term trend of the midlatitude circulation can be concisely quantified by computing the fixed-latitude ZI in all seasons in the Southern Hemisphere and in the cold season in the Northern Hemisphere, not only for reanalysis data but also for climate model datasets which have significant biases varying from model to model.</t>
  </si>
  <si>
    <t>[Son, Seok-Woo; Shin, Ji-Hoon; Choi, Jung] Seoul Natl Univ, Sch Earth &amp; Environm Sci, 1 Gwanak Ro, Seoul 08826, South Korea; [Park, Hyo-Seok] Hanyang Univ, Dept Environm &amp; Marine Sci, Ansan, South Korea</t>
  </si>
  <si>
    <t>Seoul National University (SNU); Hanyang University</t>
  </si>
  <si>
    <t>Choi, J (corresponding author), Seoul Natl Univ, Sch Earth &amp; Environm Sci, 1 Gwanak Ro, Seoul 08826, South Korea.</t>
  </si>
  <si>
    <t>jungchoi@snu.ac.kr</t>
  </si>
  <si>
    <t>Son, Seok-Woo/A-8797-2013</t>
  </si>
  <si>
    <t>Ministry of Oceans and Fisheries of Korea (MOF) [20210427]; Basic Science Research Program through the National Research Foundation (NRF) of Korea - Ministry of Education [NRF-2019R1I1A1A01057039]</t>
  </si>
  <si>
    <t>Ministry of Oceans and Fisheries of Korea (MOF); Basic Science Research Program through the National Research Foundation (NRF) of Korea - Ministry of Education</t>
  </si>
  <si>
    <t>We thank to Jaemi Lee and Seoyeon Kim for proofreading. This work was supported by the project entitled Development of Advanced Science and Technology for Marine Environmental Impact Assessment [grant number 20210427], funded by the Ministry of Oceans and Fisheries of Korea (MOF). J. Choi was supported by the Basic Science Research Program through the National Research Foundation (NRF) of Korea funded by the Ministry of Education (NRF-2019R1I1A1A01057039). We acknowledge the World Climate Research Programme's Working Group on Coupled Modelling, which is responsible for CMIP, and we thank the climate modeling groups (listed in Section 2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original CMIP5 database can be downloaded from the ESGF server (https://esgf-node.llnl.gov).TheNNR and JRA-55 datasetswere obtained from NOAA and JRA web interfaces (https://psl.noaa.gov/data/gridded/data.ncep.reanalysis.html and https://jra.kishou.go.jp/JRA-55/index_en.html, respectively).</t>
  </si>
  <si>
    <t>KOREAN METEOROLOGICAL SOC</t>
  </si>
  <si>
    <t>1510 RENAISSANCE TOWER BLDG, 14, MALLIJAE-RO, MAPO-GU, SEOUL, SOUTH KOREA</t>
  </si>
  <si>
    <t>1976-7633</t>
  </si>
  <si>
    <t>1976-7951</t>
  </si>
  <si>
    <t>ASIA-PAC J ATMOS SCI</t>
  </si>
  <si>
    <t>Asia-Pac. J. Atmos. Sci.</t>
  </si>
  <si>
    <t>10.1007/s13143-021-00244-3</t>
  </si>
  <si>
    <t>YL7UU</t>
  </si>
  <si>
    <t>WOS:000646569000002</t>
  </si>
  <si>
    <t>Monferrer, NL; Leynaert, A; Tréguer, P; Gutiérrez-Rodríguez, A; Moriceau, B; Gallinari, M; Latasa, M; L'Helguen, S; Maguer, JF; Safi, K; Pinkerton, MH; Not, F</t>
  </si>
  <si>
    <t>Monferrer, Natalia Llopis; Leynaert, Aude; Treguer, Paul; Gutierrez-Rodriguez, Andres; Moriceau, Brivaela; Gallinari, Morgane; Latasa, Mikel; L'Helguen, Stephane; Maguer, Jean-Francois; Safi, Karl; Pinkerton, Matthew H.; Not, Fabrice</t>
  </si>
  <si>
    <t>Role of small Rhizaria and diatoms in the pelagic silica production of the Southern Ocean</t>
  </si>
  <si>
    <t>BIOGENIC SILICA; SEASONAL-CHANGES; WORLD OCEAN; WEDDELL SEA; ACID UPTAKE; ROSS SEA; RADIOLARIANS; ATLANTIC; CARBON; CYCLE</t>
  </si>
  <si>
    <t>We examined biogenic silica production and elementary composition (biogenic Si, particulate organic carbon and particulate organic nitrogen) of Rhizaria and diatoms in the upper 200 m along a transect in the Southwest Pacific sector of the Southern Ocean during austral summer (January-February 2019). From incubations using the Si-32 radioisotope, silicic acid uptake rates were measured at 15 stations distributed in the Polar Front Zone, the Southern Antarctic Circumpolar Current and the Ross Sea Gyre. Rhizaria cells are heavily silicified (up to 7.6 nmol Si cell(-1)), displaying higher biogenic Si content than similar size specimens found in other areas of the global ocean, suggesting a higher degree of silicification of these organisms in the silicic acid rich Southern Ocean. Despite their high biogenic Si and carbon content, the Si/C molar ratio (average of 0.05 +/- 0.03) is quite low compared to that of diatoms and relatively constant regardless of the environmental conditions. The direct measurements of Rhizaria's biogenic Si production (0.8-36.8 mu mol Si m(-2) d(-1)) are of the same order of magnitude than previous indirect estimations, confirming the importance of the Southern Ocean for the global Rhizaria silica production. However, diatoms largely dominated the biogenic Si standing stock and production of the euphotic layer, with low rhizarians' abundances and biogenic Si production (no more than 1%). In this manuscript, we discuss the Antarctic paradox of Rhizaria, that is, the potential high accumulation rates of biogenic Si due to Rhizaria in siliceous sediments despite their low production rates in surface waters.</t>
  </si>
  <si>
    <t>[Monferrer, Natalia Llopis; Leynaert, Aude; Treguer, Paul; Moriceau, Brivaela; Gallinari, Morgane; L'Helguen, Stephane; Maguer, Jean-Francois] Univ Brest, CNRS, IRD, IFREMER,LEMAR, F-29280 Plouzane, France; [Monferrer, Natalia Llopis; Not, Fabrice] Sorbonne Univ, CNRS, UMR7144, Ecol Marine Plankton Team,Stn Biol Roscoff, Roscoff, France; [Gutierrez-Rodriguez, Andres; Pinkerton, Matthew H.] Natl Inst Water &amp; Atmospher Res, Wellington, New Zealand; [Latasa, Mikel] Ctr Oceanog Gijon Xixon, Inst Espanol Oceanog IEO, Gijon Xixon, Asturias, Spain; [Safi, Karl] Natl Inst Water &amp; Atmospher Res, Hamilton, New Zealand</t>
  </si>
  <si>
    <t>Universite de Bretagne Occidentale; Centre National de la Recherche Scientifique (CNRS); Ifremer; Institut de Recherche pour le Developpement (IRD); Sorbonne Universite; Centre National de la Recherche Scientifique (CNRS); CNRS - Institute of Ecology &amp; Environment (INEE); National Institute of Water &amp; Atmospheric Research (NIWA) - New Zealand; National Institute of Water &amp; Atmospheric Research (NIWA) - New Zealand</t>
  </si>
  <si>
    <t>Monferrer, NL (corresponding author), Univ Brest, CNRS, IRD, IFREMER,LEMAR, F-29280 Plouzane, France.;Monferrer, NL (corresponding author), Sorbonne Univ, CNRS, UMR7144, Ecol Marine Plankton Team,Stn Biol Roscoff, Roscoff, France.</t>
  </si>
  <si>
    <t>natalia.llopismon@univ-brest.fr</t>
  </si>
  <si>
    <t>Moriceau, Brivaela/I-9357-2012; Gutierrez Rodriguez, Andres/JLM-2332-2023; Latasa, Mikel/D-2202-2011; Leynaert, Aude/A-4211-2010</t>
  </si>
  <si>
    <t>Gutierrez Rodriguez, Andres/0000-0003-1274-3752; Latasa, Mikel/0000-0002-8202-0923; Leynaert, Aude/0000-0001-8226-3733; Safi, Karl/0000-0002-7785-1909; Treguer, Paul/0000-0001-9043-0343; Moriceau, Brivaela/0000-0001-8576-1260; L'Helguen, Stephane/0000-0002-2395-606X; Jean-Francois, Maguer/0000-0003-3069-2821</t>
  </si>
  <si>
    <t>MBIE Endeavour Fund programme Ross-RAMP [C01X1710]; NIWA Strategic Science Investment Fund (SIFF) Coasts and Oceans, Programme 4; French National program LEFE (Les Enveloppes Fluides et l'Environnement); ANR RadiCal [ANR-18-CE01-0011]; Agence Nationale de la Recherche (ANR) [ANR-18-CE01-0011] Funding Source: Agence Nationale de la Recherche (ANR)</t>
  </si>
  <si>
    <t>MBIE Endeavour Fund programme Ross-RAMP; NIWA Strategic Science Investment Fund (SIFF) Coasts and Oceans, Programme 4; French National program LEFE (Les Enveloppes Fluides et l'Environnement); ANR RadiCal(Agence Nationale de la Recherche (ANR)); Agence Nationale de la Recherche (ANR)(Agence Nationale de la Recherche (ANR))</t>
  </si>
  <si>
    <t>The authors would like to thank the captain and crew of R.V. Tangaroa for their efforts in facilitating the sampling during TAN1901, as well as other participants for their help. We thank H. Whitby, N. van Horsten, M. Lopez-Acosta, and Wen-Hsuan Liao for their valuable help. We are particularly grateful to D. Boltovskoy and E. Thiebaut for their helpful comments and fruitful discussions. We also would like to thank M. Legoff for the silicic acid analysis. This work was funded in New Zealand by MBIE Endeavour Fund programme Ross-RAMP (C01X1710) with assistance from NIWA Strategic Science Investment Fund (SIFF) Coasts and Oceans, Programme 4. This work was supported by the French National program LEFE (Les Enveloppes Fluides et l'Environnement) and ANR RadiCal (ANR-18-CE01-0011). We thank the anonymous reviewers for constructive comments.</t>
  </si>
  <si>
    <t>10.1002/lno.11743</t>
  </si>
  <si>
    <t>WOS:000646279600001</t>
  </si>
  <si>
    <t>Carrasquero, SI</t>
  </si>
  <si>
    <t>Irene Carrasquero, Silvia</t>
  </si>
  <si>
    <t>The geological collection from the Scottish National Antarctic Expedition (1902-04) in the Museo de La Plata, Argentina</t>
  </si>
  <si>
    <t>SCOTTISH JOURNAL OF GEOLOGY</t>
  </si>
  <si>
    <t>In December 1903, William Speirs Bruce, leader of the Scottish National Antarctic Expedition, arrived in Buenos Aires and contacted Francisco Moreno, director of the Museo de La Plata to request his assistance. Bruce asked Moreno to be an intermediary with the Argentine government and to facilitate Bruce's wish for Argentina to take over the meteorological station that the Scottish expedition had established on Laurie Island (South Orkney Islands). Moreno was please to provide the necessary assistance and was instrumental in Bruce achieving his ambition. As a gesture of appreciation, before leaving Buenos Aires Bruce presented a small collection of Laurie Island rock specimens to Moreno as a donation to the Museo de La Plata. This donation initiated the museum's Antarctic collection.</t>
  </si>
  <si>
    <t>[Irene Carrasquero, Silvia] Univ Nacl La Plata, Div Geol Aplicada, Museo La Plata, Fac Ciencias Nat &amp; Museo, RA-1900 La Plata, Argentina</t>
  </si>
  <si>
    <t>National University of La Plata; Museo La Plata</t>
  </si>
  <si>
    <t>Carrasquero, SI (corresponding author), Univ Nacl La Plata, Div Geol Aplicada, Museo La Plata, Fac Ciencias Nat &amp; Museo, RA-1900 La Plata, Argentina.</t>
  </si>
  <si>
    <t>silviacarrasquero@yahoo.ar</t>
  </si>
  <si>
    <t>Carrasquero, Silvia Irene/0000-0002-1801-1707</t>
  </si>
  <si>
    <t>0036-9276</t>
  </si>
  <si>
    <t>2041-4951</t>
  </si>
  <si>
    <t>SCOT J GEOL</t>
  </si>
  <si>
    <t>Scott. J. Geol.</t>
  </si>
  <si>
    <t>sjg2020-029</t>
  </si>
  <si>
    <t>10.1144/sjg2020-029</t>
  </si>
  <si>
    <t>ZI3SI</t>
  </si>
  <si>
    <t>WOS:000761543700001</t>
  </si>
  <si>
    <t>Ibañez, AE; Di Fonzo, C; Torres, D; Ansaldo, M; Fernandez, J; Montalti, D</t>
  </si>
  <si>
    <t>Ibanez, Andres E.; Di Fonzo, Carla; Torres, Diego; Ansaldo, Martin; Fernandez, Julieta; Montalti, Diego</t>
  </si>
  <si>
    <t>Phenotypic plasticity in Pygoscelis adeliae physiology and immunity under anthropogenic pressure: a proteomic and biochemical scenario</t>
  </si>
  <si>
    <t>GEOGRAPHIC-VARIATION; HUMORAL IMMUNITY; PSITTACINE BIRDS; OXIDATIVE STRESS; GENTOO PENGUINS; TRADE-OFFS; SEABIRDS; PROTEIN; WILD; DISTURBANCE</t>
  </si>
  <si>
    <t>The capacity of seabirds to shape their physiological and immune phenotypes may often be constrained by the ecological context. While phenotypic plasticity in physiological traits has been previously studied, the molecular mechanisms underlying phenotype plasticity in response to environmental stress have been little explored. This prompted us to enquire about how the nutritional and immune status are involved in physiological adaptations in breeding seabirds under anthropogenic pressure. At Esperanza (Hope) Bay, Antarctic Peninsula exists one of the biggest breeding penguin colony of Pygoscelis adeliae (Adelie). At this location, penguins nest nearby the Argentinian Esperanza Station and, therefore, are exposed to high levels of disturbance, whereas there is a low disturbed area, where penguins also breed far away from the Station. In both areas, the nutritional and immune status in breeding individuals was addressed and serum protein expression level was analyzed using a proteomic approach. Body mass, proteins, albumin, and triacylglycerol were higher in penguins from the low disturbance area, whereas uric acid increased in individuals from the disturbed area, indicating a poorer body condition of penguins under anthropogenic pressure. Immune responses were elevated in penguins from the disturbed area (IgY, gamma-globulins and hemagglutinating activity). Finally, individuals breeding under anthropogenic pressure overexpressed proteins with immune, antioxidant, and metabolic functions. The poor nutritional status of penguins under disturbance may be the consequence of the reallocation of resources to the immune system. Altogether, this would constitute a potential strategy to preserve an adequate immune phenotype under stressed environments.</t>
  </si>
  <si>
    <t>[Ibanez, Andres E.; Torres, Diego; Montalti, Diego] FCNyM UNLP, Secc Ornitol, Div Zool Vert, Paseo Bosque S-N,B1900FWA, La Plata, Buenos Aires, Argentina; [Ibanez, Andres E.; Montalti, Diego] Consejo Nacl Invest Cient &amp; Tecn, Ctr Cient Tecnol, La Plata, Argentina; [Di Fonzo, Carla; Ansaldo, Martin; Montalti, Diego] Inst Antartico Argentino, Lab Ecofisiol &amp; Ecotoxicol, 25 Mayo 1143,B1650HMK, Buenos Aires, DF, Argentina; [Fernandez, Julieta] Univ Nacl La Plata, Fac Ciencias Exactas, Inst Biotecnol &amp; Biol Mol IBBM CCT CONICET La Pla, Dept Ciencias Biol, La Plata, Argentina</t>
  </si>
  <si>
    <t>National University of La Plata; Consejo Nacional de Investigaciones Cientificas y Tecnicas (CONICET); Instituto Antartico Argentino; National University of La Plata</t>
  </si>
  <si>
    <t>Ibañez, AE (corresponding author), FCNyM UNLP, Secc Ornitol, Div Zool Vert, Paseo Bosque S-N,B1900FWA, La Plata, Buenos Aires, Argentina.;Ibañez, AE (corresponding author), Consejo Nacl Invest Cient &amp; Tecn, Ctr Cient Tecnol, La Plata, Argentina.</t>
  </si>
  <si>
    <t>aeibanez@fcnym.unlp.edu.ar</t>
  </si>
  <si>
    <t>Fernandez, Julieta/0000-0001-7803-5885</t>
  </si>
  <si>
    <t>National Geographic Waitt Grant Program [W401-15]; Agencia Nacional de Promocion Cientifica y Tecnologica [PICT-2014-3323]; Proyecto de Investigacion Plurianual (PIP-CONICET) [0158, PICTA-2010-0080]</t>
  </si>
  <si>
    <t>National Geographic Waitt Grant Program(National Geographic Society); Agencia Nacional de Promocion Cientifica y Tecnologica(ANPCyTSpanish Government); Proyecto de Investigacion Plurianual (PIP-CONICET)</t>
  </si>
  <si>
    <t>The study was supported by National Geographic Waitt Grant Program (#W401-15) and Agencia Nacional de Promocion Cientifica y Tecnologica (PICT-2014-3323) (to AEI), Proyecto de Investigacion Plurianual (PIP-CONICET no: 0158) and (PICTA-2010-0080) (to DM). Field-work activities and logistic were supported by the Direccion Nacional del Antartico (DNA) and Instituto Antartico Argentino (IAA).</t>
  </si>
  <si>
    <t>10.1007/s00227-021-03876-1</t>
  </si>
  <si>
    <t>WQ4YN</t>
  </si>
  <si>
    <t>WOS:000713823900002</t>
  </si>
  <si>
    <t>Gabis, IP</t>
  </si>
  <si>
    <t>Gabis, I. P.</t>
  </si>
  <si>
    <t>Quasi-Biennial Oscillation of Zonal Wind in the Equatorial Stratosphere and Its Influence on Interannual Fluctuations in the Depth of the Antarctic Ozone Hole</t>
  </si>
  <si>
    <t>quasi-biennial oscillation of equatorial stratospheric zonal wind; Antarctic total ozone; ozone hole; circumpolar vortex; long-term forecasting</t>
  </si>
  <si>
    <t>QBO; PREDICTION; MODULATION; FORECAST</t>
  </si>
  <si>
    <t>The Antarctic ozone hole is observed annually in spring due to the complex influence of photochemical and dynamical processes. The increased concentration of ozone-depleting substances in the atmosphere causes a long-term negative trend in total ozone (TO). Intense interannual fluctuations in TO against a background of the long-term trend associated with dynamic atmospheric processes do not allow assessing definitely the direction of the trend (growth/decline) in the recent years. Studying the dependence of interannual fluctuations in the ozone hole intensity on the equatorial quasi-biennial oscillation (QBO) allows identifying natural causes of variations and assessing the trend due to anthropogenic factors. The long-term QBO forecast allows predicting different phenomena that depend on the QBO.</t>
  </si>
  <si>
    <t>[Gabis, I. P.] Arctic &amp; Antarctic Res Inst, Ul Beringa 38, St Petersburg 199397, Russia</t>
  </si>
  <si>
    <t>Arctic &amp; Antarctic Research Institute</t>
  </si>
  <si>
    <t>Gabis, IP (corresponding author), Arctic &amp; Antarctic Res Inst, Ul Beringa 38, St Petersburg 199397, Russia.</t>
  </si>
  <si>
    <t>gabis@ciari.nw.ru</t>
  </si>
  <si>
    <t>10.3103/S1068373921050010</t>
  </si>
  <si>
    <t>UJ0BI</t>
  </si>
  <si>
    <t>WOS:000690960200001</t>
  </si>
  <si>
    <t>Ivanova, NS</t>
  </si>
  <si>
    <t>Ivanova, N. S.</t>
  </si>
  <si>
    <t>A Statistical Model of Winter/Spring Polar Ozone</t>
  </si>
  <si>
    <t>polar ozone; polar temperature; mean zonal wind</t>
  </si>
  <si>
    <t>DEPLETION; AEROSOLS; CLOUDS</t>
  </si>
  <si>
    <t>Satellite measurements provided by NASA (USA) at http://ozonewatch.gsfc.nasa.gov are used to study the variability and interdependence of polar ozone, polar temperature, and mean zonal wind. A model of winter/spring polar ozone in the Arctic and Antarctic is constructed using data on polar temperatures at 30, 70, and 100 hPa levels and mean zonal wind at 10 and 70 hPa levels in the latitude zone of 45 degrees-75 degrees. The results of the statistical analysis of the 1979-2020 polar ozone calculation errors are presented.</t>
  </si>
  <si>
    <t>[Ivanova, N. S.] Cent Aerol Observ, Ul Pervomaiskaya 3, Dolgoprudnyi 141700, Moscow Oblast, Russia</t>
  </si>
  <si>
    <t>Ivanova, NS (corresponding author), Cent Aerol Observ, Ul Pervomaiskaya 3, Dolgoprudnyi 141700, Moscow Oblast, Russia.</t>
  </si>
  <si>
    <t>oom@cao-rhms.ru</t>
  </si>
  <si>
    <t>10.3103/S1068373921050022</t>
  </si>
  <si>
    <t>WOS:000690960200002</t>
  </si>
  <si>
    <t>Bijl, PK; Guerstein, GR; Jaimes, EAS; Sluijs, A; Casadio, S; Valencia, V; Amenábar, CR; Encinas, A</t>
  </si>
  <si>
    <t>Bijl, Peter K.; Guerstein, G. Raquel; Jaimes, Edgar A. Sanmiguel; Sluijs, Appy; Casadio, Silvio; Valencia, Victor; Amenabar, Cecilia R.; Encinas, Alfonso</t>
  </si>
  <si>
    <t>Campanian-Eocene dinoflagellate cyst biostratigraphy in the Southern Andean foreland basin: Implications for Drake Passage throughflow</t>
  </si>
  <si>
    <t>ANDEAN GEOLOGY</t>
  </si>
  <si>
    <t>Dinoflagellate cysts; Biostratigraphy; Radiometric dating; Drake Passage; Paleoceanography; Endemism</t>
  </si>
  <si>
    <t>PLASMA-MASS SPECTROMETRY; U-PB; SOUTHWEST PACIFIC; LATE PALEOCENE; AUSTRAL BASIN; PALEOGENE; MIDDLE; ZONATION; RECONSTRUCTIONS; STRATIGRAPHY</t>
  </si>
  <si>
    <t>The tectonic opening of the Tasmanian Gateway and Drake Passage represented crucial geographic requirements for the Cenozoic development of the Antarctic Circumpolar Current (ACC). Particularly the tectonic complexity of Drake Passage has hampered the exact dating of the opening and deepening phases, and the consequential onset of throughflow of the ACC. One of the obstacles is putting key regional tectonic events, recorded in southern Patagonian sediments, in absolute time. For that purpose, we have collected Campanian-Eocene sediment samples from the Chilean sector of Southern Patagonia. Using U-Pb radiometric dating on zircons and dinoflagellate cyst biostratigraphy, we updated age constraints for the sedimentary formations, and the hiatuses in between. Thick sedimentary packages of shallow-marine and continental sediments were deposited in the foreland basin during the early Campanian, mid-Paleocene, the Paleocene-Eocene boundary interval and the middle Eocene, which represent phases of increased foreland subsidence. We interpret regional sedimentary hiatuses spanning the late Campanian, early-to mid-Paleocene, mid-Eocene and latest Eocene-early Oligocene to indicate times of reduced foreland subsidence, relative to sediment supply. We relate these changes to varying subduction rates and Andean orogeny. Dinoflagellate cyst assemblages suggest that the region was under the influence of the Antarctic-derived waters through the western boundary current of the Subpolar Gyre, developed in the southwest Atlantic Ocean and thus argues for limited throughflow through the Drake Passage until at least the latest Eocene. However, the proliferation of dinoflagellate endemism we record in the southwest Atlantic is coeval with that in the southwest Pacific, and on a species level, dinoflagellate cyst assemblages are the same in these two regions. This suggests that both regions were oceanographically connected throughout the early Paleogene, likely through a shallow opening of a restricted Drake Passage. This implies a continuous surface-water connection between the south Pacific and the South Atlantic throughout the late Cretaceous-early Paleogene.</t>
  </si>
  <si>
    <t>[Bijl, Peter K.; Sluijs, Appy] Univ Utrecht, Dept Earth Sci, Lab Palaeobot &amp; Palynol, Heidelberglaan 8, NL-3584 CS Utrecht, Netherlands; [Guerstein, G. Raquel] Univ Nacl Sur, Dept Geol, Inst Geol Sur, CONICET, Av Alem 1253,Cuerpo B 2 Piso, Bahia Blanca, Buenos Aires, Argentina; [Jaimes, Edgar A. Sanmiguel] Univ Andres Bello, Fac Ingn, Autopista Concepcion Talcahuano, Talcahuano 7100, Chile; [Casadio, Silvio] Univ Nacl Rio Negro, Inst Invest Paleobiol &amp; Geol, Av Roca 1242, Gen Roca, Rio Negro, Argentina; [Valencia, Victor] Washington State Univ, Sch Environm, Pullman, WA 99163 USA; [Amenabar, Cecilia R.] Univ Buenos Aires, Inst Estudios Andinos Don Pablo Groeber, Inst Antartico Argentino, CONICET,Dept Ciencias Geol, Intendente Guiraldes 2160,C1428EGA, Buenos Aires, DF, Argentina; [Encinas, Alfonso] Univ Concepcion, Fac Ciencias Quim, Dept Ciencias Tierra, Edmundo Larenas 129,Casilla 160-C, Concepcion, Chile</t>
  </si>
  <si>
    <t>Utrecht University; National University of the South; Consejo Nacional de Investigaciones Cientificas y Tecnicas (CONICET); Universidad Andres Bello; Washington State University; University of Buenos Aires; Consejo Nacional de Investigaciones Cientificas y Tecnicas (CONICET); Instituto Antartico Argentino; Universidad de Concepcion</t>
  </si>
  <si>
    <t>Bijl, PK (corresponding author), Univ Utrecht, Dept Earth Sci, Lab Palaeobot &amp; Palynol, Heidelberglaan 8, NL-3584 CS Utrecht, Netherlands.</t>
  </si>
  <si>
    <t>p.k.bijl@uu.nl; raquel.guerstein@uns.edu.ar; geosanmiguel@hoimail.com; A.shuijs@uu.nl; scasadio@unrn.edu.ar; victorv@email.arizona.edu; cr_amenabar@yahoo.com.ar; alfonso.encinas@gmail.com</t>
  </si>
  <si>
    <t>Sluijs, Appy/B-3726-2009</t>
  </si>
  <si>
    <t>Sanmiguel, Edgar/0000-0001-5688-6742; Bijl, Peter/0000-0002-1710-4012; Guerstein, G. Raquel/0000-0003-1623-1084</t>
  </si>
  <si>
    <t>NWO VENI grant [863.13.002]; PI-UNRN [40A559]; Conicyt, Fondecyt Project [1151146]; European Research Council [771497]; Netherlands Earth System Science Centre through a Gravitation Grant by the Netherlands Ministry of Education, Culture and Science; Dutch Research Council NWO</t>
  </si>
  <si>
    <t>NWO VENI grant; PI-UNRN; Conicyt, Fondecyt Project(Comision Nacional de Investigacion Cientifica y Tecnologica (CONICYT)CONICYT FONDECYT); European Research Council(European Research Council (ERC)); Netherlands Earth System Science Centre through a Gravitation Grant by the Netherlands Ministry of Education, Culture and Science; Dutch Research Council NWO(Netherlands Organization for Scientific Research (NWO))</t>
  </si>
  <si>
    <t>The authors thank N. Welters, G. Dammers and N. Janssen for processing samples for palynology. We thank T. Markus for help drafting figure 1. The authors thank the kind hospitality and assistance from the people at Enap during the collection of field samples, and Ingenieria Civil Vicente Company for access to sites and core material. PKB acknowledges funding for this project through NWO VENI grant No. 863.13.002. SC was funded by PI-UNRN 40A559. AE was funded by Conicyt, Fondecyt Project 1151146. We thank J. Riding an the editor for their reviews.; PKB designed the research. PKB, SC, EASJ and AS collected the sediment samples. SC and EASJ provided lithological column information. AE and EASJ provided U-Pb ages. GRG and CRA contributed to the discussion and writing of the paper. PKB analysed the samples for dinoflagellate cysts and wrote the paper with input from all authors. AS thanks the European Research Council for Consolidator Grant 771497 (SPANC) and the Netherlands Earth System Science Centre, funded through a Gravitation Grant by the Netherlands Ministry of Education, Culture and Science and the Dutch Research Council NWO.; The authors declare no competing financial interests.</t>
  </si>
  <si>
    <t>SERVICIO NACIONAL GEOLOGIA MINERVA</t>
  </si>
  <si>
    <t>SANTIAGO</t>
  </si>
  <si>
    <t>AVDA SANTA MARIO 0104, CASILLA 10465, SANTIAGO, CHILE</t>
  </si>
  <si>
    <t>0718-7106</t>
  </si>
  <si>
    <t>ANDEAN GEOL</t>
  </si>
  <si>
    <t>Andean Geol.</t>
  </si>
  <si>
    <t>10.5027/andgeoV48n2-3339</t>
  </si>
  <si>
    <t>TS1OD</t>
  </si>
  <si>
    <t>WOS:000679426500001</t>
  </si>
  <si>
    <t>Mikryakov, DV; Gordeev, II; Mikryakov, VR</t>
  </si>
  <si>
    <t>Mikryakov, D., V; Gordeev, I. I.; Mikryakov, V. R.</t>
  </si>
  <si>
    <t>Lipid Composition and Oxidation Processes in the Blood and Internal Organs of the Antarctic Toothfish Dissostichus mawsoni Norman, 1937 (Nototheniidae)</t>
  </si>
  <si>
    <t>RUSSIAN JOURNAL OF MARINE BIOLOGY</t>
  </si>
  <si>
    <t>Antarctic toothfish Dissostichus mawsoni; blood; kidney; spleen; liver; lipids and lipid fractions; lipid peroxidation; antioxidant activity</t>
  </si>
  <si>
    <t>FISH; GLYCOPROTEINS; SEA</t>
  </si>
  <si>
    <t>The contents of total lipids and lipid fractions, the intensity of oxidative processes, and the antioxidant defense level in the blood, kidney, spleen, and liver of the Antarctic toothfish Dissostichus mawsoni (Actinopterygii: Nototheniidae) that inhabit stably cold Antarctic waters were studied depending on gender and age. This study revealed no significant differences between males and females. Significant variations in some parameters between the age groups of toothfish were found in the blood and liver. However, the differences in most of the studied parameters were insignificant, which is probably due to the capture of fish during their feeding period. The high content of total lipids, the content of stored triacylglycerols, and the antioxidant defense level in the blood and organs of D. mawsoni reflect the physiological features that make it possible for the species to live in Antarctic conditions.</t>
  </si>
  <si>
    <t>[Mikryakov, D., V; Mikryakov, V. R.] Russian Acad Sci, Papanin Inst Biol Inland Waters, Borok 152742, Russia; [Gordeev, I. I.] Russian Fed Res Inst Fisheries &amp; Oceanog, Moscow 107140, Russia; [Gordeev, I. I.] Lomonosov Moscow State Univ, Moscow 119991, Russia</t>
  </si>
  <si>
    <t>Russian Academy of Sciences; Papanin Institute for Biology of Inland Waters; Research lnstitute of Fisheries &amp; Oceanography; Lomonosov Moscow State University</t>
  </si>
  <si>
    <t>Mikryakov, DV (corresponding author), Russian Acad Sci, Papanin Inst Biol Inland Waters, Borok 152742, Russia.</t>
  </si>
  <si>
    <t>daniil@ibiw.ru</t>
  </si>
  <si>
    <t>Mikryakov, Daniil В/B-2421-2017; Gordeev, Ilya/F-2972-2017</t>
  </si>
  <si>
    <t>Gordeev, Ilya/0000-0002-6650-9120</t>
  </si>
  <si>
    <t>[AAAA-A18-118012690123-4]</t>
  </si>
  <si>
    <t>This research was performed under a state assignment (project no AAAA-A18-118012690123-4).</t>
  </si>
  <si>
    <t>MAIK NAUKA/INTERPERIODICA/SPRINGER</t>
  </si>
  <si>
    <t>233 SPRING ST, NEW YORK, NY 10013-1578 USA</t>
  </si>
  <si>
    <t>1063-0740</t>
  </si>
  <si>
    <t>1608-3377</t>
  </si>
  <si>
    <t>RUSS J MAR BIOL+</t>
  </si>
  <si>
    <t>Russ. J. Mar. Biol.</t>
  </si>
  <si>
    <t>10.1134/S1063074021030093</t>
  </si>
  <si>
    <t>TQ1KZ</t>
  </si>
  <si>
    <t>WOS:000678047700003</t>
  </si>
  <si>
    <t>Morozov, EG; Frey, DI; Krechik, VA; Kapustina, MV; Pisareva, MN</t>
  </si>
  <si>
    <t>Morozov, E. G.; Frey, D., I; Krechik, V. A.; Kapustina, M., V; Pisareva, M. N.</t>
  </si>
  <si>
    <t>Structure of the bottom water flow in the Vema Channel based on the measurements from the R/V Akademik Sergey Vavilov</t>
  </si>
  <si>
    <t>Antarctic Bottom Water; Vema Channel; abyssal flows; R/V Akademik Sergey Vavilov</t>
  </si>
  <si>
    <t>CIRCULATION; BOUNDARY; ATLANTIC</t>
  </si>
  <si>
    <t>The bottom waters in the Atlantic Ocean originate from the Weddell Sea. These waters of Antarctic origin flow from the Argentine Basin to the Brazil Basin along three pathways: through the Vema and Hunter channels and over the Santos Plateau. The Vema Channel is a conduit for the coldest and densest Antarctic waters to the north. It is a narrow passage between two terraces with a minimum width of 16 km. The propagation of bottom waters in the deep-water Vema Channel occurs as a well-mixed jet. The coldest part of the flow is displaced to the eastern slope of the deep-water channel due to the influence of the bottom Ekman friction. The second core of the flow is observed in the upper part of the channel over its western slope. This jet was also found in the continuation of the AABW flow at the exit from the Vema Channel. We analyze data over the section across the Vema Channel collected in several years of research from the R/V Akademik Sergey Vavilov.</t>
  </si>
  <si>
    <t>[Morozov, E. G.; Frey, D., I; Krechik, V. A.; Kapustina, M., V; Pisareva, M. N.] Shirshov Inst Oceanol RAS, Moscow, Russia</t>
  </si>
  <si>
    <t>Morozov, EG (corresponding author), Russian Acad Sci, Shirshov Inst Oceanol, 36 Nakhimovskii Prospect, Moscow 117997, Russia.</t>
  </si>
  <si>
    <t>Morozov, Eugene G/L-3023-2018; Pisareva, Maria N/D-4977-2017; Krechik, Viktor/J-9941-2016</t>
  </si>
  <si>
    <t>Pisareva, Maria N/0000-0002-9545-7649; Krechik, Viktor/0000-0001-6440-060X</t>
  </si>
  <si>
    <t>Russian Science Foundation [21-77-20004]; Russian Science Foundation [21-77-20004] Funding Source: Russian Science Foundation</t>
  </si>
  <si>
    <t>The work was carried out within the State Task of the Russian Federation 0128-20190008; the data analysis was supported by the Russian Science Foundation (grant 21-77-20004).</t>
  </si>
  <si>
    <t>ES3003</t>
  </si>
  <si>
    <t>10.2205/2021ES000769</t>
  </si>
  <si>
    <t>TM9ER</t>
  </si>
  <si>
    <t>WOS:000675850500004</t>
  </si>
  <si>
    <t>Dimmock, AP; Welling, DT; Rosenqvist, L; Forsyth, C; Freeman, MP; Rae, IJ; Viljanen, A; Vandegriff, E; Boynton, RJ; Balikhin, MA; Yordanova, E</t>
  </si>
  <si>
    <t>Dimmock, A. P.; Welling, D. T.; Rosenqvist, L.; Forsyth, C.; Freeman, M. P.; Rae, I. J.; Viljanen, A.; Vandegriff, E.; Boynton, R. J.; Balikhin, M. A.; Yordanova, E.</t>
  </si>
  <si>
    <t>Modeling the Geomagnetic Response to the September 2017 Space Weather Event Over Fennoscandia Using the Space Weather Modeling Framework: Studying the Impacts of Spatial Resolution</t>
  </si>
  <si>
    <t>Geomagnetic storm; GICs; model validation; space weather; substorms; SWMF</t>
  </si>
  <si>
    <t>EXTREME GEOELECTRIC FIELDS; NATURAL-GAS PIPELINE; INDUCED CURRENTS; TRANSITION; SIMULATION; DRIVERS; SYSTEM; STORM; CME</t>
  </si>
  <si>
    <t>We must be able to predict and mitigate against geomagnetically induced current (GIC) effects to minimize socio-economic impacts. This study employs the space weather modeling framework (SWMF) to model the geomagnetic response over Fennoscandia to the September 7-8, 2017 event. Of key importance to this study is the effects of spatial resolution in terms of regional forecasts and improved GIC modeling results. Therefore, we ran the model at comparatively low, medium, and high spatial resolutions. The virtual magnetometers from each model run are compared with observations from the IMAGE magnetometer network across various latitudes and over regional-scales. The virtual magnetometer data from the SWMF are coupled with a local ground conductivity model which is used to calculate the geoelectric field and estimate GICs in a Finnish natural gas pipeline. This investigation has lead to several important results in which higher resolution yielded: (1) more realistic amplitudes and timings of GICs, (2) higher amplitude geomagnetic disturbances across latitudes, and (3) increased regional variations in terms of differences between stations. Despite this, substorms remain a significant challenge to surface magnetic field prediction from global magnetohydrodynamic modeling. For example, in the presence of multiple large substorms, the associated large-amplitude depressions were not captured, which caused the largest model-data deviations. The results from this work are of key importance to both modelers and space weather operators. Particularly when the goal is to obtain improved regional forecasts of geomagnetic disturbances and/or more realistic estimates of the geoelectric field.</t>
  </si>
  <si>
    <t>[Dimmock, A. P.; Yordanova, E.] Swedish Inst Space Phys, Uppsala, Sweden; [Welling, D. T.; Vandegriff, E.] Univ Texas Arlington, Dept Phys, POB 19059, Arlington, TX 76019 USA; [Rosenqvist, L.] Swedish Def Res Agcy, Stockholm, Sweden; [Forsyth, C.; Rae, I. J.] UCL Mullard Space Sci Lab, Dorking, Surrey, England; [Freeman, M. P.] British Antarctic Survey, Cambridge, England; [Rae, I. J.] Northumbria Univ, Newcastle Upon Tyne, Tyne &amp; Wear, England; [Viljanen, A.] Finnish Meteorol Inst, Helsinki, Finland; [Boynton, R. J.; Balikhin, M. A.] Univ Sheffield, Dept Automat Control &amp; Syst Engn, Sheffield, S Yorkshire, England</t>
  </si>
  <si>
    <t>University of Texas System; University of Texas Arlington; Saab Group; University of London; University College London; UK Research &amp; Innovation (UKRI); Natural Environment Research Council (NERC); NERC British Antarctic Survey; Northumbria University; Finnish Meteorological Institute; University of Sheffield</t>
  </si>
  <si>
    <t>Dimmock, AP (corresponding author), Swedish Inst Space Phys, Uppsala, Sweden.</t>
  </si>
  <si>
    <t>andrew.dimmock@irfu.se</t>
  </si>
  <si>
    <t>Rae, Jonathan/D-8132-2013; Freeman, Mervyn/E-5687-2019; Boynton, Richard/AAW-9941-2021; Forsyth, Colin/E-4159-2010</t>
  </si>
  <si>
    <t>Rae, Jonathan/0000-0002-2637-4786; Welling, Daniel/0000-0002-0590-1022; Viljanen, Ari/0000-0002-7960-1786; Forsyth, Colin/0000-0002-0026-8395; Rosenqvist, Lisa/0000-0003-2103-3277</t>
  </si>
  <si>
    <t>Swedish Civil Contingencies Agency [2016-2102]; Academy of Finland [314670]; UK NERC [NE/P017061/1]; National Science Foundation [ICER-1663770]; Natural Environment Research Council (NERC) [NE/P017150/1, NE/V002724/1]; NERC [NE/N014480/1]; NERC [NE/P017185/2, NE/P016693/1, NE/P017061/1, NE/N014480/1, NE/P017150/1] Funding Source: UKRI; SPF [NE/V002716/1, NE/V002724/1, NE/V002554/1, NE/V002554/2] Funding Source: UKRI</t>
  </si>
  <si>
    <t>Swedish Civil Contingencies Agency; Academy of Finland(Research Council of Finland); UK NERC(UK Research &amp; Innovation (UKRI)Natural Environment Research Council (NERC)); National Science Foundation(National Science Foundation (NSF)); Natural Environment Research Council (NERC)(UK Research &amp; Innovation (UKRI)Natural Environment Research Council (NERC)); NERC(UK Research &amp; Innovation (UKRI)Natural Environment Research Council (NERC)); NERC(UK Research &amp; Innovation (UKRI)Natural Environment Research Council (NERC)); SPF</t>
  </si>
  <si>
    <t>A. P. Dimmock, E. Yordanova, and L. Rosenqvist were funded by the Swedish Civil Contingencies Agency Grant 2016-2102. The work by A. Viljanen was supported by the Academy of Finland grant no. 314670. R. J. Boynton has received financial support from the UK NERC under grant NE/P017061/1. D. T. Welling was supported by the National Science Foundation award ICER-1663770. I. J. Rae and C. Forsyth are supported in part by Natural Environment Research Council (NERC) grants NE/P017150/1 and NE/V002724/1. C. Forsyth is supported by a NERC Independent Research Fellowship NE/N014480/1. We thank the institutes that maintain the IMAGE Magnetometer Array: Tromso Geophysical Observatory of UiT the Arctic University of Norway (Norway), Finnish Meteorological Institute (Finland), Institute of Geophysics Polish Academy of Sciences (Poland), GFZ German Research Centre for Geosciences (Germany), Geological Survey of Sweden (Sweden), Swedish Institute of Space Physics (Sweden), Sodankyla Geophysical Observatory of the University of Oulu (Finland), and Polar Geophysical Institute (Russia).</t>
  </si>
  <si>
    <t>e2020SW002683</t>
  </si>
  <si>
    <t>10.1029/2020SW002683</t>
  </si>
  <si>
    <t>TL3HL</t>
  </si>
  <si>
    <t>WOS:000674746600008</t>
  </si>
  <si>
    <t>O'Brien, K; Jasmin, A; Schilkey, F; Sena, J; Lavelle, E</t>
  </si>
  <si>
    <t>O'Brien, Kristin; Jasmin, Ariane; Schilkey, Faye; Sena, Johnny; Lavelle, Evan</t>
  </si>
  <si>
    <t>The Hypoxia Response Pathway is Functional Despite a Mutation in HIF-1α in the Antarctic Notothenioid Fish Notothenia coriiceps</t>
  </si>
  <si>
    <t>FASEB JOURNAL</t>
  </si>
  <si>
    <t>Experimental Biology Meeting</t>
  </si>
  <si>
    <t>APR 27-30, 2021</t>
  </si>
  <si>
    <t>National Science Foundation [PLR1341663]; Institutional Development Awards (IDeA) from the National Institute of General Medical Sciences of the National Institutes of Health (NIH) [P20GM103395, P20GM103451]</t>
  </si>
  <si>
    <t>National Science Foundation(National Science Foundation (NSF)); Institutional Development Awards (IDeA) from the National Institute of General Medical Sciences of the National Institutes of Health (NIH)</t>
  </si>
  <si>
    <t>Funding for this project was provided by grants from the National Science Foundation (PLR1341663) and two Institutional Development Awards (IDeA) from the National Institute of General Medical Sciences of the National Institutes of Health (NIH): P20GM103395 to KMO and P20GM103451 to NCGR.</t>
  </si>
  <si>
    <t>0892-6638</t>
  </si>
  <si>
    <t>1530-6860</t>
  </si>
  <si>
    <t>FASEB J</t>
  </si>
  <si>
    <t>Faseb J.</t>
  </si>
  <si>
    <t>10.1096/fasebj.2021.35.S1.05035</t>
  </si>
  <si>
    <t>TE3CZ</t>
  </si>
  <si>
    <t>WOS:000669893105237</t>
  </si>
  <si>
    <t>Goncharov, AE; Solomenny, AP; Panin, AL; Grigoriev, SE; Cheprasov, MY; Ahremenko, YA; Kolodzieva, VV; Goncharov, NE; Kraeva, LA</t>
  </si>
  <si>
    <t>Goncharov, A. E.; Solomenny, A. P.; Panin, A. L.; Grigoriev, S. E.; Cheprasov, M. Yu; Ahremenko, Ya A.; Kolodzieva, V. V.; Goncharov, N. E.; Kraeva, L. A.</t>
  </si>
  <si>
    <t>ASSESSING SERRATIA spp. PATHOGENIC POTENTIAL FROM CRYOGENIC HABITATS</t>
  </si>
  <si>
    <t>INFEKTSIYA I IMMUNITET</t>
  </si>
  <si>
    <t>Russian</t>
  </si>
  <si>
    <t>Serratia; biofilms; extreme environment; psychrotolerant bacteria; cold adaptation; virulence; microbiological monitoring</t>
  </si>
  <si>
    <t>The genus Serratia are opportunistic bacteria widely spread in natural environment. At the same time, this bacterial genus consists of the species associated with outbreaks of nosocomial infections. Serratia species are found in extreme habitats, but pathogenic potential of polyextremophilic strains in this genus remains unexplored. The aim of this study was to compare the genomes of two Serratia strains isolated in polar regions, primarily examining genetic factors of virulence and adaptation to cryogenic environment. During the 56th Russian Antarctic Expedition the Serratia liquefaciens 72 strain was isolated from a guano sample of the Adelie Penguin (Pygoscelis adeliae) colony on Tokarev Island (Haswell Archipelago, East Antarctica). The Serratia fonticola 5l strain was isolated from the frozen carcass of moose (Alces alces) fossils found on the Buor-Khaya Peninsula near the Laptev Sea coast (Yakutia Region, Russia). The whole-genome sequencing of such strains allowed to reveal genetic structures evidencing about their successful adaptation to low temperatures. Thus, it was found that both genomes contain genes encoding the main cold shock proteins, phylogenetically close to the corresponding genes in the hypobarotolerant Serratia liquefaciens strain ATCC 27592. Furthermore, both strains bear a cluster of tc-fABCD genes determining the bacterial adhesion to epithelial tissues, and the genes for RTX toxins - adhesins, crucial factors of biofilm formation in pathogenic Gram-negative bacteria. Experimental studies confirmed the ability of Serratia liquefaciens 72 and Serratia fonticola 5l to actively form biofilms in a wide temperature range (from 6 degrees C to 37 degrees C). The results obtained indicate that the examined genus Serratia strains isolated in Arctica and Antarctica exert overall similar adaptation strategies to polar climate, including the ability to produce pili, show active adhesion, and biofilm formation under low temperatures. Genetic adaptive factors may also act as pathogenicity factors allowing extremotolerant Serratia strains to exert traits of opportunistic and nosocomial pathogens and spread via chilled food-borne transmission. The wide use of food technologies, such as cooling and vacuum sealing, can potentially create a new ecological niche favourable for selection of psychrotolerant and hypobarotolerant pathogens. The data obtained allow to raise a question about necessity of further studies to monitor genetic diversity among psychrophilic hypobarotolerant microbial populations possessing pathogenic and epidemic potential.</t>
  </si>
  <si>
    <t>[Goncharov, A. E.] Inst Expt Med, Lab Funct Genom &amp; Prote Microorganisms, St Petersburg, Russia; [Solomenny, A. P.] Russian Acad Sci, Ural Branch, Inst Ecol &amp; Genet Microorganisms, Lab Water Microbiol, Perm, Russia; [Goncharov, A. E.; Kolodzieva, V. V.; Goncharov, N. E.] North Western State Med Univ, Dept Epidemiol Parasitol &amp; Disinfectol, St Petersburg, Russia; [Goncharov, A. E.] St Petersburg State Univ, Dept Fundamental Problems Med &amp; Med Technol, St Petersburg, Russia; [Panin, A. L.; Kraeva, L. A.] St Petersburg Pasteur Inst, Lab Med Bacteriol, St Petersburg, Russia; [Goncharov, N. E.] St Petersburg Pasteur Inst, Lab Med Bacteriol, Category 1, St Petersburg, Russia; [Panin, A. L.] All Russian Res Vet Inst Poultry Sci, St Petersburg, Russia; [Grigoriev, S. E.; Cheprasov, M. Yu] MK Ammosov North Eastern Fed Univ, Lab PA Lazarev Mammoth Museum, Yakutsk, Russia; [Ahremenko, Ya A.] MK Ammosov North Eastern Fed Univ, Dept Histol &amp; Microbiol, Med Inst, Yakutsk, Russia; [Kraeva, L. A.] Mil Med Acad, Dept Microbiol, St Petersburg, Russia</t>
  </si>
  <si>
    <t>Institute of Experimental Medicine; Russian Academy of Sciences; Perm Federal Research Center, Ural Branch, RAS; Institute of Ecology &amp; Genetics of Microorganisms, Ural Branch, RAS; North-Western State Medical University named after I.I. Mechnikov; Saint Petersburg State University; Saint-Petersburg Pasteur Institute; Saint-Petersburg Pasteur Institute; North-Eastern Federal University in Yakutsk; North-Eastern Federal University in Yakutsk</t>
  </si>
  <si>
    <t>Goncharov, AE (corresponding author), Inst Expt Med, Acad Pavlov Str 12, St Petersburg 197376, Russia.</t>
  </si>
  <si>
    <t>phage1@yandex.ru</t>
  </si>
  <si>
    <t>Maksim, Cheprasov/IZD-9035-2023; Maksim, Cheprasov Yu/T-7933-2017; Goncharov, Nikita/IAQ-4804-2023</t>
  </si>
  <si>
    <t>Maksim, Cheprasov/0000-0003-2233-5672; Goncharov, Artemiy/0000-0002-5206-6656; Goncharov, Nikita/0000-0002-6097-5091</t>
  </si>
  <si>
    <t>SANKT-PETERSBURG-NIIEM IMENI PASTERA</t>
  </si>
  <si>
    <t>ST PETERSBURG</t>
  </si>
  <si>
    <t>UL MIRA, 14, ST PETERSBURG, 197101, RUSSIA</t>
  </si>
  <si>
    <t>2220-7619</t>
  </si>
  <si>
    <t>2313-7398</t>
  </si>
  <si>
    <t>INFEKTSIYA IMMUN</t>
  </si>
  <si>
    <t>INFEKTSIYA IMMUN.</t>
  </si>
  <si>
    <t>10.15789/2220-7619-ASS-1593</t>
  </si>
  <si>
    <t>Infectious Diseases</t>
  </si>
  <si>
    <t>SX1OL</t>
  </si>
  <si>
    <t>WOS:000664981200021</t>
  </si>
  <si>
    <t>Klepikov, AV; Danilov, AI</t>
  </si>
  <si>
    <t>Klepikov, A. V.; Danilov, A. I.</t>
  </si>
  <si>
    <t>Results of Russian Studies of Polar Meteorology in 2015-2018</t>
  </si>
  <si>
    <t>IZVESTIYA ATMOSPHERIC AND OCEANIC PHYSICS</t>
  </si>
  <si>
    <t>Arctic; Antarctica; climate change; meteorology; natural variability; warming</t>
  </si>
  <si>
    <t>NORTHERN SEA ROUTE; ICE CORE RECORDS; EAST ANTARCTICA; CLIMATIC VARIABILITY; NAVIGATION PERIOD; SNOW ACCUMULATION; METHANE HYDRATE; AEROSOL; SURFACE; STABILITY</t>
  </si>
  <si>
    <t>This is a review of the results from Russian polar research in 2015-2018 prepared by the Commission on Polar Meteorology of the National Geophysical Committee for the National Report on Meteorology and Atmospheric Sciences to the XXVII General Assembly of the International Union of Geodesy and Geophysics (Montreal, Canada, July 8-18, 2019).</t>
  </si>
  <si>
    <t>[Klepikov, A. V.; Danilov, A. I.] Arctic &amp; Antarctic Res Inst, St Petersburg 199397, Russia</t>
  </si>
  <si>
    <t>Klepikov, AV (corresponding author), Arctic &amp; Antarctic Res Inst, St Petersburg 199397, Russia.</t>
  </si>
  <si>
    <t>klep@aari.ru</t>
  </si>
  <si>
    <t>0001-4338</t>
  </si>
  <si>
    <t>1555-628X</t>
  </si>
  <si>
    <t>IZV ATMOS OCEAN PHY+</t>
  </si>
  <si>
    <t>Izv. Atmos. Ocean. Phys.</t>
  </si>
  <si>
    <t>10.1134/S0001433821030063</t>
  </si>
  <si>
    <t>TE2VO</t>
  </si>
  <si>
    <t>WOS:000669873800001</t>
  </si>
  <si>
    <t>Loiseau, N; Thuiller, W; Stuart-Smith, RD; Devictor, V; Edgar, GJ; Velez, L; Cinner, JE; Graham, NAJ; Renaud, J; Hoey, AS; Manel, S; Mouillot, D</t>
  </si>
  <si>
    <t>Loiseau, Nicolas; Thuiller, Wilfried; Stuart-Smith, Rick D.; Devictor, Vincent; Edgar, Graham J.; Velez, Laure; Cinner, Joshua E.; Graham, Nicholas A. J.; Renaud, Julien; Hoey, Andrew S.; Manel, Stephanie; Mouillot, David</t>
  </si>
  <si>
    <t>Maximizing regional biodiversity requires a mosaic of protection levels</t>
  </si>
  <si>
    <t>PLOS BIOLOGY</t>
  </si>
  <si>
    <t>MARINE RESERVES; LANDSCAPE; AREAS; PATTERNS; POPULATION; DIVERSITY; TURNOVER; IMPACTS</t>
  </si>
  <si>
    <t>Protected areas are the flagship management tools to secure biodiversity from anthropogenic impacts. However, the extent to which adjacent areas with distinct protection levels host different species numbers and compositions remains uncertain. Here, using reef fishes, European alpine plants, and North American birds, we show that the composition of species in adjacent Strictly Protected, Restricted, and Non-Protected areas is highly dissimilar, whereas the number of species is similar, after controlling for environmental conditions, sample size, and rarity. We find that between 12% and 15% of species are only recorded in Non-Protected areas, suggesting that a non-negligible part of regional biodiversity occurs where human activities are less regulated. For imperiled species, the proportion only recorded in Strictly Protected areas reaches 58% for fishes, 11% for birds, and 7% for plants, highlighting the fundamental and unique role of protected areas and their environmental conditions in biodiversity conservation.</t>
  </si>
  <si>
    <t>[Loiseau, Nicolas; Velez, Laure; Mouillot, David] Univ Montpellier, MARBEC, CNRS, Ifremer,IRD, Montpellier, France; [Loiseau, Nicolas; Thuiller, Wilfried; Renaud, Julien] Univ Savoie Mt Blanc, Univ Grenoble Alpes, CNRS, LECA,Lab Ecol Alpine, F-38000 Grenoble, France; [Loiseau, Nicolas] Univ Paul Valery Montpellier 3, CEFE, Univ Montpellier, CNRS,EPHE PSL Univ,IRD, Montpellier, France; [Stuart-Smith, Rick D.; Edgar, Graham J.] Univ Tasmania, Inst Marine &amp; Antarctic Studies, Hobart, Tas, Australia; [Devictor, Vincent] Univ Montpellier, CNRS, ISEM, IRD,EPHE, Montpellier, France; [Cinner, Joshua E.; Hoey, Andrew S.] James Cook Univ, ARC Ctr Excellence Coral Reef Studies, Townsville, Qld, Australia; [Graham, Nicholas A. J.] Univ Lancaster, Lancaster Environm Ctr, Lancaster, England; [Manel, Stephanie] UM, EPHE, PSL Res Univ, CNRS,SupAgro,IRD,INRA,UMR 5175 CEFE, Montpellier, France; [Mouillot, David] IUF, Paris, France</t>
  </si>
  <si>
    <t>Universite de Montpellier; Ifremer; Institut de Recherche pour le Developpement (IRD); Centre National de la Recherche Scientifique (CNRS); Communaute Universite Grenoble Alpes; Universite Grenoble Alpes (UGA); Centre National de la Recherche Scientifique (CNRS); Universite Savoie Mont Blanc; Universite PSL; Ecole Pratique des Hautes Etudes (EPHE); Institut Agro; Montpellier SupAgro; CIRAD; Centre National de la Recherche Scientifique (CNRS); Institut de Recherche pour le Developpement (IRD); Universite Paul-Valery; Universite de Montpellier; University of Tasmania; Centre National de la Recherche Scientifique (CNRS); Institut de Recherche pour le Developpement (IRD); Universite de Montpellier; Universite PSL; Ecole Pratique des Hautes Etudes (EPHE); James Cook University; Lancaster University; INRAE;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t>
  </si>
  <si>
    <t>Loiseau, N (corresponding author), Univ Montpellier, MARBEC, CNRS, Ifremer,IRD, Montpellier, France.;Loiseau, N (corresponding author), Univ Savoie Mt Blanc, Univ Grenoble Alpes, CNRS, LECA,Lab Ecol Alpine, F-38000 Grenoble, France.;Loiseau, N (corresponding author), Univ Paul Valery Montpellier 3, CEFE, Univ Montpellier, CNRS,EPHE PSL Univ,IRD, Montpellier, France.</t>
  </si>
  <si>
    <t>nicolas.loiseau1@gmail.com</t>
  </si>
  <si>
    <t>Stuart-Smith, Rick/I-5214-2019; Thuiller, Wilfried/G-3283-2010; Graham, Nicholas/C-8360-2014; Hoey, Andrew S/B-5457-2015; Edgar, Graham/AAY-3797-2020; Cinner, Joshua Eli/E-8966-2011</t>
  </si>
  <si>
    <t>Stuart-Smith, Rick/0000-0002-8874-0083; Thuiller, Wilfried/0000-0002-5388-5274; Graham, Nicholas/0000-0002-0304-7467; Edgar, Graham/0000-0003-0833-9001; Cinner, Joshua Eli/0000-0003-2675-9317; Loiseau, Nicolas/0000-0002-2469-1980; velez, laure/0000-0001-9555-6770; Hoey, Andrew/0000-0002-4261-5594</t>
  </si>
  <si>
    <t>European project RESERVEBENEFIT (European call BIODIVERSA3 2015-2016 call); Australian Research Council [CE140100020, FT160100047, LP150100761]; Ian Potter Foundation; Royal Society University Research Fellowship [UF140691]; ANR project Origin-Alps [ANR-16-CE93-0004]; 'Investissement d'Avenir' grants [ANR-15-IDEX-02, ANR-10-LAB-56]; Australian Research Council [LP150100761] Funding Source: Australian Research Council; Agence Nationale de la Recherche (ANR) [ANR-16-CE93-0004] Funding Source: Agence Nationale de la Recherche (ANR)</t>
  </si>
  <si>
    <t>European project RESERVEBENEFIT (European call BIODIVERSA3 2015-2016 call); Australian Research Council(Australian Research Council); Ian Potter Foundation; Royal Society University Research Fellowship(Royal Society); ANR project Origin-Alps(Agence Nationale de la Recherche (ANR)); 'Investissement d'Avenir' grants(Agence Nationale de la Recherche (ANR)); Australian Research Council(Australian Research Council); Agence Nationale de la Recherche (ANR)(Agence Nationale de la Recherche (ANR))</t>
  </si>
  <si>
    <t>Funding and support come from the European project RESERVEBENEFIT (European call BIODIVERSA3 2015-2016 call, SM). Additional support was provided by Australian Research Council [CE140100020, FT160100047] (JEC) &amp; Australian Research Council [LP150100761] (GJE), the Ian Potter Foundation (GJE), the Royal Society University Research Fellowship (UF140691, NAJG), the ANR project Origin-Alps (ANR-16-CE93-0004,WT &amp; JR) and from `Investissement d'Avenir' grants managed by the ANR (Trajectories: ANR-15-IDEX-02; Montane: OSUG@2020: ANR-10-LAB-56, WT &amp; JR). The funders had no role in study design, data collection and analysis, decision to publish, or preparation of the manuscript.</t>
  </si>
  <si>
    <t>1544-9173</t>
  </si>
  <si>
    <t>1545-7885</t>
  </si>
  <si>
    <t>PLOS BIOL</t>
  </si>
  <si>
    <t>PLoS. Biol.</t>
  </si>
  <si>
    <t>e3001195</t>
  </si>
  <si>
    <t>10.1371/journal.pbio.3001195</t>
  </si>
  <si>
    <t>Biochemistry &amp; Molecular Biology; Biology</t>
  </si>
  <si>
    <t>Biochemistry &amp; Molecular Biology; Life Sciences &amp; Biomedicine - Other Topics</t>
  </si>
  <si>
    <t>SW0WE</t>
  </si>
  <si>
    <t>Green Submitted, Green Published, Green Accepted, gold</t>
  </si>
  <si>
    <t>WOS:000664237300002</t>
  </si>
  <si>
    <t>Scott, KN</t>
  </si>
  <si>
    <t>Scott, Karen N.</t>
  </si>
  <si>
    <t>MPAS in the Southern Ocean under CCAMLR Implementing SDG 14.5</t>
  </si>
  <si>
    <t>KOREAN JOURNAL OF INTERNATIONAL AND COMPARATIVE LAW</t>
  </si>
  <si>
    <t>MPA; Southern Ocean; CCAMLR; SDG 14.5; areas beyond national jurisdiction</t>
  </si>
  <si>
    <t>In 2016, the Commission for the Conservation of Antarctic Marine Living Resources (CCAMLR) designated the largest marine protected area (MPA) in the Ross Sea. Hailed as both a precedent and a prototype for MPAS in both Antarctica and in areas beyond national jurisdiction more generally, it is nevertheless proving challenging to implement. Moreover, further MPAS have yet to be designated in the region although a number are under negotiation. This article will evaluate the contribution made by CCAMLR to the implementation of SDG 14.5 (the conservation of at least 20 per cent of marine and coastal areas by 2020), its relationship to area-based protection under the 1991 Environmental Protocol, and highlight the challenges of establishing MPAS beyond the jurisdiction of states.</t>
  </si>
  <si>
    <t>[Scott, Karen N.] Univ Canterbury, Christchurch, New Zealand</t>
  </si>
  <si>
    <t>University of Canterbury</t>
  </si>
  <si>
    <t>Scott, KN (corresponding author), Univ Canterbury, Christchurch, New Zealand.</t>
  </si>
  <si>
    <t>karen.scott@canterbury.ac.nz</t>
  </si>
  <si>
    <t>2213-4476</t>
  </si>
  <si>
    <t>2213-4484</t>
  </si>
  <si>
    <t>KOREAN J INT COMP LA</t>
  </si>
  <si>
    <t>Korean J. Int. Comp. Law</t>
  </si>
  <si>
    <t>10.1163/22134484-12340147</t>
  </si>
  <si>
    <t>SO9SU</t>
  </si>
  <si>
    <t>WOS:000659314600007</t>
  </si>
  <si>
    <t>Mallorquí, A; Zaballos, A</t>
  </si>
  <si>
    <t>Mallorqui, Adria; Zaballos, Agustin</t>
  </si>
  <si>
    <t>A Heterogeneous Layer-Based Trustworthiness Model for Long Backhaul NVIS Challenging Networks and an IoT Telemetry Service for Antarctica</t>
  </si>
  <si>
    <t>trustworthiness; model; telemetry; IoT; NVIS; challenging network; Antarctica</t>
  </si>
  <si>
    <t>ARCHITECTURE; INTERNET; CONSENSUS; WSN</t>
  </si>
  <si>
    <t>Antarctica is a key location for many research fields. The lack of telecommunication systems that interconnect remote base camps hardens the possibility of building synergies among different polar research studies. This paper defines a network architecture to deploy a group of interconnected remote Antarctic wireless sensor networks providing an IoT telemetry service. Long backhaul NVIS links were used to interconnect remote networks. This architecture presents some properties from challenging networks that require evaluating the viability of the solution. A heterogeneous layer-based model to measure and improve the trustworthiness of the service was defined and presented. The model was validated and the trustworthiness of the system was measured using the Riverbed Model simulator.</t>
  </si>
  <si>
    <t>[Mallorqui, Adria; Zaballos, Agustin] Univ Ramon Llull URL, GRITS, Engn Dept, Barcelona 08022, Spain</t>
  </si>
  <si>
    <t>Universitat Ramon Llull</t>
  </si>
  <si>
    <t>Mallorquí, A (corresponding author), Univ Ramon Llull URL, GRITS, Engn Dept, Barcelona 08022, Spain.</t>
  </si>
  <si>
    <t>adria.mallorqui@salle.url.edu; agustin.zaballos@salle.url.edu</t>
  </si>
  <si>
    <t>Mallorquí, Adrià/AAP-2141-2021; Zaballos, Agustin/I-1320-2015</t>
  </si>
  <si>
    <t>Mallorquí, Adrià/0000-0002-8930-6211; Zaballos, Agustin/0000-0003-2755-4428</t>
  </si>
  <si>
    <t>Secretaria d'Universitats i Recerca del Departament d'Empresa i Coneixement de la Generalitat de Catalunya; European Union (EU); European Social Fund (ESF) [2020 FI_B 00448]; Agencia de Gestio d'Ajuts Universitaris i de Recerca (AGAUR) of Generalitat de Catalunya [2017 SGR 977]; Spanish Ministry on Science, Innovation, and University, the Investigation State Agency; European Regional Development Fund (ERDF) [RTI2018-097066-B-I00]</t>
  </si>
  <si>
    <t>Secretaria d'Universitats i Recerca del Departament d'Empresa i Coneixement de la Generalitat de Catalunya(Generalitat de Catalunya); European Union (EU)(European Union (EU)CGIAR); European Social Fund (ESF)(European Social Fund (ESF)); Agencia de Gestio d'Ajuts Universitaris i de Recerca (AGAUR) of Generalitat de Catalunya; Spanish Ministry on Science, Innovation, and University, the Investigation State Agency; European Regional Development Fund (ERDF)(European Union (EU))</t>
  </si>
  <si>
    <t>This research was funded by the Secretaria d'Universitats i Recerca del Departament d'Empresa i Coneixement de la Generalitat de Catalunya, the European Union (EU), and the European Social Fund (ESF) (2020 FI_B 00448). The research was also funded by the Agencia de Gestio d'Ajuts Universitaris i de Recerca (AGAUR) of Generalitat de Catalunya (grant identification 2017 SGR 977), and by the Spanish Ministry on Science, Innovation, and University, the Investigation State Agency and the European Regional Development Fund (ERDF) under the grant number RTI2018-097066-B-I00 (MCIU/AEI/FEDER, UE) for the project NVIS SENSOR NETWORK FOR THE SOUTH SHETLAND ISLANDS ARCHIPELAGO (SHETLAND-NET).</t>
  </si>
  <si>
    <t>10.3390/s21103446</t>
  </si>
  <si>
    <t>ST6CD</t>
  </si>
  <si>
    <t>WOS:000662528000001</t>
  </si>
  <si>
    <t>Szynkiewicz, A; Bishop, JL</t>
  </si>
  <si>
    <t>Szynkiewicz, Anna; Bishop, Janice L.</t>
  </si>
  <si>
    <t>Assessment of Sulfate Sources under Cold Conditions as a Geochemical Proxy for the Origin of Sulfates in the Circumpolar Dunes on Mars</t>
  </si>
  <si>
    <t>sulfate; isotopes; polar; Earth; Mars</t>
  </si>
  <si>
    <t>DRY VALLEYS; WHITE SANDS; LANDSCAPE EVOLUTION; EOLIAN DUNE; POLAR; STRATIGRAPHY; MINERALOGY; SULFUR; WATER; SEDIMENTS</t>
  </si>
  <si>
    <t>Determining aqueous sulfate sources in terrestrial cold environments can provide an insight into the surface hydrological conditions and sulfur cycle on Mars. In this study, we analyzed sulfur and oxygen isotope compositions of secondary sulfate salts (e.g., gypsum, thenardite) in the surficial sediments and soils of the McMurdo Dry Valleys (MDV), Antarctica to determine contributions of sulfate from bedrock chemical weathering and atmospheric deposition under persistent dry polar conditions. The sulfate showed wider variation of delta S-34 (+15.8 parts per thousand to +32.5 parts per thousand) compared to smaller ranges of delta O-18 (-8.9 parts per thousand to -4.1 parts per thousand). In contrast, the delta S-34 of bedrock sulfide showed significantly lower and consistent values across the studied area (-0.6 parts per thousand to +3.3 parts per thousand). Based on the delta S-34 trends, sulfide weathering may contribute up to 20-50% of secondary sulfate salts in the MDV. While the remaining 50-80% of sulfate inputs may originate from atmospheric deposition (e.g., sea aerosols, dimethulsulfide oxidation), the subglacial brines derived by relicts of seawater and/or lake/pond water influenced by microbial sulfate reduction could also be important sulfate endmembers particularly in the Antarctic lowland thaw zones. Additional field observations of frost, ponding water, and thin gypsum crusts on the terrestrial gypsum dunes at White Sands supports reactivity of gypsum on the surface of these dunes during cold winter conditions. Combined with our improved geochemical model of the sulfur cycle for cold Antarctic settings, we propose that transient liquid water or frost was available in near-surface environments at the time of gypsum formation in the north polar region on Mars. Ice and/or water interaction with basaltic sand of the basal unit (paleo-erg) would have enhanced leaching of sulfate from both sulfide oxidation and atmospheric deposition and resulted in formation of secondary gypsum salts.</t>
  </si>
  <si>
    <t>[Szynkiewicz, Anna] Univ Tennessee, Dept Earth &amp; Planetary Sci, Knoxville, TN 37916 USA; [Bishop, Janice L.] SETI Inst, Carl Sagan Ctr, Mountain View, CA 94043 USA</t>
  </si>
  <si>
    <t>University of Tennessee System; University of Tennessee Knoxville</t>
  </si>
  <si>
    <t>Szynkiewicz, A (corresponding author), Univ Tennessee, Dept Earth &amp; Planetary Sci, Knoxville, TN 37916 USA.</t>
  </si>
  <si>
    <t>aszynkie@utk.edu; jbishop@seti.org</t>
  </si>
  <si>
    <t>10.3390/min11050507</t>
  </si>
  <si>
    <t>ST4TS</t>
  </si>
  <si>
    <t>WOS:000662438500001</t>
  </si>
  <si>
    <t>Slinger, J; Adams, MB; Stratford, CN; Rigby, M; Wynne, JW</t>
  </si>
  <si>
    <t>Slinger, Joel; Adams, Mark B.; Stratford, Chris N.; Rigby, Megan; Wynne, James W.</t>
  </si>
  <si>
    <t>The Effect of Antimicrobial Treatment upon the Gill Bacteriome of Atlantic Salmon (Salmo salar L.) and Progression of Amoebic Gill Disease (AGD) In Vivo</t>
  </si>
  <si>
    <t>aquaculture; salmon; AGD; antimicrobial; amoeba; gill; microbiome; perurans</t>
  </si>
  <si>
    <t>FRESH-WATER; NEOPARAMOEBA-PERURANS; HYDROGEN-PEROXIDE; ICHTHYOPHTHIRIUS-MULTIFILIIS; GUT MICROBIOTA; CHLORAMINE-T; MARKER-GENE; FISH; INFECTION; PATHOLOGY</t>
  </si>
  <si>
    <t>Branchial surfaces of finfish species contain a microbial layer rich in commensal bacteria which can provide protection through competitive colonization and production of antimicrobial products. Upon disturbance or compromise, pathogenic microbiota may opportunistically infiltrate this protective barrier and initiate disease. Amoebic gill disease (AGD) is a globally significant health condition affecting salmonid mariculture. The current study examined whether altering the diversity and/or abundance of branchial bacteria could influence the development of experimentally induced AGD. Here, we challenged Atlantic salmon (Salmo salar) with Neoparamoeba perurans in a number of scenarios where the bacterial community on the gill was altered or in a state of instability. Administration of oxytetracycline (in-feed) and chloramine-T (immersion bath) significantly altered the bacterial load and diversity of bacterial taxa upon the gill surface, and shifted the community profile appreciably. AGD severity was marginally higher in fish previously subjected to chloramine-T treatment following 21 days post-challenge. This research suggests that AGD progression and severity was not clearly linked to specific bacterial taxa present in these systems. However, we identified AGD associated taxa including known pathogenic genus (Aliivibrio, Tenacibaculum and Pseudomonas) which increased in abundance as AGD progressed. Elucidation of a potential role for these bacterial taxa in AGD development is warranted.</t>
  </si>
  <si>
    <t>[Slinger, Joel; Stratford, Chris N.] CSIRO Agr &amp; Food, Bribie Isl Res Ctr, Woorim, Qld 4507, Australia; [Slinger, Joel; Adams, Mark B.] Univ Tasmania, Inst Marine &amp; Antarctic Studies, Launceston, Tas 7250, Australia; [Rigby, Megan; Wynne, James W.] CSIRO Agr &amp; Food, Hobart, Tas 7004, Australia</t>
  </si>
  <si>
    <t>Queensland Department of Agriculture &amp; Fisheries; Commonwealth Scientific &amp; Industrial Research Organisation (CSIRO); University of Tasmania; Commonwealth Scientific &amp; Industrial Research Organisation (CSIRO)</t>
  </si>
  <si>
    <t>Slinger, J (corresponding author), CSIRO Agr &amp; Food, Bribie Isl Res Ctr, Woorim, Qld 4507, Australia.;Slinger, J (corresponding author), Univ Tasmania, Inst Marine &amp; Antarctic Studies, Launceston, Tas 7250, Australia.</t>
  </si>
  <si>
    <t>joel.slinger@csiro.au; Mark.Adams@utas.edu.au; chris.stratford@csiro.au; megan.rigby@csiro.au; james.wynne@csiro.au</t>
  </si>
  <si>
    <t>Slinger, Joel/AAD-6684-2022; Wynne, James W/H-7957-2013; Rigby, Megan L/JPL-3059-2023</t>
  </si>
  <si>
    <t>Wynne, James W/0000-0001-6846-757X; Rigby, Megan L/0000-0002-6268-0414; Slinger, Joel/0000-0003-2781-2300</t>
  </si>
  <si>
    <t>CSIRO; Tassal Group Ltd.; Institute for Marine and Antarctic Studies (University of Tasmania)</t>
  </si>
  <si>
    <t>CSIRO(Commonwealth Scientific &amp; Industrial Research Organisation (CSIRO)); Tassal Group Ltd.; Institute for Marine and Antarctic Studies (University of Tasmania)</t>
  </si>
  <si>
    <t>We gratefully thank CSIRO and Tassal Group Ltd. for supporting this study. This research was enabled by a PhD scholarship awarded to JS from the Institute for Marine and Antarctic Studies (University of Tasmania).</t>
  </si>
  <si>
    <t>10.3390/microorganisms9050987</t>
  </si>
  <si>
    <t>ST4UK</t>
  </si>
  <si>
    <t>WOS:000662440300001</t>
  </si>
  <si>
    <t>Taylor, RS; Slinger, J; Stratford, C; Rigby, M; Wynne, JW</t>
  </si>
  <si>
    <t>Taylor, Richard S.; Slinger, Joel; Stratford, Chris; Rigby, Megan; Wynne, James W.</t>
  </si>
  <si>
    <t>Evaluation of the Infectious Potential of Neoparamoeba perurans Following Freshwater Bathing Treatments</t>
  </si>
  <si>
    <t>amoebic gill disease (AGD); Atlantic salmon; Salmo salar; integrated pest management; salinity; freshwater tolerance; wellboat</t>
  </si>
  <si>
    <t>AMEBIC-GILL-DISEASE; SALMON SALMO-SALAR; FARMED ATLANTIC SALMON; SEA-LICE; FARMING SITES; AGD; SURVIVAL; PARASITE; L.; RESISTANCE</t>
  </si>
  <si>
    <t>Freshwater bathing for 2-3 h is the main treatment to control amoebic gill disease of marine-farmed Atlantic salmon. Recent in vitro studies have demonstrated that amoebae (Neoparamoeba perurans) detach when exposed to freshwater and that some eventually reattach to culture plates when returned to seawater. Here, we evaluated the potential for gill-detached N. perurans to survive a commercially relevant treatment and infect AGD-naive fish and whether holding used bathwater for up to 6 h post treatment would lower infectivity. AGD-affected fish were bathed in freshwater for 2 h. Naive salmon were exposed to aliquots of the used bathwater after 2, 4, 6 and 8 h. The inoculation was performed at 30 ppt for 2 h, followed by gradual dilution with seawater. Sampling at 20 days post inoculation (dpi) and 40 dpi confirmed rapid AGD development in fish inoculated in 2 h used bathwater, but a slower AGD development following exposure to 4 h bathwater. AGD signs were variable and reduced following longer bathwater holding times. These results suggest that viable amoebae are likely returned to seawater following commercial freshwater treatments, but that the risk of infection can be reduced by retention of bathwater before release.</t>
  </si>
  <si>
    <t>[Taylor, Richard S.; Rigby, Megan; Wynne, James W.] CSIRO Agr &amp; Food, Hobart, Tas 7000, Australia; [Slinger, Joel; Stratford, Chris] CSIRO Agr &amp; Food, Bribie Isl Res Ctr, Woorim, Qld 4507, Australia; [Slinger, Joel] Univ Tasmania, Inst Marine &amp; Antarctic Studies, Launceston, Tas 7250, Australia</t>
  </si>
  <si>
    <t>Commonwealth Scientific &amp; Industrial Research Organisation (CSIRO); Queensland Department of Agriculture &amp; Fisheries; Commonwealth Scientific &amp; Industrial Research Organisation (CSIRO); University of Tasmania</t>
  </si>
  <si>
    <t>Taylor, RS (corresponding author), CSIRO Agr &amp; Food, Hobart, Tas 7000, Australia.</t>
  </si>
  <si>
    <t>richard.taylor@csiro.au; joel.slinger@csiro.au; chris.stratford@csiro.au; megan.rigby@csiro.au; james.wynne@csiro.au</t>
  </si>
  <si>
    <t>Taylor, Richard S./T-7996-2019; Wynne, James W/H-7957-2013; Rigby, Megan L/JPL-3059-2023; Taylor, Richard S/E-9961-2012; Slinger, Joel/AAD-6684-2022</t>
  </si>
  <si>
    <t>Taylor, Richard S./0000-0003-0312-7317; Wynne, James W/0000-0001-6846-757X; Rigby, Megan L/0000-0002-6268-0414; Slinger, Joel/0000-0003-2781-2300</t>
  </si>
  <si>
    <t>10.3390/microorganisms9050967</t>
  </si>
  <si>
    <t>ST4LR</t>
  </si>
  <si>
    <t>WOS:000662417600001</t>
  </si>
  <si>
    <t>Yu, HJ; Chen, QJ; Sun, Y; Sosnica, K</t>
  </si>
  <si>
    <t>Yu, Hongjuan; Chen, Qiujie; Sun, Yu; Sosnica, Krzysztof</t>
  </si>
  <si>
    <t>Geophysical Signal Detection in the Earth's Oblateness Variation and Its Climate-Driven Source Analysis</t>
  </si>
  <si>
    <t>earth's oblateness; satellite laser ranging; singular spectrum analysis; geophysical model; Lomb-Scargle periodogram; grace; climate-driven source</t>
  </si>
  <si>
    <t>SINGULAR SPECTRUM ANALYSIS; DEGREE ZONAL HARMONICS; GRAVITY-FIELD; GEOCENTER MOTION; MASS-BALANCE; TIME-SERIES; GRACE; FOURIER; SEA; ACCELERATION</t>
  </si>
  <si>
    <t>This study analyzes the geophysical signals in J(2) time series from 1976 to 2020 by using singular spectrum analysis (SSA) and the Lomb-Scargle (L-S) periodogram for the first time. The results of SSA indicate that the secular trend is characterized by a superposition of the secular linear decrease with a rate of approximately (-5.80 +/- 0.08) x 10(-11)/yr and an obvious quadratic rate of (2.38 +/- 0.02) x 10(-13)/yr(2). Besides, the annual, semi-annual, and 10.6-year signals with determining for the first time its amplitude of 5.01 x 10(-11), are also detected by SSA, where their stochastic behavior can be maintained to the greatest extent. The 18.6-year signal cannot be detected by SSA even when the window size of 18.6 years was selected, while L-S periodogram can detect the signal of 18.6 years after removing the 18.6-year tidal theoretical value and the linear trend, proving the existence of the tidal variations of 18.6 years in the residual time series. Nevertheless, the 10.6-year signal can be found only after removing the secular trend. This fact suggests that the advantages of different methods used will lead to different sensitivity to the particular signals hard to be detected. Finally, the reconstructed Delta J(2) time series through the sum of the climate-driven contributions from glacial isostatic adjustment (GIA), Antarctic ice sheets (ANT), atmosphere (ATM), continental glaciers (GLA), Greenland ice sheets (GRE), ocean bottom pressure (OBP), and terrestrial water storage (TWS) by using GRACE gravity field solution and geophysical models agrees very well with that of the observed Delta J(2) from SLR in terms of the amplitude and phase. About 81.5% of observed Delta J(2) can be explained by the reconstructed value. ATM, TWS, and OBP are the most significant contributing sources for seasonal signals in Delta J(2) time series, explaining up to 40.1%, 31.9%, and 26.3% of the variances of observed Delta J(2). These three components contribute to the annual and semi-annual variations of the observed Delta J(2) up to 30.1% and 1.6%, 30.8% and 1.0%, as well as 25.4% and 0.7%, respectively. GRE, ANT, and GLA have similar to 3 to similar to 7-year periodic fluctuations and a positive linear trend, excluding GIA.</t>
  </si>
  <si>
    <t>[Yu, Hongjuan; Chen, Qiujie] Tongji Univ, Coll Surveying &amp; Geoinformat, Shanghai 200092, Peoples R China; [Sun, Yu] Fuzhou Univ, Minist Educ, Key Lab Spatial Data Min &amp; Informat Sharing, Fuzhou 350108, Peoples R China; [Sosnica, Krzysztof] Wroclaw Univ Environm &amp; Life Sci, Inst Geodesy &amp; Geoinformat, Grunwaldzka 53, PL-50357 Wroclaw, Poland</t>
  </si>
  <si>
    <t>Tongji University; Fuzhou University; Wroclaw University of Environmental &amp; Life Sciences</t>
  </si>
  <si>
    <t>Chen, QJ (corresponding author), Tongji Univ, Coll Surveying &amp; Geoinformat, Shanghai 200092, Peoples R China.</t>
  </si>
  <si>
    <t>hjyu@tongji.edu.cn; qiujiechen@tongji.edu.cn; yusun@fzu.edu.cn; krzysztof.sosnica@igig.up.wroc.pl</t>
  </si>
  <si>
    <t>Sosnica, Krzysztof/F-7135-2013</t>
  </si>
  <si>
    <t>Sosnica, Krzysztof/0000-0001-6181-1307; Yu, Hongjuan/0000-0001-5515-3205</t>
  </si>
  <si>
    <t>National Natural Science Foundation of China [41801393]; National Key R&amp;D Program of China [2017YFA0603103]</t>
  </si>
  <si>
    <t>National Natural Science Foundation of China(National Natural Science Foundation of China (NSFC)); National Key R&amp;D Program of China</t>
  </si>
  <si>
    <t>This work is mainly sponsored by the National Natural Science Foundation of China (No. 41731069) and the National Key R&amp;D Program of China (No. 2017YFA0603103). Y.S. is supported by the National Natural Science Foundation of China (No. 41801393).</t>
  </si>
  <si>
    <t>10.3390/rs13102004</t>
  </si>
  <si>
    <t>ST6KA</t>
  </si>
  <si>
    <t>WOS:000662548800001</t>
  </si>
  <si>
    <t>O'Brien, KM; Joyce, W; Crockett, EL; Axelsson, M; Egginton, S; Farrell, AP</t>
  </si>
  <si>
    <t>O'Brien, Kristin M.; Joyce, William; Crockett, Elizabeth L.; Axelsson, Michael; Egginton, Stuart; Farrell, Anthony P.</t>
  </si>
  <si>
    <t>Resilience of cardiac performance in Antarctic notothenioid fishes in a warming climate</t>
  </si>
  <si>
    <t>Antarctic fishes; Cardiac function; Temperature; Metabolism; Membranes</t>
  </si>
  <si>
    <t>HEMOGLOBIN-FREE FISH; CRITICAL THERMAL MAXIMUM; OXIDATIVE STRESS; RAINBOW-TROUT; CARDIORESPIRATORY PERFORMANCE; CHAENOCEPHALUS-ACERATUS; TEMPERATURE-DEPENDENCE; MITOCHONDRIAL-FUNCTION; BIOLOGICAL-MEMBRANES; OXYGEN PERMEABILITY</t>
  </si>
  <si>
    <t>Warming in the region of the Western Antarctic Peninsula is occurring at an unprecedented rate, which may threaten the survival of Antarctic notothenioid fishes. Herein, we review studies characterizing thermal tolerance and cardiac performance in notothenioids - a group that includes both red-blooded species and the white-blooded, haemoglobinless icefishes - as well as the relevant biochemistry associated with cardiac failure during an acute temperature ramp. Because icefishes do not feed in captivity, making long-term acclimation studies unfeasible, we focus only on the responses of red-blooded notothenioids to warm acclimation. With acute warming, hearts of the white-blooded icefish Chaenocephalus aceratus display persistent arrhythmia at a lower temperature (8 degrees C) compared with those of the red-blooded Notothenia coriiceps (14 degrees C). When compared with the icefish, the enhanced cardiac performance of N. coriiceps during warming is associated with greater aerobic capacity, higher ATP levels, less oxidative damage and enhanced membrane integrity. Cardiac performance can be improved in N. coriiceps with warm acclimation to 5 degrees C for 6-9 weeks, accompanied by an increase in the temperature at which cardiac failure occurs. Also, both cardiac mitochondrial and microsomal membranes are remodelled in response to warm acclimation in N. coriiceps, displaying homeoviscous adaptation. Overall, cardiac performance in N. coriiceps is malleable and resilient to warming, yet thermal tolerance and plasticity vary among different species of notothenioid fishes; disruptions to the Antarctic ecosystem driven by climate warming and other anthropogenic activities endanger the survival of notothenioids, warranting greater protection afforded by an expansion of marine protected areas.</t>
  </si>
  <si>
    <t>[O'Brien, Kristin M.] Univ Alaska Fairbanks, Inst Arctic Biol, Fairbanks, AK 99775 USA; [Joyce, William] Aarhus Univ, Dept Biol Zoophysiol, DK-8000 Aarhus C, Denmark; [Crockett, Elizabeth L.] Ohio Univ, Dept Biol Sci, Athens, OH 45701 USA; [Axelsson, Michael] Univ Gothenburg, Dept Biol &amp; Environm Sci, S-40530 Gothenburg, Sweden; [Egginton, Stuart] Univ Leeds, Sch Biomed Sci, Leeds LS2 9JT, W Yorkshire, England; [Farrell, Anthony P.] Univ British Columbia, Dept Zool, Vancouver, BC V6T 1Z4, Canada; [Farrell, Anthony P.] Univ British Columbia, Fac Land &amp; Food Syst, Vancouver, BC V6T 1Z4, Canada</t>
  </si>
  <si>
    <t>University of Alaska System; University of Alaska Fairbanks; Aarhus University; University System of Ohio; Ohio University; University of Gothenburg; University of Leeds; University of British Columbia; University of British Columbia</t>
  </si>
  <si>
    <t>O'Brien, KM (corresponding author), Univ Alaska Fairbanks, Inst Arctic Biol, Fairbanks, AK 99775 USA.</t>
  </si>
  <si>
    <t>kmobrien@alaska.edu</t>
  </si>
  <si>
    <t>Joyce, William/U-7093-2019</t>
  </si>
  <si>
    <t>Joyce, William/0000-0002-3782-1641; O'Brien, Kristin/0000-0002-3311-0690</t>
  </si>
  <si>
    <t>National Science Foundation Office of Polar Programs [1341602, 1341663]; Natural Sciences and Engineering Research Council of Canada (NSERC); Canada Research Chair; Office of Polar Programs (OPP); Directorate For Geosciences [1341663, 1341602] Funding Source: National Science Foundation</t>
  </si>
  <si>
    <t>National Science Foundation Office of Polar Programs(National Science Foundation (NSF)NSF - Directorate for Geosciences (GEO)); Natural Sciences and Engineering Research Council of Canada (NSERC)(Natural Sciences and Engineering Research Council of Canada (NSERC)); Canada Research Chair(Natural Resources CanadaCanadian Forest ServiceCanada Research Chairs); Office of Polar Programs (OPP); Directorate For Geosciences(National Science Foundation (NSF)NSF - Directorate for Geosciences (GEO))</t>
  </si>
  <si>
    <t>Funding was provided by grants from the National Science Foundation Office of Polar Programs (1341602 to E.L.C. and 1341663 to K.M.O.). A.P.F. was also funded by the Natural Sciences and Engineering Research Council of Canada (NSERC) and a Canada Research Chair.</t>
  </si>
  <si>
    <t>jeb220129</t>
  </si>
  <si>
    <t>10.1242/jeb.220129</t>
  </si>
  <si>
    <t>SR2LA</t>
  </si>
  <si>
    <t>WOS:000660873700001</t>
  </si>
  <si>
    <t>Chidichimo, MP; Piola, AR; Meinen, CS; Perez, RC; Campos, EJD; Dong, S; Lumpkin, R; Garzoli, SL</t>
  </si>
  <si>
    <t>Chidichimo, M. P.; Piola, A. R.; Meinen, C. S.; Perez, R. C.; Campos, E. J. D.; Dong, S.; Lumpkin, R.; Garzoli, S. L.</t>
  </si>
  <si>
    <t>Brazil Current Volume Transport Variability During 2009-2015 From a Long-Term Moored Array at 34.5°S</t>
  </si>
  <si>
    <t>Brazil Current; meridional overturning circulation; observations; transport array; variability; volume transport</t>
  </si>
  <si>
    <t>MERIDIONAL OVERTURNING CIRCULATION; MULTIPLE EQUILIBRIA REGIME; WESTERN BOUNDARY CURRENTS; SOUTH EQUATORIAL CURRENT; INVERTED ECHO SOUNDERS; SEASONAL VARIABILITY; MALVINAS CONFLUENCE; KUROSHIO EXTENSION; HEAT-TRANSPORT; GEOSTROPHIC CIRCULATION</t>
  </si>
  <si>
    <t>The Brazil Current, the western limb of the subtropical gyre of the South Atlantic Ocean, is one of the major Western Boundary Currents of the global ocean. Here, we present the first multiyear continuous daily time series of Brazil Current absolute volume transport obtained using 6+ years of observations from a line of four pressure-recording inverted echo sounders (PIES) deployed at 34.5 degrees S. The array was augmented in December 2012 with two current meter-equipped PIES and in December 2013 with a moored Acoustic Doppler Current Profiler on the upper continental slope. The Brazil Current is bounded by the sea surface and the neutral density interface separating South Atlantic Central Water and Antarctic Intermediate Water, which is on average at a reference pressure of 628 +/- 46 dbar, and it is confined west of 49.5 degrees W. The Brazil Current has a mean strength of -14.0 +/- 2.8 Sv (1 Sv equivalent to 10(6) m(3) s(-1); negative indicates southward flow) with a temporal standard deviation of 8.8 Sv and peak-to-peak range from -41.7 to +20 Sv. About 80% of the absolute transport variance is concentrated at periods shorter than 150 days with a prominent peak at 100 days. The baroclinic component accounts for 85% of the absolute transport variance, but the barotropic variance is not negligible. The baroclinic and barotropic transports are uncorrelated, demonstrating the need to measure both transport components independently. Given the energetic high frequency transport variations, statistically significant seasonal to interannual variability and trends have yet to be detected.</t>
  </si>
  <si>
    <t>[Chidichimo, M. P.; Piola, A. R.] Serv Hidrog Naval, Dept Oceanog, Buenos Aires, DF, Argentina; [Chidichimo, M. P.; Piola, A. R.] Consejo Nacl Invest Cient &amp; Tecn, Buenos Aires, DF, Argentina; [Chidichimo, M. P.; Piola, A. R.] CONICET UBA, IRD, CNRS, Inst Franco Argentino Estudio Clima &amp; Sus Impacto, Buenos Aires, DF, Argentina; [Piola, A. R.] Univ Buenos Aires, Buenos Aires, DF, Argentina; [Meinen, C. S.; Perez, R. C.; Dong, S.; Lumpkin, R.; Garzoli, S. L.] NOAA, Atlantic Oceanog &amp; Meteorol Lab, Miami, FL 33149 USA; [Campos, E. J. D.] Univ Sao Paulo, Oceanog Inst, Sao Paulo, Brazil; [Campos, E. J. D.] Amer Univ Sharjah, Dept Biol Chem &amp; Environm Sci, Coll Arts &amp; Sci, Sharjah, U Arab Emirates</t>
  </si>
  <si>
    <t>Servicio de Hidrografia Naval; Consejo Nacional de Investigaciones Cientificas y Tecnicas (CONICET); Consejo Nacional de Investigaciones Cientificas y Tecnicas (CONICET); University of Buenos Aires; University of Buenos Aires; National Oceanic Atmospheric Admin (NOAA) - USA; Atlantic Oceanographic &amp; Meteorological Laboratory (AOML); Universidade de Sao Paulo; American University of Sharjah</t>
  </si>
  <si>
    <t>Chidichimo, MP (corresponding author), Serv Hidrog Naval, Dept Oceanog, Buenos Aires, DF, Argentina.;Chidichimo, MP (corresponding author), Consejo Nacl Invest Cient &amp; Tecn, Buenos Aires, DF, Argentina.;Chidichimo, MP (corresponding author), CONICET UBA, IRD, CNRS, Inst Franco Argentino Estudio Clima &amp; Sus Impacto, Buenos Aires, DF, Argentina.</t>
  </si>
  <si>
    <t>mpchidichimo@hidro.gov.ar</t>
  </si>
  <si>
    <t>Dong, Shenfu/I-4435-2013; Garzoli, Silvia/JCP-1471-2023; Piola, Alberto R/O-2280-2013; Meinen, Christopher S/G-1902-2012; Lumpkin, Rick/C-9615-2009; Perez, Renellys C/D-1976-2012; Campos, Edmo/G-6995-2012</t>
  </si>
  <si>
    <t>Dong, Shenfu/0000-0001-8247-8072; Lumpkin, Rick/0000-0002-6690-1704; Chidichimo, Maria Paz/0000-0002-4745-9017; Campos, Edmo/0000-0001-6399-5496</t>
  </si>
  <si>
    <t>Servicio de Hidrografia Naval; CONICET; NOAA; the Inter-American Institute for Global Change Research through the U.S. National Science Foundation [CRN2076, CRN3070, GEO0452325, GEO-1128040]; NOAA Global Ocean Monitoring and Observing program under the Southwest Atlantic Meridional Overturning Circulation (SAM) project [100007298]; CNPq [302503/2019-6]; FAPESP [2011/50552-4, 2017/09659-6]; European Union's Horizon 2020 Research and Innovation Program [818123]; NOAA Atlantic Oceanographic and Meteorological Laboratory; NOAA Climate Variability Program [GC16-212, GC16-210]; NOAA [NA13OAR4310131]; NASA [NNX14AH60G]; NOAA Global Ocean Monitoring and Observing program under the XBT project and State of the Climate: Quarterly Report on the Meridional Heat Transport in the Atlantic Ocean project; NASA [NNX14AH60G, 681751] Funding Source: Federal RePORTER</t>
  </si>
  <si>
    <t>Servicio de Hidrografia Naval; CONICET(Consejo Nacional de Investigaciones Cientificas y Tecnicas (CONICET)); NOAA(National Oceanic Atmospheric Admin (NOAA) - USA); the Inter-American Institute for Global Change Research through the U.S. National Science Foundation; NOAA Global Ocean Monitoring and Observing program under the Southwest Atlantic Meridional Overturning Circulation (SAM) project; CNPq(Conselho Nacional de Desenvolvimento Cientifico e Tecnologico (CNPQ)); FAPESP(Fundacao de Amparo a Pesquisa do Estado de Sao Paulo (FAPESP)); European Union's Horizon 2020 Research and Innovation Program(Horizon 2020); NOAA Atlantic Oceanographic and Meteorological Laboratory(National Oceanic Atmospheric Admin (NOAA) - USA); NOAA Climate Variability Program(National Oceanic Atmospheric Admin (NOAA) - USA); NOAA(National Oceanic Atmospheric Admin (NOAA) - USA); NASA(National Aeronautics &amp; Space Administration (NASA)); NOAA Global Ocean Monitoring and Observing program under the XBT project and State of the Climate: Quarterly Report on the Meridional Heat Transport in the Atlantic Ocean project; NASA(National Aeronautics &amp; Space Administration (NASA))</t>
  </si>
  <si>
    <t>The authors would like to thank the crews of Puerto Deseado and Ice Lady Patagonia II (Argentina), Alpha-Crucis, Alpha-Delphini and Cruzeiro do Sul (Brazil), who have supported the research cruises. Thanks also to the support/technical teams in Miami, Sao Paulo, Buenos Aires, who have helped collect and process the data presented herein. M. Charo, R. Guerrero, D. Valla, C. Franca, R. Garcia, P. Pena, and U. Rivero are gratefully acknowledged for their invaluable work with the collection and calibration of the hydrographic and PIES data used in this study. The SAMBA-West hydrographic observations and the participation of M. P. Chidichimo and A. Piola were supported by funds from Servicio de Hidrografia Naval, CONICET, NOAA, and the Inter-American Institute for Global Change Research grants CRN2076 and CRN3070, through the U.S. National Science Foundation grants GEO0452325 and GEO-1128040. The U.S. PIES observations and the participation of C. Meinen, R. Perez, S. Dong, and S. Garzoli were supported via the NOAA Global Ocean Monitoring and Observing program (FundRef#100007298) under the Southwest Atlantic Meridional Overturning Circulation (SAM) project. The Brazilian CPIES and ADCP observations and the participation of E. Campos were supported by CNPq (Grant 302503/2019-6) and FAPESP through projects SAMOC (Grant 2011/50552-4) and SAMBAR (Grant 2017/09659-6). M. P. Chidichimo and A. Piola also acknowledge funding support from the European Union's Horizon 2020 Research and Innovation Program under grant agreement no. 818123 (iAtlantic). C. Meinen, R. Perez, S. Dong, R. Lumpkin, S. Garzoli also acknowledge additional support from the NOAA Atlantic Oceanographic and Meteorological Laboratory. C. Meinen and R. Perez acknowledge additional support from NOAA Climate Variability Program (GC16-212). R. Perez and S. Garzoli acknowledge additional support from NOAA (grant NA13OAR4310131) and NASA (grant NNX14AH60G). SD acknowledge additional support from NOAA Climate Variability Program (GC16-210) and NOAA Global Ocean Monitoring and Observing program under the XBT project and State of the Climate: Quarterly Report on the Meridional Heat Transport in the Atlantic Ocean project. Thanks to D. Volkov for providing the run from the Estimating the Circulation and Climate of the Ocean, Phase 2 (ECCO2) ocean state estimate (https://ecco.jpl.nasa.gov/).The authors are very grateful for the constructive comments by two anonymous reviewers.</t>
  </si>
  <si>
    <t>e2020JC017146</t>
  </si>
  <si>
    <t>10.1029/2020JC017146</t>
  </si>
  <si>
    <t>SH9PP</t>
  </si>
  <si>
    <t>WOS:000654462400001</t>
  </si>
  <si>
    <t>Chretien, LMS; Thompson, AF; Flexas, MM; Speer, K; Swaim, N; Oelerich, R; Ruan, X; Schubert, R; LoBuglio, C</t>
  </si>
  <si>
    <t>Chretien, L. M. Schulze; Thompson, A. F.; Flexas, M. M.; Speer, K.; Swaim, N.; Oelerich, R.; Ruan, X.; Schubert, R.; LoBuglio, C.</t>
  </si>
  <si>
    <t>The Shelf Circulation of the Bellingshausen Sea</t>
  </si>
  <si>
    <t>CIRCUMPOLAR DEEP-WATER; ANTARCTIC ICE SHELVES; GLACIAL MELTWATER; PINE ISLAND; AMUNDSEN SEA; OCEAN; PENINSULA; RETREAT; VARIABILITY; TRANSPORT</t>
  </si>
  <si>
    <t>Over recent decades, the West Antarctic Ice Sheet has experienced rapid thinning of its floating ice shelves as well as grounding line retreat across its marine-terminating glaciers. The transport of warm Modified Circumpolar Deep Water (MCDW) onto the continental shelf, extensively documented along the West Antarctic Peninsula (WAP), and in the Amundsen Sea, has been identified as the key process for inducing these changes. The Bellingshausen Sea sits between the Amundsen Sea and the northern part of the WAP, but its oceanic properties remain remarkably under-studied compared to surrounding regions. Here, we present observations collected from a hydrographic survey of the Bellingshausen Sea continental shelf in austral summer 2019. Using a combination of ship-based and glider-based CTD and lowered ADCP observations, we show that submarine troughs provide topographically steered pathways for MCDW from the shelf break toward deep embayments and ultimately under floating ice shelves. Warm MCDW enters the continental shelf at the deepest part of the Belgica Trough and flows onshore along the eastern side of the trough. Modification of these shoreward-flowing waters by glacial melt is estimated by calculating meltwater fractions using an optimal multiparameter analysis. Meltwater is found to be elevated at the western edge of both the Latady and Belgica troughs. Meltwater distributions, consistent with other diagnostics, suggest a recirculation in each trough with modified waters eventually flowing westward upon leaving the Belgica Trough. Our results show that the Bellingshausen Sea is a critical part of the larger West Antarctic circulation system, linking the WAP and the Amundsen Sea. Plain Language Summary Over the past decades large changes in the volume of the West Antarctic Ice Sheet have been observed. This has been attributed to a warm water mass, the Circumpolar Deep Water (CDW). This water has been observed along the West Antarctic Peninsula (WAP) and in the Amundsen Sea. The Bellingshausen Sea, located between the WAP and the Amundsen Sea, has exhibited similar rates of ice shelf thinning, yet remains remarkably under-studied compared to regions to the east and west. We present observations of the Bellingshausen Sea from early 2019. A combination of temperature and velocity data are used to show that submarine troughs provide pathways for the warm water from offshore to reach the ice sheets. This takes place at the deepest part of the Belgica Trough and along the eastern side of the Latady trough with a recirculation of this now slightly cooler water between the two troughs. The water originating from the ice sheets leaves the Bellingshausen Sea along the western side of the Belgica Trough before flowing west toward the Amundsen Sea. Our results show that this region is a critical part of the West Antarctic circulation system, linking the WAP and the Amundsen Sea.</t>
  </si>
  <si>
    <t>[Chretien, L. M. Schulze; Swaim, N.; LoBuglio, C.] Jacksonville Univ, Dept Biol &amp; Marine Sci, Marine Sci Res Inst, Jacksonville, FL 32211 USA; [Thompson, A. F.; Flexas, M. M.] CALTECH, Environm Sci &amp; Engn, Pasadena, CA 91125 USA; [Speer, K.; Schubert, R.] Florida State Univ, Dept Sci Comp, Geophys Fluid Dynam Inst, Tallahassee, FL 32306 USA; [Ruan, X.] MIT, Dept Earth Atmospher &amp; Planetary Sci, 77 Massachusetts Ave, Cambridge, MA 02139 USA; [Oelerich, R.] Univ East Anglia, Ctr Ocean &amp; Atmospher Sci, Sch Environm Sci, Norwich, Norfolk, England</t>
  </si>
  <si>
    <t>Jacksonville University; California Institute of Technology; State University System of Florida; Florida State University; Massachusetts Institute of Technology (MIT); University of East Anglia</t>
  </si>
  <si>
    <t>Chretien, LMS (corresponding author), Jacksonville Univ, Dept Biol &amp; Marine Sci, Marine Sci Res Inst, Jacksonville, FL 32211 USA.</t>
  </si>
  <si>
    <t>lschulz2@ju.edu</t>
  </si>
  <si>
    <t>Flexas, Mar/GOV-3308-2022</t>
  </si>
  <si>
    <t>Swaim, Natalie/0000-0001-9005-6750; Flexas, Mar/0000-0002-0617-3004; Ruan, Xiaozhou/0000-0003-1240-1584</t>
  </si>
  <si>
    <t>National Science Foundation; NSF [OPP-1644172, OPP-1643679]; David and Lucille Packard Foundation; COMPASS project from the European Research Council under the European Union's Horizon 2020 research and innovation program [741120]; European Research Council (ERC) [741120] Funding Source: European Research Council (ERC)</t>
  </si>
  <si>
    <t>National Science Foundation(National Science Foundation (NSF)); NSF(National Science Foundation (NSF)); David and Lucille Packard Foundation(The David &amp; Lucile Packard Foundation); COMPASS project from the European Research Council under the European Union's Horizon 2020 research and innovation program; European Research Council (ERC)(European Research Council (ERC)Spanish Government)</t>
  </si>
  <si>
    <t>The authors acknowledge essential contributions from the captain and crew of the R/V Nathaniel B. Palmer as well as the Antarctic Support Contract staff during NBP19-01. This work was supported by the National Science Foundation. A. F. Thompson, X. Ruan, and M. M. Flexas were supported by NSF OPP-1644172 and the David and Lucille Packard Foundation. L. M. Schulze Chretien, K. Speer, N. Swaim, R. Schubert, and C. LoBuglio were supported by NSF OPP-1643679. R. Oelerich is supported by the COMPASS project from the European Research Council under the European Union's Horizon 2020 research and innovation program (grant agreement no 741120). We are grateful for comments from three reviewers that substantially improved this manuscript.</t>
  </si>
  <si>
    <t>e2020JC016871</t>
  </si>
  <si>
    <t>10.1029/2020JC016871</t>
  </si>
  <si>
    <t>WOS:000654462400063</t>
  </si>
  <si>
    <t>Ruan, XZ; Speer, KG; Thompson, AF; Chretien, LMS; Shoosmith, DR</t>
  </si>
  <si>
    <t>Ruan, Xiaozhou; Speer, Kevin G.; Thompson, Andrew F.; Chretien, Lena M. Schulze; Shoosmith, Deborah R.</t>
  </si>
  <si>
    <t>Ice-Shelf Meltwater Overturning in the Bellingshausen Sea</t>
  </si>
  <si>
    <t>Antarctica; ice-shelf melting; meltwater; overturning</t>
  </si>
  <si>
    <t>PINE ISLAND GLACIER; WESTERN ANTARCTIC PENINSULA; AMUNDSEN SEA; OCEAN CIRCULATION; WATER; VARIABILITY; MASS; SENSITIVITY; PACIFIC; RETREAT</t>
  </si>
  <si>
    <t>Hydrographic data are analyzed for the broad continental shelf of the Bellingshausen Sea, which is host to a number of rapidly thinning ice shelves. The flow of warm Circumpolar Deep Water (CDW) onto the continental shelf is observed in the two major glacially carved troughs, the Belgica and Latady troughs. Using ship-based measurements of potential temperature, salinity, and dissolved oxygen, collected across several coast-to-coast transects over the Bellingshausen shelf in 2007, the velocity and circulation patterns are inferred based on geostrophic balance and further constrained by the tracer and mass budgets. Meltwater was observed at the surface and at intermediate depth toward the western side of the continental shelf, collocated with inferred outflows. The maximum conversion rate from the dense CDW to lighter water masses by mixing with glacial meltwater is estimated to be 0.37 +/- 0.1 Sv in both depth and potential density spaces. This diapycnal overturning is comparable to previous estimates made in the neighboring Amundsen Sea, highlighting the overlooked importance of water mass modification and meltwater production associated with glacial melting in the Bellingshausen Sea.</t>
  </si>
  <si>
    <t>[Ruan, Xiaozhou] MIT, Dept Earth Atmospher &amp; Planetary Sci, Cambridge, MA 02139 USA; [Speer, Kevin G.] Florida State Univ, Geophys Fluid Dynam Inst, Dept Sci Comp, Tallahassee, FL 32306 USA; [Thompson, Andrew F.] CALTECH, Environm Sci &amp; Engn, Pasadena, CA USA; [Chretien, Lena M. Schulze] Jacksonville Univ, Dept Biol Marine Sci, Marine Sci Res Inst, Jacksonville, FL USA; [Shoosmith, Deborah R.] British Antarctic Survey, Cambridge, England</t>
  </si>
  <si>
    <t>Massachusetts Institute of Technology (MIT); State University System of Florida; Florida State University; California Institute of Technology; Jacksonville University; UK Research &amp; Innovation (UKRI); Natural Environment Research Council (NERC); NERC British Antarctic Survey</t>
  </si>
  <si>
    <t>Ruan, XZ (corresponding author), MIT, Dept Earth Atmospher &amp; Planetary Sci, Cambridge, MA 02139 USA.</t>
  </si>
  <si>
    <t>xruan@mit.edu</t>
  </si>
  <si>
    <t>Ruan, Xiaozhou/0000-0003-1240-1584</t>
  </si>
  <si>
    <t>NSF [OPP-1644172, OPP-1643679, OCE-1658479]; NERC [bas0100033] Funding Source: UKRI</t>
  </si>
  <si>
    <t>NSF(National Science Foundation (NSF)); NERC(UK Research &amp; Innovation (UKRI)Natural Environment Research Council (NERC))</t>
  </si>
  <si>
    <t>The authors thank Laurence Padman for his detailed and insightful comments that improved the presentation of the manuscript. X. Ruan and A. F. Thompson were supported by NSF OPP-1644172. K. Speer acknowledges support from NSF OPP-1643679 and NSF OCE-1658479.</t>
  </si>
  <si>
    <t>e2020JC016957</t>
  </si>
  <si>
    <t>10.1029/2020JC016957</t>
  </si>
  <si>
    <t>WOS:000654462400008</t>
  </si>
  <si>
    <t>Scott, RM; Brearley, JA; Garabato, ACN; Venables, HJ; Meredith, MP</t>
  </si>
  <si>
    <t>Scott, Ryan M.; Brearley, J. Alexander; Garabato, Alberto C. Naveira; Venables, Hugh J.; Meredith, Michael P.</t>
  </si>
  <si>
    <t>Rates and Mechanisms of Turbulent Mixing in a Coastal Embayment of the West Antarctic Peninsula</t>
  </si>
  <si>
    <t>autonomous glider; heat fluxes; hydraulic control; near-inertial shear; topographic ridge; turbulent mixing</t>
  </si>
  <si>
    <t>ENERGY FLUX; HYDRAULIC CONTROL; INTERNAL WAVES; MARGUERITE BAY; TRAPPED WAVES; UPPER OCEAN; TIDAL FLOW; ICE-SHELF; SEA-ICE; WATER</t>
  </si>
  <si>
    <t>Quantifying and understanding the processes driving turbulent mixing around Antarctica are key to closing the Southern Ocean's heat budget, an essential component of the global climate system. In 2016, a glider deployed in Ryder Bay, West Antarctic Peninsula, collected hydrographic and microstructure data, obtaining some of the first direct measurements of turbulent kinetic energy dissipation off West Antarctica. Elevated dissipation O(10(-8)) W kg(-1) is found above a topographic ridge separating the 520-m-deep bay, where values are O(10(-10)) W kg(-1), from a deep fjord of the continental shelf, suggesting the ridge is important in driving upward mixing of warm Circumpolar Deep Water. The 12 glider transects reveal significant temporal variability in hydrographic and dissipation conditions. Mooring-based current and nearby meteorological data are used to attribute thermocline shoaling (deepening) to Ekman upwelling (downwelling) at Ryder Bay's southern boundary, driven by similar to 3-day-long south-westward (north-westward) wind events. Anticyclonic winds generated near-inertial shear in the bay's upper layers, causing elevated bay-wide shear and dissipation similar to 1.7 days later. High dissipation over the ridge appears to be controlled hydraulically, being co-located (and moving) with steeply sloping isopycnals. These are observed in similar to 60% of the transects, with a corresponding mean upward heat flux of similar to 2.4 W m(-2). The ridge, therefore, provides sustained heat to the base of the thermocline, which can be released into overlying waters during the bay-wide, thermocline-focused dissipation events (mean heat flux of similar to 1.3 W m(-2)). This highlights the role of ridges, which are widespread across the West Antarctic Peninsula, in the regional heat budget. Plain Language Summary Glacial ice flowing off the Antarctic continent either terminates directly into the ocean or forms floating tongues called ice shelves. Marine-terminating glaciers and ice shelves in West Antarctica are melting rapidly, contributing significantly to global sea-level rise. The melting has largely been attributed to the presence of warm deep waters, which travel at depth from the shelf break toward the coast, before mixing upwards and coming into contact with ice. However, we lack an understanding of the vertical mixing processes. In 2016, an autonomous underwater robot was used to measure the vertical mixing in Ryder Bay, off the West Antarctic Peninsula. Increased vertical mixing was consistently observed above a ridge on the seafloor at the bay's entrance, suggesting that the ridge is a hotspot for bringing sustained deep-ocean heat to shallower depths. The heat rises until it reaches a strong temperature gradient in the ocean, with colder, less-dense water above. This gradient typically prevents rapid mixing; however, strong winds are found to cause bay-wide intense mixing events that release heat across the gradient into overlying waters. Similar ridges are widespread off the West Antarctic Peninsula, suggesting that they are important regionally for bringing heat toward glaciers and ice shelves.</t>
  </si>
  <si>
    <t>[Scott, Ryan M.; Brearley, J. Alexander; Venables, Hugh J.; Meredith, Michael P.] British Antarctic Survey, Cambridge, England; [Scott, Ryan M.; Garabato, Alberto C. Naveira] Univ Southampton, Natl Oceanog Ctr Southampton, Ocean &amp; Earth Sci, Southampton, Hants, England</t>
  </si>
  <si>
    <t>UK Research &amp; Innovation (UKRI); Natural Environment Research Council (NERC); NERC British Antarctic Survey; University of Southampton; NERC National Oceanography Centre</t>
  </si>
  <si>
    <t>Scott, RM (corresponding author), British Antarctic Survey, Cambridge, England.;Scott, RM (corresponding author), Univ Southampton, Natl Oceanog Ctr Southampton, Ocean &amp; Earth Sci, Southampton, Hants, England.</t>
  </si>
  <si>
    <t>ryacot85@bas.ac.uk</t>
  </si>
  <si>
    <t>Brearley, Alexander/C-3313-2012</t>
  </si>
  <si>
    <t>Brearley, Alexander/0000-0003-3700-8017; Scott, Ryan/0000-0002-2141-7978</t>
  </si>
  <si>
    <t>Natural Environmental Research Council [NE/N012070/1, NE/R016038/1, NE/L011166/1]; NERC; Royal Society; Wolfson Foundation; NERC [NE/L011166/1, NE/N012070/1, NE/R016038/1] Funding Source: UKRI</t>
  </si>
  <si>
    <t>Natural Environmental Research Council(UK Research &amp; Innovation (UKRI)Natural Environment Research Council (NERC)); NERC(UK Research &amp; Innovation (UKRI)Natural Environment Research Council (NERC)); Royal Society(Royal Society); Wolfson Foundation; NERC(UK Research &amp; Innovation (UKRI)Natural Environment Research Council (NERC))</t>
  </si>
  <si>
    <t>The authors would like to thank those involved in deploying and recovering the glider and mooring used in this study, the Marine Assistants who collect the Rothera Time Series (RaTS), and Laura Gerrish from the MAGIC Department at the British Antarctic Survey, who created Figure 1a. The authors would also like to thank Dr. Lucas Merckelbach and Prof. Mark Inall for their help setting up the hydrodynamic flight model and analysis of basin-scale wave modes and CTWs, respectively. The authors also thank Dr. Borja Aguiar-Gonza ' lez and an anonymous reviewer for providing useful feedback that significantly improved the manuscript. This study was supported by the Natural Environmental Research Council (Grant numbers NE/N012070/1 [Ryan M. Scott], NE/R016038/1 [J. Alexander Brearley, Hugh J. Venables, and Michael P. Meredith], and NE/L011166/1 [J. Alexander Brearley]. RaTS is a component of the BAS Polar Oceans program, funded by NERC. Alberto C. Naveira Garabato acknowledges the support of the Royal Society and the Wolfson Foundation.</t>
  </si>
  <si>
    <t>e2020JC016861</t>
  </si>
  <si>
    <t>10.1029/2020JC016861</t>
  </si>
  <si>
    <t>WOS:000654462400054</t>
  </si>
  <si>
    <t>Tian, F; Pickart, RS; Lin, PG; Pacini, A; Moore, GWK; Stabeno, P; Weingartner, T; Itoh, M; Kikuchi, T; Dobbins, E; Bell, S; Woodgate, RA; Danielson, SL; Wang, ZM</t>
  </si>
  <si>
    <t>Tian, Fei; Pickart, Robert S.; Lin, Peigen; Pacini, Astrid; Moore, G. W. K.; Stabeno, Phyllis; Weingartner, Thomas; Itoh, Motoyo; Kikuchi, Takashi; Dobbins, Elizabeth; Bell, Shaun; Woodgate, Rebecca A.; Danielson, Seth L.; Wang, Zhaomin</t>
  </si>
  <si>
    <t>Mean and Seasonal Circulation of the Eastern Chukchi Sea From Moored Timeseries in 2013-2014</t>
  </si>
  <si>
    <t>WATER PROPERTIES; EKMAN TRANSPORT; WINTER WATER; SHELF; VARIABILITY; PATTERNS; BARROW; SLOPE; FLOW; BOUNDARY</t>
  </si>
  <si>
    <t>From late-summer 2013 to late-summer 2014, a total of 20 moorings were maintained on the eastern Chukchi Sea shelf as part of five independent field programs. This provided the opportunity to analyze an extensive set of timeseries to obtain a broad view of the mean and seasonally varying hydrography and circulation over the course of the year. Year-long mean bottom temperatures reflected the presence of the strong coastal circulation pathway, while mean bottom salinities were influenced by polynya/lead activity along the coast. The timing of the warm water appearance in spring/summer is linked to advection along the various flow pathways. The timing of the cold water appearance in fall/winter was not reflective of advection nor related to the time of freeze-up. Near the latitude of Barrow Canyon, the cold water was accompanied by freshening. A one-dimensional mixed-layer model demonstrates that wind mixing, due to synoptic storms, overturns the water column resulting in the appearance of the cold water. The loitering pack ice in the region, together with warm southerly winds, melted ice and provided an intermittent source of fresh water that was mixed to depth according to the model. Farther north, the ambient stratification prohibits wind-driven overturning, hence the cold water arrives from the south. The circulation during the warm and cold months of the year is different in both strength and pattern. Our study highlights the multitude of factors involved in setting the seasonal cycle of hydrography and circulation on the Chukchi shelf. Plain Language Summary From late-summer 2013 to 2014, a total of 20 moorings were maintained on the eastern Chukchi Sea shelf, north of Bering Strait, as part of five independent field programs. We analyze these data to obtain a broad view of the mean water conditions and circulation, as well as the dominant variability over the course of the year. The year-long mean bottom temperatures reflected the presence of the strong current adjacent to the Alaskan coast, while the mean bottom salinities were influenced by the frequent presence of persistent openings in the sea ice, which result in the formation of salty water when the ice re-freezes. The appearance of warm water across the shelf in spring/summer was mainly dictated by the speed of the water from south to north. However, the appearance of cold water in fall/winter was not reflective of this. Using a simple model, it is demonstrated that storm events mixed cold and fresh surface water to the bottom on the mid-shelf. Farther to the northeast, this does not happen because the water is more stratified, and this prohibits such wind mixing. Finally, it is shown that the circulation during the warm and cold months of the year is different in both strength and pattern.</t>
  </si>
  <si>
    <t>[Tian, Fei; Wang, Zhaomin] Hohai Univ, Coll Oceanog, Int Polar Environm Res Lab, Nanjing, Peoples R China; [Pickart, Robert S.; Lin, Peigen; Pacini, Astrid] Woods Hole Oceanog Inst, Woods Hole, MA 02543 USA; [Moore, G. W. K.] Univ Toronto, Dept Phys, Toronto, ON, Canada; [Stabeno, Phyllis; Bell, Shaun] NOAA, Pacific Marine Environm Lab, 7600 Sand Point Way Ne, Seattle, WA 98115 USA; [Weingartner, Thomas; Dobbins, Elizabeth; Danielson, Seth L.] Univ Alaska, Coll Fisheries &amp; Ocean Sci, Fairbanks, AK 99701 USA; [Itoh, Motoyo; Kikuchi, Takashi] Japan Agcy Marine Earth Sci &amp; Technol, Inst Observat Res Global Change, Yokosuka, Kanagawa, Japan; [Bell, Shaun] Univ Washington, Joint Inst Study Atmosphere &amp; Oceans, Seattle, WA 98195 USA; [Woodgate, Rebecca A.] Univ Washington, Appl Phys Lab, Seattle, WA 98105 USA</t>
  </si>
  <si>
    <t>Hohai University; Woods Hole Oceanographic Institution; University of Toronto; National Oceanic Atmospheric Admin (NOAA) - USA; University of Alaska System; University of Alaska Fairbanks; Japan Agency for Marine-Earth Science &amp; Technology (JAMSTEC); University of Washington; University of Washington Seattle; University of Washington; University of Washington Seattle</t>
  </si>
  <si>
    <t>Pickart, RS (corresponding author), Woods Hole Oceanog Inst, Woods Hole, MA 02543 USA.</t>
  </si>
  <si>
    <t>rpickart@whoi.edu</t>
  </si>
  <si>
    <t>Moore, George Kent/D-8518-2011</t>
  </si>
  <si>
    <t>Moore, George Kent/0000-0002-3986-5605; Dobbins, Elizabeth/0000-0002-4014-977X; Tian, Fei/0000-0002-1587-4929; Lin, Peigen/0000-0002-2410-976X; Stabeno, Phyllis/0000-0003-3128-4934</t>
  </si>
  <si>
    <t>Bureau of Ocean Energy Management; National Oceanic and Atmospheric Administration; National Science Foundation; Japanese Agency for Marine-Earth Science and Technology; National Oceanic and Atmospheric Administration [NA14OAR4320158]; National Science Foundation [PLR-1504333, OPP1733564, PLR-1758565]; North Pacific Research Board [A91-99a, A91-00a]; Chinese Arctic and Antarctic [CXPT2020009]; Natural Sciences and Engineering Research Council of Canada</t>
  </si>
  <si>
    <t>Bureau of Ocean Energy Management; National Oceanic and Atmospheric Administration(National Oceanic Atmospheric Admin (NOAA) - USA); National Science Foundation(National Science Foundation (NSF)); Japanese Agency for Marine-Earth Science and Technology; National Oceanic and Atmospheric Administration(National Oceanic Atmospheric Admin (NOAA) - USA); National Science Foundation(National Science Foundation (NSF)); North Pacific Research Board; Chinese Arctic and Antarctic; Natural Sciences and Engineering Research Council of Canada(Natural Sciences and Engineering Research Council of Canada (NSERC)CGIAR)</t>
  </si>
  <si>
    <t>A large number of technicians were responsible for the collection, processing, and quality control of the data that went into this study. The authors are extremely grateful to all of these individuals, and to the funding agencies that supported the respective field programs: The Bureau of Ocean Energy Management; The National Oceanic and Atmospheric Administration; The National Science Foundation; and The Japanese Agency for Marine-Earth Science and Technology. Support for this analysis was provided by the following grants: National Oceanic and Atmospheric Administration grant NA14OAR4320158; National Science Foundation grants PLR-1504333, OPP1733564, PLR-1758565; North Pacific Research Board grants A91-99a and A91-00a; Chinese Arctic and Antarctic grant CXPT2020009; Natural Sciences and Engineering Research Council of Canada.</t>
  </si>
  <si>
    <t>e2020JC016863</t>
  </si>
  <si>
    <t>10.1029/2020JC016863</t>
  </si>
  <si>
    <t>WOS:000654462400004</t>
  </si>
  <si>
    <t>Palechek, TN; Moiseev, AV</t>
  </si>
  <si>
    <t>Palechek, T. N.; Moiseev, A., V</t>
  </si>
  <si>
    <t>Late Jurassic-Early Cretaceous Radiolarians in Tectonostratigraphic Sections of the Algan Terrane, Koryak Highland</t>
  </si>
  <si>
    <t>STRATIGRAPHY AND GEOLOGICAL CORRELATION</t>
  </si>
  <si>
    <t>tectonostratigraphy; radiolarians; Kimmeridgian-Berriasian; Ust' Belaya Mountains; Algan terrane; Koryak Highland; accretionary tectonics</t>
  </si>
  <si>
    <t>CALLOVIAN RADIOLARIANS; SEDIMENTARY COVER; NEUQUEN BASIN; TETHYAN; AREA; BIOSTRATIGRAPHY; ASSEMBLAGES; MOUNTAINS; SEQUENCES; OPHIOLITE</t>
  </si>
  <si>
    <t>New data on the age of the tectonostratigraphic sections in the area of the Utesiki River (northwestern part of Koryak Highland) are presented. A new Kimmeridgian-Berriasian association of radiolarians belonging to the South Boreal Province has been identified. Species characteristic of the Kimmeridgian-Berriasian of North and South America, Japan, the Antarctic Peninsula, and a number of areas of the Tethys region are identified in the association studied. The correlation with adjacent regions of the Pacific region is carried out.</t>
  </si>
  <si>
    <t>[Palechek, T. N.; Moiseev, A., V] Russian Acad Sci, Geol Inst, Moscow, Russia</t>
  </si>
  <si>
    <t>Geological Institute, Russian Academy of Sciences; Russian Academy of Sciences</t>
  </si>
  <si>
    <t>Palechek, TN (corresponding author), Russian Acad Sci, Geol Inst, Moscow, Russia.</t>
  </si>
  <si>
    <t>tpalechek@yandex.ru</t>
  </si>
  <si>
    <t>Russian Foundation for Basic Research [18-35-20037]; Russian Science Foundation [18-77-10073]; Russian Science Foundation [18-77-10073] Funding Source: Russian Science Foundation</t>
  </si>
  <si>
    <t>This work was carried out within the framework of the state assignment for the Geological Institute, Russian Academy of Sciences. Sample preparation was funded by the Russian Foundation for Basic Research (grant mol_a_ved no. 18-35-20037); preparing and filming radiolarians for the SEM analysis was funded by the Russian Science Foundation (grant no. 18-77-10073).</t>
  </si>
  <si>
    <t>0869-5938</t>
  </si>
  <si>
    <t>1555-6263</t>
  </si>
  <si>
    <t>STRATIGR GEO CORREL+</t>
  </si>
  <si>
    <t>Stratigr. Geol. Correl.</t>
  </si>
  <si>
    <t>10.1134/S0869593821030059</t>
  </si>
  <si>
    <t>SM7GN</t>
  </si>
  <si>
    <t>WOS:000657769200002</t>
  </si>
  <si>
    <t>Machado, CB; Campos, TLOB; Abou Rafee, SA; Martins, JA; Grimm, AM; de Freitas, ED</t>
  </si>
  <si>
    <t>Machado, Carolyne B.; Campos, Thamiris L. O. B.; Abou Rafee, Sameh A.; Martins, Jorge A.; Grimm, Alice M.; de Freitas, Edmilson D.</t>
  </si>
  <si>
    <t>Extreme Rainfall Events in the Macrometropolis of Sao Paulo: Trends and Connection with Climate Oscillations</t>
  </si>
  <si>
    <t>JOURNAL OF APPLIED METEOROLOGY AND CLIMATOLOGY</t>
  </si>
  <si>
    <t>Extreme events; Oscillations; Rainfall; Climate change</t>
  </si>
  <si>
    <t>ATLANTIC MULTIDECADAL OSCILLATION; SOUTHEASTERN SOUTH-AMERICA; LOW-FREQUENCY VARIABILITY; PRECIPITATION EVENTS; INTERDECADAL VARIABILITY; METROPOLITAN-AREA; SEA-BREEZE; LONG-TERM; ANOMALIES; IMPACTS</t>
  </si>
  <si>
    <t>In this work, the trend of extreme rainfall indices in the macrometropolis of Sao Paulo (MMSP) was analyzed and correlated with large-scale climatic oscillations. A cluster analysis divided a set of rain gauge stations into three homogeneous regions within MMSP, according to the annual cycle of rainfall. The entire MMSP presented an increase in the total annual rainfall, from 1940 to 2016, of 3 mm yr(-1) on average, according to a Mann-Kendall test. However, there is evidence that the more urbanized areas have a greater increase in the frequency and magnitude of extreme events while coastal and mountainous areas, and regions outside large urban areas, have increasing rainfall in a better-distributed way throughout the year. The evolution of extreme rainfall (95th percentile) is significantly correlated with climatic indices. In the center-north part of the MMSP, the combination of Pacific decadal oscillation (PDO) and Antarctic Oscillation (AAO) explains 45% of the P95th increase during the wet season. In turn, in southern MMSP, the temperature of South Atlantic (TSA), the AAO, El Nino-South Oscillation (ENSO), and the multidecadal oscillation of the North Atlantic (AMO) better explain the increase in extreme rainfall (R-2 = 0.47). However, the same is not observed during the dry season, in which the P95th variation was only negatively correlated with the AMO, undergoing a decrease from the 1970s until the beginning of this century. The occurrence of rainy anomalous months proved to be more frequent and associated with climatic indices than was the occurrence of dry months.</t>
  </si>
  <si>
    <t>[Machado, Carolyne B.; Campos, Thamiris L. O. B.; Abou Rafee, Sameh A.; de Freitas, Edmilson D.] Univ Sao Paulo, Inst Astron Geofis &amp; Ciencias Atmosfer, Dept Ciencias Atmosfer, Sao Paulo, Brazil; [Martins, Jorge A.] Univ Tecnol Fed Parana, Londrina, Parana, Brazil; [Grimm, Alice M.] Univ Fed Parana, Curitiba, Parana, Brazil</t>
  </si>
  <si>
    <t>Universidade de Sao Paulo; Pontificia Universidade Catolica do Parana; Universidade Tecnologica Federal do Parana; Universidade Federal do Parana</t>
  </si>
  <si>
    <t>Machado, CB (corresponding author), Univ Sao Paulo, Inst Astron Geofis &amp; Ciencias Atmosfer, Dept Ciencias Atmosfer, Sao Paulo, Brazil.</t>
  </si>
  <si>
    <t>carolyne.bmachado@gmail.com</t>
  </si>
  <si>
    <t>Freitas, Edmilson Dias/A-1447-2008; Rafee, Sameh Adib Abou/M-6307-2017; Martins, Jorge Alberto/A-4785-2013; de Oliveira Brandão Campos, Thamiris Luisa/R-4929-2019</t>
  </si>
  <si>
    <t>Freitas, Edmilson Dias/0000-0001-8783-2747; Martins, Jorge Alberto/0000-0003-4284-0676; de Oliveira Brandão Campos, Thamiris Luisa/0000-0003-2733-4679</t>
  </si>
  <si>
    <t>Coordenacao de Aperfeicoamento de Pessoal de Nivel Superior (CAPES); Brazilian National Water Agency (ANA) [88887.115875/2015-01]; FAPESP [2015/03804-9, 2019/12015-9]; Conselho Nacional de Desenvolvimento Cientifico e Tecnologico (CNPq, Brazil); Inter-American Institute for Global Change Research (IAI) [CRN3035]</t>
  </si>
  <si>
    <t>Coordenacao de Aperfeicoamento de Pessoal de Nivel Superior (CAPES)(Coordenacao de Aperfeicoamento de Pessoal de Nivel Superior (CAPES)); Brazilian National Water Agency (ANA); FAPESP(Fundacao de Amparo a Pesquisa do Estado de Sao Paulo (FAPESP)); Conselho Nacional de Desenvolvimento Cientifico e Tecnologico (CNPq, Brazil)(Conselho Nacional de Desenvolvimento Cientifico e Tecnologico (CNPQ)); Inter-American Institute for Global Change Research (IAI)</t>
  </si>
  <si>
    <t>This work was funded by CoordenacAo de Aperfeicoamento de Pessoal de Nivel Superior (CAPES) and Brazilian National Water Agency (ANA), Process 88887.115875/2015-01. The authors gratefully acknowledge FAPESP for supporting the thematic project Environmental Governance of the Paulista Macrometropolis in the face of climate variability, Process 2015/03804-9. We also thank the National Water Agency for providing the data. Thamiris L. de O. B. Campos thanks the FAPESP Process (2019/12015-9). Alice M. Grimm acknowledges the support of Conselho Nacional de Desenvolvimento Cientifico e Tecnologico (CNPq, Brazil), and the Inter-American Institute for Global Change Research (IAI) Grant CRN3035.</t>
  </si>
  <si>
    <t>1558-8424</t>
  </si>
  <si>
    <t>1558-8432</t>
  </si>
  <si>
    <t>J APPL METEOROL CLIM</t>
  </si>
  <si>
    <t>J. Appl. Meteorol. Climatol.</t>
  </si>
  <si>
    <t>10.1175/JAMC-D-20-0173.1</t>
  </si>
  <si>
    <t>SR1QD</t>
  </si>
  <si>
    <t>WOS:000660818400003</t>
  </si>
  <si>
    <t>Pohl, B; Saucède, T; Favier, V; Pergaud, J; Verfaillie, D; Féral, JP; Krasniqi, Y; Richard, Y</t>
  </si>
  <si>
    <t>Pohl, Benjamin; Saucede, Thomas; Favier, Vincent; Pergaud, Julien; Verfaillie, Deborah; Feral, Jean-Pierre; Krasniqi, Ylber; Richard, Yves</t>
  </si>
  <si>
    <t>Recent Climate Variability around the Kerguelen Islands (Southern Ocean) Seen through Weather Regimes</t>
  </si>
  <si>
    <t>Southern Ocean; Antarctic Oscillation; Climate variability; Interannual variability; Southern Oscillation</t>
  </si>
  <si>
    <t>ANNULAR MODE; EL-NINO; ANTARCTIC OSCILLATION; SURFACE-TEMPERATURE; AFRICAN RAINFALL; AMERICAN MODES; 49-DEGREES-S; FIELD; ENSO</t>
  </si>
  <si>
    <t>Daily weather regimes are defined around the Kerguelen Islands (Southern Ocean) on the basis of daily 500-hPa geopotential height anomalies derived from the ERA5 ensemble reanalysis over the period 1979-2018. Ten regimes are retained as significant. Their occurrences are highly consistent across reanalysis ensemble members. Regimes show weak seasonality and nonsignificant long-term trends in their occurrences. Their sequences are usually short (1-3 days), with extreme persistence values above 10 days. Seasonal regime frequency is mostly driven by the phase of the southern annular mode over Antarctica, midlatitude dynamics over the Southern Ocean such as the Pacific-South American mode, and, to a lesser extent, tropical variability, with significant but weaker relationships with El Nino-Southern Oscillation. At the local scale over the Kerguelen Islands, regimes have a strong influence on measured atmospheric and oceanic variables, including minimum and maximum air temperature, mostly driven by horizontal advections, seawater temperature recorded 5 m below the surface, wind speed, and sea level pressure. Relationships are weaker for precipitation amounts. Regimes also modify regional contrasts between observational sites in Kerguelen, highlighting strong exposure contrasts. The regimes allow us to improve our understanding of weather and climate variability and interactions in this region; they will be used in future work to assess past and projected long-term circulation changes in the southern midlatitudes.</t>
  </si>
  <si>
    <t>[Pohl, Benjamin; Saucede, Thomas; Pergaud, Julien; Krasniqi, Ylber; Richard, Yves] Univ Bourgogne Franche Comte, UMR6282 CNRS, Biogeosci, Dijon, France; [Favier, Vincent] Univ Grenoble Alpes, IGE, CNRS IRD G INP, Grenoble, France; [Verfaillie, Deborah] Catholic Univ Louvain, Georges Lemaitre Ctr Earth &amp; Climate Res, Earth &amp; Life Inst, Louvain La Neuve, Belgium; [Feral, Jean-Pierre] Aix Marseille Univ, Avignon Univ, Stn Marine Endoume, CNRS IRD,IMBE UMR7263, Marseille, France</t>
  </si>
  <si>
    <t>Universite de Bourgogne; Communaute Universite Grenoble Alpes; Universite Grenoble Alpes (UGA); Universite Catholique Louvain; Avignon Universite; Centre National de la Recherche Scientifique (CNRS); CNRS - Institute of Ecology &amp; Environment (INEE); Aix-Marseille Universite; Institut de Recherche pour le Developpement (IRD)</t>
  </si>
  <si>
    <t>Pohl, B (corresponding author), Univ Bourgogne Franche Comte, UMR6282 CNRS, Biogeosci, Dijon, France.</t>
  </si>
  <si>
    <t>benjamin.pohl@u-bourgogne.fr</t>
  </si>
  <si>
    <t>Favier, Vincent/T-1936-2017; Richard, Yves/F-1874-2011; FERAL, Jean-Pierre/N-1895-2018; Pohl, Benjamin/L-7696-2017</t>
  </si>
  <si>
    <t>FERAL, Jean-Pierre/0000-0001-7627-0160; Pohl, Benjamin/0000-0002-9339-797X</t>
  </si>
  <si>
    <t>GLACIOCLIM-KESAACO program [IPEV-1048]; LEFE-INSU KCRuMBLE program</t>
  </si>
  <si>
    <t>GLACIOCLIM-KESAACO program; LEFE-INSU KCRuMBLE program</t>
  </si>
  <si>
    <t>The authors thank the Journal of Applied Meteorology and Climatology editorial staff and two anonymous reviewers whose constructive comments helped to improve this paper. This work is a contribution to program 1044-Proteker of the French Polar Institute and to the French LTSER Zone AtelierAntarctique (ZATA, CNRS INEE). The distributed weather station network at Kerguelen was funded by IPEV-1048 GLACIOCLIM-KESAACO and LEFE-INSU KCRuMBLE programs. Logistical supply to the Kerguelen Islands was provided by the French Polar Institute. We are indebted to the National Nature Reserve of the French Southern Territories and crews of RVs Commerson and La Curieuse who provided technical assistance in the field. All analyses were made with Python (numpy, pandas, scipy, sklearn, math, matplotlib, cartopy, seaborn, and netCDF4), the developers of which are thanked. Calculations were performed using HPC resources from DNUM Centre de Calcul de l'Universite de Bourgogne (CCUB).</t>
  </si>
  <si>
    <t>10.1175/JAMC-D-20-0255.1</t>
  </si>
  <si>
    <t>WOS:000660818400006</t>
  </si>
  <si>
    <t>Pereira, LAL; Amanajás, RD; de Oliveira, AM; de Silva, MDP; Val, AL</t>
  </si>
  <si>
    <t>Pereira, Luiz Andre Lima; Amanajas, Renan Diego; de Oliveira, Alzira Miranda; de Silva, Maria de Nazare Paula; Val, Adalberto Luis</t>
  </si>
  <si>
    <t>Health of the Amazonian fish tambaqui (Colossoma macropomum): Effects of prolonged photoperiod and high temperature</t>
  </si>
  <si>
    <t>Light; Immunity; Stress; Performance; Warmth</t>
  </si>
  <si>
    <t>OXIDATIVE STRESS; RAINBOW-TROUT; HEMATOLOGICAL PARAMETERS; INCREASING TEMPERATURE; ANTARCTIC FISH; GROWTH; ANTIOXIDANT; RESPONSES; MATURATION; LEUKOCYTES</t>
  </si>
  <si>
    <t>Photoperiod and temperature often change concomitantly in nature and regulate physiological responses that ultimately determine the health of species. However, the impact of these changes is poorly investigated from the perspective of optimal conditions for the management of fish, and the association of these variables. In this study, we evaluated the levels of oxidative stress, antioxidant response and the numbers of leukocytes in specimens of Colossoma macropomum submitted to the combination of three photoperiods (0L:24D, 12L:12D, and 18L:6D) and three temperatures (26, 29 and 32 degrees C) during 60 days. Our main findings showed an increase in oxidative damage of up to 141% and an antioxidant response of up to 167% in animals under 18L:6D - 32 degrees C. The results showed an interaction between photoperiod and temperature on immunity, with an increase in the number of lymphocytes (37%), monocytes (60%) and eosinophils (226%) between 26 and 32 degrees C. Thrombocytopenia (-96%) occurred with the rise in temperatures and thrombocytosis (139%) occurred with a simultaneous decrease in photoperiod and a temperature of 26 degrees C. A reduction in neutrophils was observed in animals exposed to 18L:6D - 32 degrees C in relation to the group 12L:12D - 32 degrees C (-67%). The data suggested that, due to increased oxidative damage, the farming of tambaqui in an extended photoperiod under high temperatures makes the animal more susceptible to inflammation and alters its ability to deal with infections. In addition, variations in the profile of thrombocytes suggested that the increase in the photoperiod at lower temperatures requires physiological adjustments to support changes in the farming conditions.</t>
  </si>
  <si>
    <t>[Pereira, Luiz Andre Lima; Amanajas, Renan Diego; de Oliveira, Alzira Miranda; de Silva, Maria de Nazare Paula; Val, Adalberto Luis] Inst Nacl Pesquisas Amazonia INPA, La Ecofisiol &amp; Evolucao Mol LEEM, Ave Andre Araujo 2936, BR-69067375 Manaus, Amazonas, Brazil; [Amanajas, Renan Diego] Inst Nacl Pesquisas Amazonia INPA, Programa Posgrad Biol Agua Doce &amp; Pesca Interior, Ave Andre Araujo 2936, BR-69067375 Manaus, Amazonas, Brazil</t>
  </si>
  <si>
    <t>Institute Nacional de Pesquisas da Amazonia; Institute Nacional de Pesquisas da Amazonia</t>
  </si>
  <si>
    <t>Amanajás, RD (corresponding author), Inst Nacl Pesquisas Amazonia INPA, La Ecofisiol &amp; Evolucao Mol LEEM, Ave Andre Araujo 2936, BR-69067375 Manaus, Amazonas, Brazil.</t>
  </si>
  <si>
    <t>renan.amanajas@gmail.com; npaula@inpa.gov.br; dalval@inpa.gov.br</t>
  </si>
  <si>
    <t>Amanajás, Renan Diego/ABD-9127-2020; Amanajás, Renan/AAL-8327-2021; Val, Adalberto/AAE-3983-2020</t>
  </si>
  <si>
    <t>Amanajás, Renan Diego/0000-0002-5057-7081; Val, Adalberto/0000-0002-3823-3868</t>
  </si>
  <si>
    <t>Brazilian National Research Council (CNPq); Coordination for the Improvement of Higher Education Personnel (CAPES); Amazonas State Research Support Foundation (FAPEAM), Brazil [465540/2014-7, 001, 062.01187/2017]; CAPES [001]; FAPEAM</t>
  </si>
  <si>
    <t>Brazilian National Research Council (CNPq)(Conselho Nacional de Desenvolvimento Cientifico e Tecnologico (CNPQ)); Coordination for the Improvement of Higher Education Personnel (CAPES)(Coordenacao de Aperfeicoamento de Pessoal de Nivel Superior (CAPES)); Amazonas State Research Support Foundation (FAPEAM), Brazil; CAPES(Coordenacao de Aperfeicoamento de Pessoal de Nivel Superior (CAPES)); FAPEAM</t>
  </si>
  <si>
    <t>This study was funded by the Brazilian National Research Council (CNPq), Coordination for the Improvement of Higher Education Personnel (CAPES), and the Amazonas State Research Support Foundation (FAPEAM), Brazil through support to INCT/ADAPTA [CNPQ process No. 465540/2014-7, CAPES -Financing code 001, and FAPEAM process 062.01187/2017]. LALP was a CNPq scientific initiation fellow, RDA is a CAPES doctoral fellow (financing code 001). AMO is a visiting researcher at INCT-ADAPTA financed by FAPEAM and ALV is a CNPq research fellow.</t>
  </si>
  <si>
    <t>AUG 30</t>
  </si>
  <si>
    <t>10.1016/j.aquaculture.2021.736836</t>
  </si>
  <si>
    <t>SM4ZI</t>
  </si>
  <si>
    <t>WOS:000657615200003</t>
  </si>
  <si>
    <t>Huang, LK; Mo, ZX; Liu, LL; Zeng, ZL; Chen, J; Xiong, S; He, HC</t>
  </si>
  <si>
    <t>Huang, Liangke; Mo, Zhixiang; Liu, Lilong; Zeng, Zhaoliang; Chen, Jun; Xiong, Si; He, Hongchang</t>
  </si>
  <si>
    <t>Evaluation of Hourly PWV Products Derived From ERA5 and MERRA-2 Over the Tibetan Plateau Using Ground-Based GNSS Observations by Two Enhanced Models</t>
  </si>
  <si>
    <t>ERA5; evaluation; Global Navigation Satellite System; MERRA-2; precipitable water vapor; Tibetan Plateau</t>
  </si>
  <si>
    <t>PRECIPITABLE WATER-VAPOR; WEIGHTED MEAN TEMPERATURE; GPS MEASUREMENTS; TROPOSPHERIC DELAY; EMPIRICAL-MODEL; VARIABILITY; RADIOSONDE; TRENDS; METEOROLOGY; REANALYSES</t>
  </si>
  <si>
    <t>Precipitable water vapor (PWV), despite being the key factor for assessing climate change over the Tibetan Plateau (TP), is undersampled in this region due to the complex terrain and climate conditions therein. The fifth-generation European Center for Medium-Range Weather Forecasts Reanalysis (ERA5) and Second Modern-Era Retrospective Analysis for Research and Applications (MERRA-2) data sets are the two newly released global reanalyzes that provide hourly PWV products with a high spatiotemporal resolution for water vapor research. The accuracies of these two PWV products on the TP require a comprehensive and cautious assessment. In this study, the hourly PWV values derived from ERA5 and MERRA-2 are systematically assessed by a comparison with 33 Global Navigation Satellite System (GNSS) stations from 2017 to 2018 over the TP. To improve the reliability of this evaluation, an enhanced T-m model and a PWV vertical correction model, namely, TP-T-m and TP-PWVC, respectively, are developed, and both models show better performance when compared against other widely used models. The accuracies of the ERA5- and MERRA-2-derived PWV at the 33 GNSS stations are very high; ERA5 has the smallest mean bias and root mean square (RMS) error of -0.08 and 1.77 mm, respectively, compared to those of 0.53 and 2.12 mm for MERRA-2. In addition, the biases and RMS errors show significant regional and seasonal differences. The performance of ERA5 is slightly better than MERRA-2, mainly due to its higher spatial resolution. The spatial distributions of the PWV derived from the two reanalyzes are consistent with the GNSS-derived PWV distribution. The diurnal PWV variations derived from ERA5 are in good agreement with the diurnal variation of the GNSS-derived PWV, whereas significant differences are observed for MERRA-2 at several stations. These results indicate that ERA5 can provide more reliable hourly PWV estimates over the TP, which can help users further understand the strengths and weaknesses of these two PWV products and promote climate change research.</t>
  </si>
  <si>
    <t>[Huang, Liangke; Mo, Zhixiang; Liu, Lilong; He, Hongchang] Guilin Univ Technol, Coll Geomat &amp; Geoinformat, Guilin, Peoples R China; [Huang, Liangke; Mo, Zhixiang; Liu, Lilong; He, Hongchang] Guangxi Key Lab Spatial Informat &amp; Geomat, Guilin, Peoples R China; [Zeng, Zhaoliang] Wuhan Univ, Sch Geodesy &amp; Geomat, Wuhan, Peoples R China; [Chen, Jun; Xiong, Si] Wuhan Univ, Chinese Antarctic Ctr Surveying &amp; Mapping, Wuhan, Peoples R China</t>
  </si>
  <si>
    <t>Guilin University of Technology; Wuhan University; Wuhan University</t>
  </si>
  <si>
    <t>Huang, LK; Mo, ZX (corresponding author), Guilin Univ Technol, Coll Geomat &amp; Geoinformat, Guilin, Peoples R China.;Huang, LK; Mo, ZX (corresponding author), Guangxi Key Lab Spatial Informat &amp; Geomat, Guilin, Peoples R China.</t>
  </si>
  <si>
    <t>lkhuang666@163.com; mtmo@glut.edu.cn</t>
  </si>
  <si>
    <t>Huang, Liangke/CAG-3532-2022; Zeng, Zhaoliang/AAV-8359-2021; wang, wenxin/JOZ-3291-2023; Li, Shuyao/JRY-8603-2023; zheng, xin/JNS-5523-2023</t>
  </si>
  <si>
    <t>Mo, Zhixiang/0000-0002-9400-2407; Zeng, Zhaoliang/0000-0002-9108-8575</t>
  </si>
  <si>
    <t>National Natural Foundation of China [41704027, 41664002, 41864002]; Guangxi Natural Science Foundation of China [2017GXNSFBA198139, 2017GXNSFDA198016, 2018GXNSFAA281182]; National Key Research and Development Program [SQ2018YFC150052]; Ba Gui Scholars program of the provincial government of Guangxi; Open Fund of Hunan Natural Resources Investigation and Monitoring Engineering Technology Research Center [2020-9]</t>
  </si>
  <si>
    <t>National Natural Foundation of China(National Natural Science Foundation of China (NSFC)); Guangxi Natural Science Foundation of China; National Key Research and Development Program; Ba Gui Scholars program of the provincial government of Guangxi; Open Fund of Hunan Natural Resources Investigation and Monitoring Engineering Technology Research Center</t>
  </si>
  <si>
    <t>This work was funded by the National Natural Foundation of China (41704027; 41664002; 41864002), the Guangxi Natural Science Foundation of China (2017GXNSFBA198139; 2017GXNSFDA198016; 2018GXNSFAA281182), National Key Research and Development Program (SQ2018YFC150052), the Ba Gui Scholars program of the provincial government of Guangxi, and the Open Fund of Hunan Natural Resources Investigation and Monitoring Engineering Technology Research Center (No: 2020-9). The authors would like to thank the University of Wyoming for providing the RS profiles (http://www.weather.uwyo.edu/upperair/sounding.html), the CMA for providing the ground meteorological data (http://data.cma.cn/site/index.html), and the CMONOC for providing GNSS data (ftp://ftp. cgps.ac.cn/products/troposphere). The authors also thank the TU Vienna for providing the GPT2w model (https://vmf.geo.tuwien.ac.at/).</t>
  </si>
  <si>
    <t>e2020EA001516</t>
  </si>
  <si>
    <t>10.1029/2020EA001516</t>
  </si>
  <si>
    <t>SN4UT</t>
  </si>
  <si>
    <t>WOS:000658287100016</t>
  </si>
  <si>
    <t>Yu, C; Li, ZH; Blewitt, G</t>
  </si>
  <si>
    <t>Yu, Chen; Li, Zhenhong; Blewitt, Geoffrey</t>
  </si>
  <si>
    <t>Global Comparisons of ERA5 and the Operational HRES Tropospheric Delay and Water Vapor Products With GPS and MODIS</t>
  </si>
  <si>
    <t>comparison; ERA5; GPS; HERS ECMWF; MODIS; precipitable water vapor</t>
  </si>
  <si>
    <t>RADIO INTERFEROMETRY; INSAR; GEODESY; CLIMATOLOGY; METEOROLOGY; NETWORK; MOTION; ECMWF</t>
  </si>
  <si>
    <t>Precipitable water vapor (PWV) from numerical weather models, such as the latest generation of European Centre for Medium-Range Weather Forecasts (ECMWF) reanalysis (ERA5) and the ECMWF High RESolution (HRES) models, are important to meteorological studies and to error mitigation of geodetic observations such as Interferometric Synthetic Aperture Radar. In this study, we provide global validations of these new weather models with respect to Global Positioning System (GPS, similar to 13,000 stations) and Moderate Resolution Imaging Spectrometer (MODIS, similar to 1 km resolution) using data from January 2016 to December 2018 of every 1 h. The global standard deviations of the Zenith Tropospheric Delay (ZTD) differences (DSTDs) between weather models and GPS are 1.69 cm for ERA5 and 1.54 cm for HRES. The global PWV DSTDs between weather models and MODIS are 0.34 cm for ERA5 and 0.32 cm for HRES. The two weather models generally perform better in western North America, Europe, and Arctic by having low ZTD DSTDs (&lt;1.3 cm) or PWV DSTDs (&lt;0.3 cm). HRES also has a low ZTD DSTD of less than 1.3 cm in Antarctic, Japan, New Zealand, and Africa and outperforms ERA5 in most regions of the world, despite the fact that 83% of the HRES PWV values are temporally interpolated (from 6 to 1-h). However, under extreme weather conditions, ERA5 performs better owing to its high temporal resolution (1 h). Our results can be used as a global reference for evaluating uncertainties when utilizing these weather models.</t>
  </si>
  <si>
    <t>[Yu, Chen; Li, Zhenhong] Newcastle Univ, Sch Engn, COMET, Newcastle Upon Tyne, Tyne &amp; Wear, England; [Li, Zhenhong] Changan Univ, Coll Geol Engn &amp; Geomat, Xian, Peoples R China; [Li, Zhenhong] Minist Educ, Key Lab Western Chinas Mineral Resource &amp; Geol En, Xian, Peoples R China; [Blewitt, Geoffrey] Univ Nevada, Nevada Bur Mines &amp; Geol, Nevada Geodet Lab, Reno, NV 89557 USA</t>
  </si>
  <si>
    <t>Newcastle University - UK; Chang'an University; Nevada System of Higher Education (NSHE); University of Nevada Reno</t>
  </si>
  <si>
    <t>Li, ZH (corresponding author), Changan Univ, Coll Geol Engn &amp; Geomat, Xian, Peoples R China.;Li, ZH (corresponding author), Minist Educ, Key Lab Western Chinas Mineral Resource &amp; Geol En, Xian, Peoples R China.</t>
  </si>
  <si>
    <t>zhenhong.li@chd.edu.cn</t>
  </si>
  <si>
    <t>Yu, Chen/AAV-1090-2020; Li, Zhenhong/F-8705-2010</t>
  </si>
  <si>
    <t>Yu, Chen/0000-0002-9675-8814; Li, Zhenhong/0000-0002-8054-7449</t>
  </si>
  <si>
    <t>Natural Science Foundation of China [41941019]; Fundamental Research Funds for the Central Universities, CHD [300102260301, 300102261308]; UK NERC through the Centre for the Observation and Modelling of Earthquakes, Volcanoes and Tectonics (COMET) [come30001]; LICS project [NE/K010794/1]; European Space Agency through the ESA-MOST DRAGON-4 project [32244]; European Space Agency through the DRAGON-5 project [59339]; NERC [NE/T009462/1, NE/K010794/1, come30001] Funding Source: UKRI</t>
  </si>
  <si>
    <t>Natural Science Foundation of China(National Natural Science Foundation of China (NSFC)); Fundamental Research Funds for the Central Universities, CHD; UK NERC through the Centre for the Observation and Modelling of Earthquakes, Volcanoes and Tectonics (COMET); LICS project; European Space Agency through the ESA-MOST DRAGON-4 project; European Space Agency through the DRAGON-5 project; NERC(UK Research &amp; Innovation (UKRI)Natural Environment Research Council (NERC))</t>
  </si>
  <si>
    <t>This work was supported by the Natural Science Foundation of China (ref.: 41941019), and the Fundamental Research Funds for the Central Universities, CHD (Ref: 300102260301 and 300102261308). The work was also supported by the UK NERC through the Centre for the Observation and Modelling of Earthquakes, Volcanoes and Tectonics (COMET, ref.: come30001) and the LICS project (ref. NE/K010794/1), and the European Space Agency through the ESA-MOST DRAGON-4 (ref. 32244) and DRAGON-5 (ref. 59339) projects.</t>
  </si>
  <si>
    <t>e2020EA001417</t>
  </si>
  <si>
    <t>10.1029/2020EA001417</t>
  </si>
  <si>
    <t>WOS:000658287100019</t>
  </si>
  <si>
    <t>Sochting, U; Sogaard, MZ; Sancho, LG; Arup, U</t>
  </si>
  <si>
    <t>Sochting, Ulrik; Sogaard, Majbrit Zeuthen; Sancho, Leo Garcia; Arup, Ulf</t>
  </si>
  <si>
    <t>The lichen genus Villophora (Teloschistaceae, Ascomycota)</t>
  </si>
  <si>
    <t>LICHENOLOGIST</t>
  </si>
  <si>
    <t>Antarctica; Caloplaca; Chile; Raesaeneniana; South America; Tayloriellina</t>
  </si>
  <si>
    <t>PCR PRIMERS; AMPLIFICATION; TAXONOMY; CALOPLACA; RDNA</t>
  </si>
  <si>
    <t>The Southern Hemisphere lichen genus Villophora in subfamily Teloschistoideae is analyzed based on DNA sequence data. Six species are described, five of which are new to science: V. darwiniana and V. wallaceana grow on lignum and bark in southern Patagonia and Tierra del Fuego; V. onas and V. patagonica are lichenicolous or saxicolous on rocks in southern Patagonia; V. rimicola is saxicolous in Antarctica. Based on a three-gene DNA analysis, Tayloriellina is shown to be closely related to Villophora, and Tayloriellina microphyllina is established as a new combination. A key is provided to all species of the two genera. Raesaeneniana maulensis is combined into Villophora.</t>
  </si>
  <si>
    <t>[Sochting, Ulrik; Sogaard, Majbrit Zeuthen] Univ Copenhagen, Dept Biol, Sect Ecol &amp; Evolut, Univ Pk 15, DK-2100 Copenhagen O, Denmark; [Sancho, Leo Garcia] Univ Complutense Madrid, Fac Farm, Unidad Bot, Plaza Ramon y Cajal S-N, S-28040 Madrid, Spain; [Arup, Ulf] Lund Univ, Bot Museum, Box 117, SE-22100 Lund, Sweden</t>
  </si>
  <si>
    <t>University of Copenhagen; Complutense University of Madrid; Lund University</t>
  </si>
  <si>
    <t>Sochting, U (corresponding author), Univ Copenhagen, Dept Biol, Sect Ecol &amp; Evolut, Univ Pk 15, DK-2100 Copenhagen O, Denmark.</t>
  </si>
  <si>
    <t>ulriks@bio.ku.dk</t>
  </si>
  <si>
    <t>Sochting, Ulrik/M-2886-2014</t>
  </si>
  <si>
    <t>Sochting, Ulrik/0000-0001-7122-9425</t>
  </si>
  <si>
    <t>MINECO/FEDER, UE [CTM2015-64728-C2-1-R]; Carlsberg Foundation [2008_01_0645]</t>
  </si>
  <si>
    <t>MINECO/FEDER, UE(Spanish Government); Carlsberg Foundation(Carlsberg Foundation)</t>
  </si>
  <si>
    <t>Lisbeth Knudsen is thanked for technical assistance in the HPLC and molecular laboratories. Arve Elvebakk is thanked for allowing us to study his collections from southern Chile. Peter Convey of the British Antarctic Survey was the mediator of a very stimulating visit to the BAS base at Rothera Point, Antarctica. Fieldwork on Livingston Island and Navarino Island was supported by the Spanish grant CTM2015-64728-C2-1-R (MINECO/FEDER, UE) and the Carlsberg Foundation (2008_01_0645). We are grateful to Jens H. Petersen and Leif Bolding for photographic consultations.</t>
  </si>
  <si>
    <t>0024-2829</t>
  </si>
  <si>
    <t>1096-1135</t>
  </si>
  <si>
    <t>Lichenologist</t>
  </si>
  <si>
    <t>PII S0024282921000141</t>
  </si>
  <si>
    <t>10.1017/S0024282921000141</t>
  </si>
  <si>
    <t>SH3MN</t>
  </si>
  <si>
    <t>WOS:000654040100004</t>
  </si>
  <si>
    <t>Iwaniec, DM; Gooseff, M; Suding, KN; Johnson, DS; Reed, DC; Peters, DPC; Adams, B; Barrett, JE; Bestelmeyer, BT; Castorani, MCN; Cook, EM; Davidson, MJ; Groffman, PM; Hanan, NP; Huenneke, LF; Johnson, PTJ; McKnight, DM; Miller, RJ; Okin, GS; Preston, DL; Rassweiler, A; Ray, C; Sala, OE; Schooley, RL; Seastedt, T; Spasojevic, MJ; Vivoni, ER</t>
  </si>
  <si>
    <t>Iwaniec, David M.; Gooseff, Michael; Suding, Katharine N.; Samuel Johnson, David; Reed, Daniel C.; Peters, Debra P. C.; Adams, Byron; Barrett, John E.; Bestelmeyer, Brandon T.; Castorani, Max C. N.; Cook, Elizabeth M.; Davidson, Melissa J.; Groffman, Peter M.; Hanan, Niall P.; Huenneke, Laura F.; Johnson, Pieter T. J.; McKnight, Diane M.; Miller, Robert J.; Okin, Gregory S.; Preston, Daniel L.; Rassweiler, Andrew; Ray, Chris; Sala, Osvaldo E.; Schooley, Robert L.; Seastedt, Timothy; Spasojevic, Marko J.; Vivoni, Enrique R.</t>
  </si>
  <si>
    <t>Connectivity: insights from the US Long Term Ecological Research Network</t>
  </si>
  <si>
    <t>alpine tundra; Antarctic polar desert; arid grassland; arid shrubland; coastal; estuary; salt marsh; Special Feature: Forecasting Earth's Ecosystems with Long-Term Ecological Research; urban ecosystem</t>
  </si>
  <si>
    <t>NORTHERN RANGE EXTENSION; CROSS-SCALE INTERACTIONS; COLORADO FRONT RANGE; MCMURDO DRY VALLEYS; CLIMATE-CHANGE; GIANT-KELP; VEGETATION CHANGE; SOIL-MOISTURE; FIDDLER-CRABS; ALPINE TUNDRA</t>
  </si>
  <si>
    <t>Ecosystems across the United States are changing in complex and surprising ways. Ongoing demand for critical ecosystem services requires an understanding of the populations and communities in these ecosystems in the future. This paper represents a synthesis effort of the U.S. National Science Foundation-funded Long-Term Ecological Research (LTER) network addressing the core research area of populations and communities. The objective of this effort was to show the importance of long-term data collection and experiments for addressing the hardest questions in scientific ecology that have significant implications for environmental policy and management. Each LTER site developed at least one compelling case study about what their site could look like in 50-100 yr as human and environmental drivers influencing specific ecosystems change. As the case studies were prepared, five themes emerged, and the studies were grouped into papers in this LTER Futures Special Feature addressing state change, connectivity, resilience, time lags, and cascading effects. This paper addresses the connectivity theme and has examples from the Phoenix (urban), Niwot Ridge (alpine tundra), McMurdo Dry Valleys (polar desert), Plum Island (coastal), Santa Barbara Coastal (coastal), and Jornada (arid grassland and shrubland) sites. Connectivity has multiple dimensions, ranging from multi-scalar interactions in space to complex interactions over time that govern the transport of materials and the distribution and movement of organisms. The case studies presented here range widely, showing how land-use legacies interact with climate to alter the structure and function of arid ecosystems and flows of resources and organisms in Antarctic polar desert, alpine, urban, and coastal marine ecosystems. Long-term ecological research demonstrates that connectivity can, in some circumstances, sustain valuable ecosystem functions, such as the persistence of foundation species and their associated biodiversity or, it can be an agent of state change, as when it increases wind and water erosion. Increased connectivity due to warming can also lead to species range expansions or contractions and the introduction of undesirable species. Continued long-term studies are essential for addressing the complexities of connectivity. The diversity of ecosystems within the LTER network is a strong platform for these studies.</t>
  </si>
  <si>
    <t>[Iwaniec, David M.] Georgia State Univ, Urban Studies Inst, Andrew Young Sch Policy Studies, Atlanta, GA 30303 USA; [Gooseff, Michael; Suding, Katharine N.; Ray, Chris; Seastedt, Timothy] Univ Colorado, Inst Arctic &amp; Alpine Res, Boulder, CO 80309 USA; [Samuel Johnson, David] William &amp; Mary, Virginia Inst Marine Sci, Gloucester Point, VA 23062 USA; [Reed, Daniel C.; Miller, Robert J.] Univ Calif Santa Barbara, Marine Sci Inst, Santa Barbara, CA 93106 USA; [Peters, Debra P. C.; Bestelmeyer, Brandon T.] ARS, USDA, Jornada Expt Range Unit, Las Cruces, NM 88003 USA; [Peters, Debra P. C.; Bestelmeyer, Brandon T.; Hanan, Niall P.; Huenneke, Laura F.; Okin, Gregory S.; Sala, Osvaldo E.; Schooley, Robert L.; Vivoni, Enrique R.] New Mexico State Univ, Jornada Basin Long Term Ecol Res Program, Las Cruces, NM 88003 USA; [Adams, Byron] Brigham Young Univ, Dept Biol, Provo, UT 84602 USA; [Adams, Byron] Brigham Young Univ, Monte L Bean Museum, Provo, UT 84602 USA; [Barrett, John E.] Virginia Tech Univ, Dept Biol Sci, Blacksburg, VA 24061 USA; [Castorani, Max C. N.] Univ Virginia, Dept Environm Sci, Charlottesville, VA 22904 USA; [Cook, Elizabeth M.] Barnard Coll, Environm Sci Dept, New York, NY 10027 USA; [Davidson, Melissa J.] Arizona State Univ, Sch Sustainabil, Tempe, AZ 85287 USA; [Davidson, Melissa J.] Arizona State Univ, Julie Ann Wrigley Global Inst Sustainabil, Tempe, AZ 85287 USA; [Groffman, Peter M.] CUNY, Grad Ctr, Adv Sci Res Ctr, New York, NY 10031 USA; [Groffman, Peter M.] Cary Inst Ecosyst Studies, Millbrook, NY 12545 USA; [Hanan, Niall P.] New Mexico State Univ, Dept Plant &amp; Environm Sci, Las Cruces, NM 88003 USA; [Huenneke, Laura F.] No Arizona Univ, Sch Earth &amp; Sustainabil, Flagstaff, AZ 86011 USA; [Johnson, Pieter T. J.] Univ Colorado, Dept Ecol &amp; Evolutionary Biol, Boulder, CO 80309 USA; [McKnight, Diane M.] Univ Colorado, Civil Environm &amp; Architectural Engn, Boulder, CO 80309 USA; [Okin, Gregory S.] Univ Calif Los Angeles, Dept Geog, Los Angeles, CA 90095 USA; [Preston, Daniel L.] Colorado State Univ, Dept Fish Wildlife &amp; Conservat Biol, Ft Collins, CO 80523 USA; [Rassweiler, Andrew] Florida State Univ, Dept Biol Sci, Tallahassee, FL 32304 USA; [Sala, Osvaldo E.] Arizona State Univ, Sch Life Sci, Global Drylands Ctr, Tempe, AZ 85287 USA; [Sala, Osvaldo E.] Arizona State Univ, Sch Sustainabil, Global Drylands Ctr, Tempe, AZ 85287 USA; [Schooley, Robert L.] Univ Illinois, Dept Nat Resources &amp; Environm Sci, Urbana, IL 61801 USA; [Spasojevic, Marko J.] Univ Calif Riverside, Dept Evolut Ecol &amp; Organismal Biol, Riverside, CA 92521 USA; [Vivoni, Enrique R.] Arizona State Univ, Sch Earth &amp; Space Explorat, Tempe, AZ 85287 USA; [Vivoni, Enrique R.] Arizona State Univ, Sch Sustainable Engn &amp; Built Environm, Tempe, AZ 85287 USA</t>
  </si>
  <si>
    <t>University System of Georgia; Georgia State University; University of Colorado System; University of Colorado Boulder; William &amp; Mary; Virginia Institute of Marine Science; University of California System; University of California Santa Barbara; United States Department of Agriculture (USDA); New Mexico State University; Brigham Young University; Brigham Young University; Virginia Polytechnic Institute &amp; State University; University of Virginia; Arizona State University; Arizona State University-Tempe; Arizona State University; Arizona State University-Tempe; City University of New York (CUNY) System; Cary Institute of Ecosystem Studies; New Mexico State University; Northern Arizona University; University of Colorado System; University of Colorado Boulder; University of Colorado System; University of Colorado Boulder; University of California System; University of California Los Angeles; Colorado State University; State University System of Florida; Florida State University; Arizona State University; Arizona State University-Tempe; Arizona State University; Arizona State University-Tempe; University of Illinois System; University of Illinois Urbana-Champaign; University of California System; University of California Riverside; Arizona State University; Arizona State University-Tempe; Arizona State University; Arizona State University-Tempe</t>
  </si>
  <si>
    <t>Groffman, PM (corresponding author), CUNY, Grad Ctr, Adv Sci Res Ctr, New York, NY 10031 USA.;Groffman, PM (corresponding author), Cary Inst Ecosyst Studies, Millbrook, NY 12545 USA.</t>
  </si>
  <si>
    <t>pgroffman@gc.cuny.edu</t>
  </si>
  <si>
    <t>Iwaniec, David M./M-7993-2014; SPASOJEVIC, MARKO/AAO-4307-2020; Okin, Greg/D-3226-2019; Gooseff, Michael N/N-6087-2015; Vivoni, Enrique/E-1202-2012; Huenneke, Laura F/D-3582-2009; Ray, Chris/AAI-1002-2019; Adams, Byron/C-3808-2009; Suding, Katharine/O-6290-2017; Barrett, John/D-5851-2016</t>
  </si>
  <si>
    <t>Iwaniec, David M./0000-0002-0410-4152; SPASOJEVIC, MARKO/0000-0003-1808-0048; Gooseff, Michael N/0000-0003-4322-8315; Vivoni, Enrique/0000-0002-2659-9459; Ray, Chris/0000-0002-7963-9637; Castorani, Max/0000-0002-7372-9359; Hanan, Niall/0000-0002-9130-5306; Bestelmeyer, Brandon/0000-0001-5060-9955; Adams, Byron/0000-0002-7815-3352; Miller, Robert/0000-0002-8350-3759; Suding, Katharine/0000-0002-5357-0176; Sala, Osvaldo/0000-0003-0142-9450; Johnson, David S./0000-0002-7898-4893; Cook, Elizabeth M./0000-0002-4290-7482; Barrett, John/0000-0002-7610-0505</t>
  </si>
  <si>
    <t>National Science Foundation Long-Term Ecological Research program [DEB-1637590, 1832016, DEB-0213767, 0816963, 1354494, 1902712, NSF OCE-0423565, 1058747, 1637630, OPP-1637708, OCE-1232779, DEB-1832194, DEB-1637686]; Direct For Biological Sciences; Division Of Environmental Biology [1902712] Funding Source: National Science Foundation; Division Of Environmental Biology; Direct For Biological Sciences [1832016, 1354494] Funding Source: National Science Foundation; Division Of Ocean Sciences; Directorate For Geosciences [1058747] Funding Source: National Science Foundation; Div Of Biological Infrastructure; Direct For Biological Sciences [0816963] Funding Source: National Science Foundation</t>
  </si>
  <si>
    <t>National Science Foundation Long-Term Ecological Research program(National Science Foundation (NSF)); Direct For Biological Sciences; Division Of Environmental Biology(National Science Foundation (NSF)NSF - Directorate for Biological Sciences (BIO)); Division Of Environmental Biology; Direct For Biological Sciences(National Science Foundation (NSF)NSF - Directorate for Biological Sciences (BIO)); Division Of Ocean Sciences; Directorate For Geosciences(National Science Foundation (NSF)NSF - Directorate for Geosciences (GEO)); Div Of Biological Infrastructure; Direct For Biological Sciences(National Science Foundation (NSF)NSF - Directorate for Biological Sciences (BIO))</t>
  </si>
  <si>
    <t>This research was supported by the National Science Foundation Long-Term Ecological Research program grants to the Central Arizona-Phoenix (DEB-1637590, 1832016), Plum Island (DEB-0213767, 0816963, 1354494, 1902712, NSF OCE-0423565, 1058747, 1637630), McMurdo (OPP-1637708), Santa Barbara (OCE-1232779), Jornada (DEB-1832194), and Niwot (DEB-1637686) LTER sites.</t>
  </si>
  <si>
    <t>e03432</t>
  </si>
  <si>
    <t>10.1002/ecs2.3432</t>
  </si>
  <si>
    <t>SJ4AN</t>
  </si>
  <si>
    <t>WOS:000655473800049</t>
  </si>
  <si>
    <t>Allanson, O; Watt, CEJ; Allison, HJ; Ratcliffe, H</t>
  </si>
  <si>
    <t>Allanson, O.; Watt, C. E. J.; Allison, H. J.; Ratcliffe, H.</t>
  </si>
  <si>
    <t>Electron Diffusion and Advection During Nonlinear Interactions With Whistler-Mode Waves</t>
  </si>
  <si>
    <t>diffusion; instability; numerical modeling; radiation belts; wave particle interactions; Whistler waves</t>
  </si>
  <si>
    <t>RADIATION-BELT ELECTRONS; QUASI-LINEAR THEORY; PARTICLE INTERACTIONS; SOLAR-WIND; PLASMASPHERIC HISS; CHORUS WAVES; PITCH-ANGLE; EVOLUTION; ACCELERATION; INSTABILITY</t>
  </si>
  <si>
    <t>Radiation belt codes evolve electron dynamics due to resonant wave-particle interactions. It is not known how to best incorporate electron dynamics in the case of a wave power spectrum that varies considerably on a sub-grid timescale shorter than the computational time-step of the radiation belt model Delta t(RBM), particularly if the wave amplitude reaches high values. Timescales associated with the growth rate of thermal instabilities are very short, and are typically much shorter than Delta t(RBM). We use a kinetic code to study electron interactions with whistler-mode waves in the presence of a thermally anisotropic background. For low values of anisotropy, instabilities are not triggered and we observe similar results to those obtained in Allanson et al. (2020, ), for which the diffusion roughly matched the quasilinear theory over short timescales. For high levels of anisotropy, wave growth via instability is triggered. Dynamics are not well described by the quasilinear theory when calculated using the average wave power. Strong electron diffusion and advection occur during the growth phase (approximate to 100 ms). These dynamics saturate as the wave power saturates at approximate to 1 nT, and the advective motions dominate over the diffusive processes. The growth phase facilitates significant advection in pitch angle space via successive resonant interactions with waves of different frequencies. We suggest that this rapid advective transport during the wave growth phase may have a role to play in the electron microburst mechanism. This motivates future work on macroscopic effects of short-timescale nonlinear processes in radiation belt modeling.</t>
  </si>
  <si>
    <t>[Allanson, O.; Watt, C. E. J.] Northumbria Univ, Dept Math Phys &amp; Elect Engn, Newcastle Upon Tyne, Tyne &amp; Wear, England; [Allanson, O.; Watt, C. E. J.] Univ Reading, Dept Meteorol, Reading, Berks, England; [Allison, H. J.] Helmholtz Ctr Potsdam, GFZ German Res Ctr Geosci, Potsdam, Germany; [Ratcliffe, H.] Univ Warwick, Dept Phys, Coventry, W Midlands, England</t>
  </si>
  <si>
    <t>Northumbria University; University of Reading; Helmholtz Association; Helmholtz-Center Potsdam GFZ German Research Center for Geosciences; University of Warwick</t>
  </si>
  <si>
    <t>Allanson, O (corresponding author), Northumbria Univ, Dept Math Phys &amp; Elect Engn, Newcastle Upon Tyne, Tyne &amp; Wear, England.;Allanson, O (corresponding author), Univ Reading, Dept Meteorol, Reading, Berks, England.</t>
  </si>
  <si>
    <t>oliverallanson@gmail.com</t>
  </si>
  <si>
    <t>Allanson, Oliver/AAM-8744-2020; Allanson, Oliver/GLT-2725-2022; Watt, Clare/C-5218-2008</t>
  </si>
  <si>
    <t>Allanson, Oliver/0000-0003-2353-8586; Allison, Hayley/0000-0002-6665-2023; Watt, Clare/0000-0003-3193-8993</t>
  </si>
  <si>
    <t>Natural Environment Research Council (NERC) Highlight Topic Grants [NE/P017274/1]; UK EPSRC [EP/G054950/1, EP/G056803/1, EP/G055165/1, EP/M022463/1]; BEIS capital funding via STFC capital Grants [ST/P002307/1, ST/R002452/1]; BEIS capital funding via STFC operations Grant [ST/R00689X/1]; NERC [NE/P017274/1, NE/P017274/2] Funding Source: UKRI; SPF [NE/V002759/2] Funding Source: UKRI; STFC [ST/T001348/1, ST/R001014/1, ST/V002384/1, ST/W000369/1, ST/V002376/1, ST/M006948/1, ST/M007073/1, ST/S003916/1, ST/R001006/1, ST/M007065/1, ST/T001372/1, ST/R00689X/1, ST/R000832/1, ST/W002078/1, ST/R002371/1, ST/P002447/1, ST/M006530/1, ST/S002502/1, ST/M007006/1, ST/P002293/1, ST/S003762/1] Funding Source: UKRI</t>
  </si>
  <si>
    <t>Natural Environment Research Council (NERC) Highlight Topic Grants(UK Research &amp; Innovation (UKRI)Natural Environment Research Council (NERC)); UK EPSRC(UK Research &amp; Innovation (UKRI)Engineering &amp; Physical Sciences Research Council (EPSRC)); BEIS capital funding via STFC capital Grants(UK Research &amp; Innovation (UKRI)Science &amp; Technology Facilities Council (STFC)); BEIS capital funding via STFC operations Grant; NERC(UK Research &amp; Innovation (UKRI)Natural Environment Research Council (NERC)); SPF; STFC(UK Research &amp; Innovation (UKRI)Science &amp; Technology Facilities Council (STFC))</t>
  </si>
  <si>
    <t>The authors gratefully acknowledge Sarah Glauert (British Antarctic Survey) for the use of the PADIE software. This study was supported by the Natural Environment Research Council (NERC) Highlight Topic Grants #NE/P017274/1 (Rad-Sat, O. Allanson and C. E. J. Watt). This study was in part funded by the UK EPSRC Grants EP/G054950/1, EP/G056803/1, EP/G055165/1, and EP/M022463/1 (the EPOCH code). This study was in part performed using the Cambridge Service for Data Driven Discovery (CSD3), part of which is operated by the University of Cambridge Research Computing on behalf of the STFC DiRAC HPC Facility (www.dirac.ac.uk).The DiRAC component of CSD3 was funded by BEIS capital funding via STFC capital Grants ST/P002307/1 and ST/R002452/1 and STFC operations Grant ST/R00689X/1. DiRAC is part of the National e-Infrastructure. This study was in part performed using the Reading Academic Computing Cluster (RACC) at the University of Reading. This work used the ARCHER UK National Supercomputing Service (http://www.archer.ac.uk).</t>
  </si>
  <si>
    <t>e2020JA028793</t>
  </si>
  <si>
    <t>10.1029/2020JA028793</t>
  </si>
  <si>
    <t>SM2TQ</t>
  </si>
  <si>
    <t>WOS:000657463000055</t>
  </si>
  <si>
    <t>Liu, GP; Janches, D; Lieberman, RS; Moffat-Griffin, T; Mitchell, NJ; Kim, JH; Lee, C</t>
  </si>
  <si>
    <t>Liu, Guiping; Janches, Diego; Lieberman, Ruth S.; Moffat-Griffin, Tracy; Mitchell, Nicholas J.; Kim, Jeong-Han; Lee, Changsup</t>
  </si>
  <si>
    <t>Wind Variations in the Mesosphere and Lower Thermosphere Near 60°S Latitude During the 2019 Antarctic Sudden Stratospheric Warming</t>
  </si>
  <si>
    <t>mesosphere and lower thermosphere; mesospheric wind; planetary wave; planetary wave-tide interaction; tides; upper atmosphere</t>
  </si>
  <si>
    <t>PLANETARY-WAVE; TIDAL VARIABILITY; GRAVITY-WAVES; ATMOSPHERE; 5-DAY; IONOSPHERE; MODEL; ANDES; TIDES; MLT</t>
  </si>
  <si>
    <t>Sudden stratospheric warmings (SSWs) could act as an important mediator in the vertical coupling of atmospheric regions and dramatic variations in the mesosphere and lower thermosphere (MLT) in response to SSWs have been documented. However, due to rare occurrences, SSWs in the Southern Hemisphere (SH) and their impacts on the MLT dynamics are not well understood. This study presents an analysis of MLT winds at similar to 80-98 km altitudes measured by meteor radars located at Tierra del Fuego (53.7 degrees S, 67.7 degrees W), King Edward Point (54.3 degrees S, 36.5 degrees W) and King Sejong Station (62.2 degrees S, 58.8 degrees W) near 60 degrees S latitude during the Antarctic winter. Eastward zonal winds from these stations are observed to decrease significantly near the peak date of the 2019 Antarctic SSW, and both zonal and meridional winds in 2019 exhibit considerable differences to the mean winds averaged over other non-SSW years. A quasi 6-day oscillation is observed at all three radar locations, being consistent with the presence of the westward propagating zonal wave-1 planetary wave. The vertical wavelength of this wave is estimated to be similar to 55 km, and the enhancement of the wave amplitude during this SSW is noticeable. Evidence of the interaction between the 6-day wave and the semidiurnal diurnal tide is provided, which suggests a possible mechanism for SSWs to impact the upper atmosphere. This study reports the large-scale variations in winds in the MLT region at SH midlatitudes to high latitudes in a key dynamic but largely unexplored latitudinal band in response to the 2019 Antarctic SSW.</t>
  </si>
  <si>
    <t>[Liu, Guiping] Univ Calif Berkeley, Space Sci Lab, Berkeley, CA 94720 USA; [Liu, Guiping] NASA, CUA, GSFC, Greenbelt, MD 20771 USA; [Liu, Guiping; Janches, Diego; Lieberman, Ruth S.] NASA, Goddard Space Flight Ctr, ITM Phys Lab, Heliophys Sci Div, Greenbelt, MD 20771 USA; [Moffat-Griffin, Tracy; Mitchell, Nicholas J.] British Antarctic Survey, Cambridge, England; [Mitchell, Nicholas J.] Univ Bath, Ctr Space Atmospher &amp; Ocean Sci, Bath, Avon, England; [Kim, Jeong-Han; Lee, Changsup] Korea Polar Res Inst, Dept Polar Climate Sci, Incheon, South Korea</t>
  </si>
  <si>
    <t>University of California System; University of California Berkeley; National Aeronautics &amp; Space Administration (NASA); NASA Goddard Space Flight Center; National Aeronautics &amp; Space Administration (NASA); NASA Goddard Space Flight Center; UK Research &amp; Innovation (UKRI); Natural Environment Research Council (NERC); NERC British Antarctic Survey; University of Bath; Korea Polar Research Institute (KOPRI)</t>
  </si>
  <si>
    <t>Liu, GP (corresponding author), Univ Calif Berkeley, Space Sci Lab, Berkeley, CA 94720 USA.;Liu, GP (corresponding author), NASA, CUA, GSFC, Greenbelt, MD 20771 USA.;Liu, GP (corresponding author), NASA, Goddard Space Flight Ctr, ITM Phys Lab, Heliophys Sci Div, Greenbelt, MD 20771 USA.</t>
  </si>
  <si>
    <t>guiping@berkeley.edu</t>
  </si>
  <si>
    <t>Kim, Jeong Han/J-6244-2016; Janches, Diego/D-4674-2012</t>
  </si>
  <si>
    <t>NASA TIMED program; NASA [80NSSC18K0649, 80NSSC20K1323]; Korea Polar Research Institute [PE21020]; ISFM Heliophysics program</t>
  </si>
  <si>
    <t>NASA TIMED program(National Aeronautics &amp; Space Administration (NASA)); NASA(National Aeronautics &amp; Space Administration (NASA)); Korea Polar Research Institute(Korea Polar Research Institute of Marine Research Placement (KOPRI)); ISFM Heliophysics program</t>
  </si>
  <si>
    <t>Diego Janches, Ruth S. Lieberman, and Guiping Liu were supported by the NASA TIMED and ISFM Heliophysics programs. Guiping Liu was partially supported by NASA Grant 80NSSC18K0649 and 80NSSC20K1323. Jeong-Han Kim and Changsup Lee were supported by the Grant PE21020 from Korea Polar Research Institute.</t>
  </si>
  <si>
    <t>e2020JA028909</t>
  </si>
  <si>
    <t>10.1029/2020JA028909</t>
  </si>
  <si>
    <t>WOS:000657463000006</t>
  </si>
  <si>
    <t>González-Puelma, J; Aldridge, J; de Oca, MM; Pinto, M; Uribe-Paredes, R; Fernández-Goycoolea, J; Alvarez-Saravia, D; Alvarez, H; Encina, G; Weitzel, T; Muñoz, R; Olivera-Nappa, A; Pantano, S; Navarrete, MA</t>
  </si>
  <si>
    <t>Gonzalez-Puelma, Jorge; Aldridge, Jacqueline; Montes de Oca, Marco; Pinto, Monica; Uribe-Paredes, Roberto; Fernandez-Goycoolea, Jose; Alvarez-Saravia, Diego; Alvarez, Hermy; Encina, Gonzalo; Weitzel, Thomas; Munoz, Rodrigo; Olivera-Nappa, Alvaro; Pantano, Sergio; Navarrete, Marcelo A.</t>
  </si>
  <si>
    <t>Mutation in a SARS-CoV-2 Haplotype from Sub-Antarctic Chile Reveals New Insights into the Spike's Dynamics</t>
  </si>
  <si>
    <t>VIRUSES-BASEL</t>
  </si>
  <si>
    <t>SARS-CoV2; variant; Covid19</t>
  </si>
  <si>
    <t>CORONAVIRUS; RECEPTOR; MODEL</t>
  </si>
  <si>
    <t>The emergence of SARS-CoV-2 variants, as observed with the D614G spike protein mutant and, more recently, with B.1.1.7 (501Y.V1), B.1.351 (501Y.V2) and B.1.1.28.1 (P.1) lineages, represent a continuous threat and might lead to strains of higher infectivity and/or virulence. We report on the occurrence of a SARS-CoV-2 haplotype with nine mutations including D614G/T307I double-mutation of the spike. This variant expanded and completely replaced previous lineages within a short period in the subantarctic Magallanes Region, southern Chile. The rapid lineage shift was accompanied by a significant increase of cases, resulting in one of the highest incidence rates worldwide. Comparative coarse-grained molecular dynamic simulations indicated that T307I and D614G belong to a previously unrecognized dynamic domain, interfering with the mobility of the receptor binding domain of the spike. The T307I mutation showed a synergistic effect with the D614G. Continuous surveillance of new mutations and molecular analyses of such variations are important tools to understand the molecular mechanisms defining infectivity and virulence of current and future SARS-CoV-2 strains.</t>
  </si>
  <si>
    <t>[Gonzalez-Puelma, Jorge; Pinto, Monica; Alvarez-Saravia, Diego; Alvarez, Hermy; Navarrete, Marcelo A.] Univ Magallanes, Escuela Med, Punta Arenas 6210427, Chile; [Gonzalez-Puelma, Jorge; Alvarez-Saravia, Diego; Alvarez, Hermy; Navarrete, Marcelo A.] Univ Magallanes, Ctr Asistencial Docente Invest, Punta Arenas 6210005, Chile; [Aldridge, Jacqueline; Montes de Oca, Marco; Uribe-Paredes, Roberto] Univ Magallanes, Dept Ingn Computac, Punta Arenas 6210427, Chile; [Pinto, Monica; Munoz, Rodrigo] Hosp Clin Magallanes, Enfermedades Infecciosas, Punta Arenas 6210005, Chile; [Fernandez-Goycoolea, Jose] Univ Magallanes, Dept Matemat &amp; Fis, Punta Arenas 6210427, Chile; [Encina, Gonzalo] Univ Desarrollo, Fac Med Clin Alemana, Inst Ciencias &amp; Innovac Med, Ctr Genet &amp; Genom, Santiago 7610658, Chile; [Weitzel, Thomas] Univ Desarrollo, Fac Med Clin Alemana, Clin Alemana Santiago, Lab Clin, Santiago 7610658, Chile; [Weitzel, Thomas] Univ Desarrollo, Inst Ciencias &amp; Innovac Med ICIM, Santiago 7610658, Chile; [Olivera-Nappa, Alvaro] Univ Chile, Ctr Biotechnol &amp; Bioengn, Santiago 8370456, Chile; [Olivera-Nappa, Alvaro] Univ Chile, Fac Ciencias Fis &amp; Matemat, Santiago 8370456, Chile; [Pantano, Sergio] Inst Pasteur Montevideo, Biomol Simulat Grp, Montevideo 11400, Uruguay</t>
  </si>
  <si>
    <t>Universidad de Magallanes; Universidad de Magallanes; Universidad de Magallanes; Universidad de Magallanes; Universidad del Desarrollo; Clinica Alemana; Universidad del Desarrollo; Universidad del Desarrollo; Universidad de Chile; Universidad de Chile; Pasteur Network; Institut Pasteur de Montevideo</t>
  </si>
  <si>
    <t>Navarrete, MA (corresponding author), Univ Magallanes, Escuela Med, Punta Arenas 6210427, Chile.;Navarrete, MA (corresponding author), Univ Magallanes, Ctr Asistencial Docente Invest, Punta Arenas 6210005, Chile.;Pantano, S (corresponding author), Inst Pasteur Montevideo, Biomol Simulat Grp, Montevideo 11400, Uruguay.</t>
  </si>
  <si>
    <t>jorge.gonzalez@umag.cl; jacqueline.aldridge@umag.cl; marco.montes@umag.cl; monica.pinto@umag.cl; roberto.uribe@umag.cl; jose.fernandezg@umag.cl; diego.alvarez@umag.cl; hermy.alvarez@umag.cl; gencina@udd.cl; thomas.weitzel@gmail.com; rodrigo.munoz@umag.cl; aolivera@ing.uchile.cl; spantano@pasteur.edu.uy; marcelo.navarrete@umag.cl</t>
  </si>
  <si>
    <t>Pantano, Sergio/JLL-2376-2023; Navarrete, Marcelo/D-7935-2013; Alvarez Saravia, Diego/AAZ-6569-2021; Olivera-Nappa, Alvaro/GPS-5388-2022</t>
  </si>
  <si>
    <t>Navarrete, Marcelo/0000-0002-2044-9548; Alvarez Saravia, Diego/0000-0003-0753-274X; Olivera-Nappa, Alvaro/0000-0001-6053-7019; Fernandez Goycoolea, Jose/0000-0001-5349-4348; Uribe-Paredes, Roberto/0000-0001-9519-8862; Montes de Oca, Marco/0000-0002-3333-4977; Aldridge Aguila, Jacqueline/0000-0003-3491-6589; Weitzel, Thomas/0000-0002-9804-2123; Encina, Gonzalo/0000-0002-7367-5485</t>
  </si>
  <si>
    <t>Fondecyt [1180882]; FOCEM (MERCOSUR Structural Convergence Fund) [COF 03/11]; URGENCE COVID-19 fundraising campaign of Institut Pasteur; [MAG1895]</t>
  </si>
  <si>
    <t>Fondecyt(Comision Nacional de Investigacion Cientifica y Tecnologica (CONICYT)CONICYT FONDECYT); FOCEM (MERCOSUR Structural Convergence Fund); URGENCE COVID-19 fundraising campaign of Institut Pasteur;</t>
  </si>
  <si>
    <t>This work was funded by MAG1895 grant to RUP, Fondecyt 1180882 to MAN. This work was partially funded by FOCEM (MERCOSUR Structural Convergence Fund), COF 03/11, and the URGENCE COVID-19 fundraising campaign of Institut Pasteur.</t>
  </si>
  <si>
    <t>1999-4915</t>
  </si>
  <si>
    <t>Viruses-Basel</t>
  </si>
  <si>
    <t>10.3390/v13050883</t>
  </si>
  <si>
    <t>Virology</t>
  </si>
  <si>
    <t>SI3GW</t>
  </si>
  <si>
    <t>WOS:000654714600001</t>
  </si>
  <si>
    <t>Cai, SL; Hsu, PC; Liu, F</t>
  </si>
  <si>
    <t>Cai, Shenlin; Hsu, Pang-Chi; Liu, Fei</t>
  </si>
  <si>
    <t>Changes in polar amplification in response to increasing warming in CMIP6</t>
  </si>
  <si>
    <t>ATMOSPHERIC AND OCEANIC SCIENCE LETTERS</t>
  </si>
  <si>
    <t>Arctic amplification; Antarctic amplification; Radiative kernel; CMIP6; Global warming</t>
  </si>
  <si>
    <t>RADIATIVE FEEDBACKS; CLIMATE-CHANGE; SEA-ICE</t>
  </si>
  <si>
    <t>The climate in polar regions has experienced an obvious warming amplification due to global warming. In this study, the changes in polar amplification are analyzed in response to feedback mechanisms (including Planck, lapse rate, cloud, water vapor, albedo feedback, CO2 radiative forcing, ocean heat uptake, and atmospheric heat transport) under three warming scenarios in CMIP6-namely, SSP1-2.6, SSP2-4.5, and SSP5-8.5. The results show that, by quantifying the warming contribution of different feedback mechanisms to surface air temperature with the radiative kernel method, Arctic amplification (AA) is stronger than Antarctic amplification (ANA), mostly resulting from the lapse rate feedback, followed by the albedo and Planck feedbacks. Furthermore, ocean heat uptake causes stronger polar warming in winter than in summer. During winter, the lapse rate feedback causes a larger AA than ANA. The intermodel spread for both AA and ANA decrease with increasing strength of global warming from SSP1-2.6 to SSP5-8.5, and the dominant mechanisms are the Planck, lapse rate, albedo, and ocean heat uptake feedbacks. These findings help to enhance our understanding of polar regions' responses to different strengths of global warming.</t>
  </si>
  <si>
    <t>[Cai, Shenlin; Hsu, Pang-Chi] Nanjing Univ Informat Sci &amp; Technol, Earth Syst Modeling &amp; Climate Dynam Res Ctr, Nanjing, Peoples R China; [Liu, Fei] Sun Yat Sen Univ, Minist Educ, Sch Atmospher Sci, Key Lab Trop Atmosphere Ocean Syst, Guangzhou, Peoples R China; [Liu, Fei] Southern Marine Sci &amp; Engn Guangdong Lab, Zhuhai, Peoples R China</t>
  </si>
  <si>
    <t>Nanjing University of Information Science &amp; Technology; Sun Yat Sen University; Southern Marine Science &amp; Engineering Guangdong Laboratory</t>
  </si>
  <si>
    <t>Liu, F (corresponding author), Sun Yat Sen Univ, Minist Educ, Sch Atmospher Sci, Key Lab Trop Atmosphere Ocean Syst, Guangzhou, Peoples R China.;Liu, F (corresponding author), Southern Marine Sci &amp; Engn Guangdong Lab, Zhuhai, Peoples R China.</t>
  </si>
  <si>
    <t>liufei26@mail.sysu.edu.cn</t>
  </si>
  <si>
    <t>National Natural Science Foundation of China [41420104002]; Natural Science Foundation of Jiangsu Province [BK20150907, 14KJA170002]</t>
  </si>
  <si>
    <t>National Natural Science Foundation of China(National Natural Science Foundation of China (NSFC)); Natural Science Foundation of Jiangsu Province(Natural Science Foundation of Jiangsu Province)</t>
  </si>
  <si>
    <t>This work was supported by the National Natural Science Foundation of China [grant number 41420104002] and by the Natural Science Foundation of Jiangsu Province [grant numbers BK20150907 and 14KJA170002].</t>
  </si>
  <si>
    <t>1674-2834</t>
  </si>
  <si>
    <t>2376-6123</t>
  </si>
  <si>
    <t>ATMOS OCEAN SCI LETT</t>
  </si>
  <si>
    <t>Atmos. Ocean. Sci. Lett.</t>
  </si>
  <si>
    <t>10.1016/j.aosl.2021.100043</t>
  </si>
  <si>
    <t>SM5TH</t>
  </si>
  <si>
    <t>WOS:000657667100010</t>
  </si>
  <si>
    <t>Tallobre, C; Loncke, L; Droz, L; Marsset, T; Uusoue, M; Roest, WR; Fanget, AS; Bassetti, MA; Giresse, P; Bayon, G</t>
  </si>
  <si>
    <t>Tallobre, Cedric; Loncke, Lies; Droz, Laurence; Marsset, Tania; Uusoue, Mirjam; Roest, Walter R.; Fanget, Anne-Sophie; Bassetti, Maria-Angela; Giresse, Pierre; Bayon, Germain</t>
  </si>
  <si>
    <t>Echofacies interpretation of Pleistocene to Holocene contourites on the Demerara Plateau and abyssal plain</t>
  </si>
  <si>
    <t>INTERPRETATION-A JOURNAL OF SUBSURFACE CHARACTERIZATION</t>
  </si>
  <si>
    <t>WESTERN BOUNDARY CURRENT; DEEP-SEA; DEPOSITIONAL SYSTEM; SOUTH-ATLANTIC; CONTINENTAL-MARGIN; WATER CIRCULATION; TRANSFORM MARGIN; SEDIMENT WAVES; SLOPE; EVOLUTION</t>
  </si>
  <si>
    <t>Off French Guiana and Suriname, North Atlantic Deep Water and Antarctic Bottom Water oceanic currents contour the Demerara marginal plateau, which promotes the formation of contourites. We have studied these contourites thanks to a new compilation of high-resolution subbottom profiles calibrated by sedimentary cores. The echofacies and isopach maps that we constructed highlight a sedimentary distribution parallel to the isobaths. The presence of moats along the slope is confirmed by the observation of parallel, elongated, sedimentary depleted zones and echofacies strongly affected by diffraction hyperbola and transparent echofacies. We interpret these features to be related to eroded slopes and mass-transport deposits. In contrast, the sedimentary drifts that we mapped are characterized by elongated and thick slope-parallel depocenters displaying bedded echofacies with wave-like bedforms. According to our interpretation, they result from interactions between the currents and the seafloor. Seismic wipeouts frequently affect those drifts, possibly resulting from high water or organic contents.</t>
  </si>
  <si>
    <t>[Tallobre, Cedric; Loncke, Lies; Fanget, Anne-Sophie; Bassetti, Maria-Angela; Giresse, Pierre] Univ Perpignan Via Domitia, Ctr Format &amp; Rech Environm Mediterraneens CEFREM, UMR 5110, F-66000 Perpignan, France; [Droz, Laurence] Univ Bretagne Occidentale UBO UMR, CNRS Domaines Ocean 6538, F-29238 Plouzane, France; [Marsset, Tania; Roest, Walter R.; Bayon, Germain] IFREMER, Unite Rech Geosci Marines, F-29280 Plouzane, France; [Uusoue, Mirjam] Tartu Observ, Observ 1, EE-61602 Toravere, Tartumaa, Estonia</t>
  </si>
  <si>
    <t>Centre National de la Recherche Scientifique (CNRS); Universite Perpignan Via Domitia; CNRS - National Institute for Earth Sciences &amp; Astronomy (INSU); Ifremer; University of Tartu; Tartu Observatory</t>
  </si>
  <si>
    <t>Tallobre, C (corresponding author), Univ Perpignan Via Domitia, Ctr Format &amp; Rech Environm Mediterraneens CEFREM, UMR 5110, F-66000 Perpignan, France.</t>
  </si>
  <si>
    <t>cedrictallobre@rocketmail.com; lies.loncke@univ-perp.fr; laurence.droz@univ-brest.fr; tania.marset@ifremer.fr; mirjam.uusoue@ut.ee; walter.roest@ifremer.fr; annesophie.fanget@gmail.com; maria-angela.bassetti@univ-perp.fr; pierre.giresse@univ-perp.fr; germain.bayon@ifremer.fr</t>
  </si>
  <si>
    <t>Fanget, Anne-Sophie/A-7555-2015; Marsset, Tania/A-4163-2012; Bassetti, Maria-Angela/AAD-5998-2022; Uusõue, Mirjam/IQX-0573-2023; Bayon, Germain/F-9754-2010</t>
  </si>
  <si>
    <t>Bassetti, Maria-Angela/0000-0003-3092-0046; Uusõue, Mirjam/0000-0002-6915-2315; Marsset, Tania/0000-0002-5245-6566; Bayon, Germain/0000-0002-6791-4953</t>
  </si>
  <si>
    <t>Shell; IFREMER</t>
  </si>
  <si>
    <t>Shell(Royal Dutch Shell); IFREMER</t>
  </si>
  <si>
    <t>We sincerely thank D. Graindorge, F. Klinghelhoefer, and C. Basile for having given access to SBP data acquired during the MARGATS and DRADEM cruises. We thank Shell and IFREMER for the funding of C. Tallobre's Ph.D.</t>
  </si>
  <si>
    <t>SOC EXPLORATION GEOPHYSICISTS</t>
  </si>
  <si>
    <t>8801 S YALE ST, TULSA, OK 74137 USA</t>
  </si>
  <si>
    <t>2324-8858</t>
  </si>
  <si>
    <t>2324-8866</t>
  </si>
  <si>
    <t>INTERPRETATION-J SUB</t>
  </si>
  <si>
    <t>Interpretation</t>
  </si>
  <si>
    <t>SB49</t>
  </si>
  <si>
    <t>SB65</t>
  </si>
  <si>
    <t>10.1190/INT-2020-0159.1</t>
  </si>
  <si>
    <t>SH6TJ</t>
  </si>
  <si>
    <t>WOS:000654267900031</t>
  </si>
  <si>
    <t>Bilmes, J</t>
  </si>
  <si>
    <t>Bilmes, Julian</t>
  </si>
  <si>
    <t>The Malvinas Question in the face of the crisis and transition of the world system: prospects on Brexit</t>
  </si>
  <si>
    <t>GEOGRAFICANDO</t>
  </si>
  <si>
    <t>Global systemic chaos; Malvinas; South Atlantic and Antarctica system; British exit from the European Union; Global Britain; Integral sovereignty</t>
  </si>
  <si>
    <t>The Malvinas Question faces an extremely dynamic and convulsed geopolitical scenario, in the face of the crisis and transition of the world system that increasing deepen, from the Brexit-Trump phase after 2016, and the new phase currently underway due to COVID-19. This paper deals with how the Malvinas, South Atlantic and Antarctic system is situated in this framework, and in relation to the British exit from the European Union (EU). From a geopolitical perspective, and using a global systemic approach, the forces in dispute and possible future scenarios for the Malvinas Question are analyzed. It is concluded that Brexit can imply both a threat and an opportunity for Argentina's historic claim to sovereignty over the islands of the South Atlantic and surrounding maritime spaces, depending on how it is dealt with on the Argentine side.</t>
  </si>
  <si>
    <t>[Bilmes, Julian] Univ Nacl La Plata, Ctr Invest Sociohist, Inst Invest Humanidades &amp; Ciencias Sociales, CONICET,Fac Humanidades &amp; Ciencias Educ, La Plata, Buenos Aires, Argentina</t>
  </si>
  <si>
    <t>Consejo Nacional de Investigaciones Cientificas y Tecnicas (CONICET); National University of La Plata</t>
  </si>
  <si>
    <t>Bilmes, J (corresponding author), Univ Nacl La Plata, Ctr Invest Sociohist, Inst Invest Humanidades &amp; Ciencias Sociales, CONICET,Fac Humanidades &amp; Ciencias Educ, La Plata, Buenos Aires, Argentina.</t>
  </si>
  <si>
    <t>bilmesjulian@gmail.com</t>
  </si>
  <si>
    <t>UNIV NAC LA PLATA, FAC HUMANIDADES &amp; CIENCIAS EDUC</t>
  </si>
  <si>
    <t>LA PLATA</t>
  </si>
  <si>
    <t>CALLE 48 E-6 &amp; 7,PISO 5, OF 517, LA PLATA, BUENOS AIRES 1900, ARGENTINA</t>
  </si>
  <si>
    <t>1850-1885</t>
  </si>
  <si>
    <t>2346-898X</t>
  </si>
  <si>
    <t>Geograficando</t>
  </si>
  <si>
    <t>MAY-OCT</t>
  </si>
  <si>
    <t>e095</t>
  </si>
  <si>
    <t>10.24215/2346898Xe095</t>
  </si>
  <si>
    <t>SH6YT</t>
  </si>
  <si>
    <t>WOS:000654282100009</t>
  </si>
  <si>
    <t>Varrella, S; Barone, G; Tangherlini, M; Rastelli, E; Dell'Anno, A; Corinaldesi, C</t>
  </si>
  <si>
    <t>Varrella, Stefano; Barone, Giulio; Tangherlini, Michael; Rastelli, Eugenio; Dell'Anno, Antonio; Corinaldesi, Cinzia</t>
  </si>
  <si>
    <t>Diversity, Ecological Role and Biotechnological Potential of Antarctic Marine Fungi</t>
  </si>
  <si>
    <t>marine fungi; mycology; fungal diversity; Antarctica; bioprospecting; psychrophiles; cold-adapted enzymes; industrial applications; blue biotechnologies</t>
  </si>
  <si>
    <t>SEA-DERIVED FUNGUS; EXTRACELLULAR ENZYMATIC-ACTIVITIES; COLD-ADAPTED ENZYMES; MUSCARIUM CCFEE 5003; KING GEORGE ISLAND; DEEP-SEA; NATURAL-PRODUCTS; SP NOV.; PSYCHROPHILIC MICROORGANISMS; BIOACTIVE COMPOUNDS</t>
  </si>
  <si>
    <t>The Antarctic Ocean is one of the most remote and inaccessible environments on our planet and hosts potentially high biodiversity, being largely unexplored and undescribed. Fungi have key functions and unique physiological and morphological adaptations even in extreme conditions, from shallow habitats to deep-sea sediments. Here, we summarized information on diversity, the ecological role, and biotechnological potential of marine fungi in the coldest biome on Earth. This review also discloses the importance of boosting research on Antarctic fungi as hidden treasures of biodiversity and bioactive molecules to better understand their role in marine ecosystem functioning and their applications in different biotechnological fields.</t>
  </si>
  <si>
    <t>[Varrella, Stefano; Corinaldesi, Cinzia] Polytech Univ Marche, Dept Mat Environm Sci &amp; Urban Planning, Via Brecce Bianche, I-60131 Ancona, Italy; [Barone, Giulio] Natl Res Council IRBIM CNR, Inst Biol Resources &amp; Marine Biotechnol, I-60125 Ancona, Italy; [Tangherlini, Michael] Fano Marine Ctr, Stn Zool Anton Dohrn, Dept Res Infrastruct Marine Biol Resources, Viale Adriat 1-N, I-61032 Fano, Italy; [Rastelli, Eugenio] Fano Marine Ctr, Stn Zool Anton Dohrn, Dept Marine Biotechnol, Viale Adriat 1-N, I-61032 Fano, Italy; [Dell'Anno, Antonio] Polytech Univ Marche, Dept Life &amp; Environm Sci, Via Brecce Bianche, I-60131 Ancona, Italy</t>
  </si>
  <si>
    <t>Marche Polytechnic University; Consiglio Nazionale delle Ricerche (CNR); Istituto per le Risorse Biologiche Biotecnologie Marine (IRBIM-CNR); Stazione Zoologica Anton Dohrn di Napoli; Stazione Zoologica Anton Dohrn di Napoli; Marche Polytechnic University</t>
  </si>
  <si>
    <t>Varrella, S; Corinaldesi, C (corresponding author), Polytech Univ Marche, Dept Mat Environm Sci &amp; Urban Planning, Via Brecce Bianche, I-60131 Ancona, Italy.</t>
  </si>
  <si>
    <t>s.varrella@univpm.it; giulio.barone@irbim.cnr.it; michael.tangherlini@szn.it; eugenio.rastelli@szn.it; a.dellanno@univpm.it; c.corinaldesi@univpm.it</t>
  </si>
  <si>
    <t>Dell'Anno, Antonio AD/G-9468-2012; Barone, Giulio/AAY-1385-2020; Varrella, Stefano/GXF-3079-2022</t>
  </si>
  <si>
    <t>Dell'Anno, Antonio AD/0000-0002-4324-7834; Barone, Giulio/0000-0002-5065-143X; Varrella, Stefano/0000-0002-8582-3502</t>
  </si>
  <si>
    <t>[PNRA16_00173]</t>
  </si>
  <si>
    <t>This study has been conducted in the framework of the project PNRA16_00173 Diversity and Evolution of Marine Microbial Communities associated with Antarctic Benthic Invertebrates (DEMBAI).</t>
  </si>
  <si>
    <t>10.3390/jof7050391</t>
  </si>
  <si>
    <t>SH7IJ</t>
  </si>
  <si>
    <t>WOS:000654307100001</t>
  </si>
  <si>
    <t>Kiuchi, M; Nomura, D; Hirano, D; Tamura, T; Hashida, G; Ushio, S; Simizu, D; Ono, K; Aoki, S</t>
  </si>
  <si>
    <t>Kiuchi, Masaaki; Nomura, Daiki; Hirano, Daisuke; Tamura, Takeshi; Hashida, Gen; Ushio, Shuki; Simizu, Daisuke; Ono, Kazuya; Aoki, Shigeru</t>
  </si>
  <si>
    <t>The Effect of Basal Melting of the Shirase Glacier Tongue on the CO2 System in Lutzow-Holm Bay, East Antarctica</t>
  </si>
  <si>
    <t>Antarctica; biogeochemistry; CO2; ocean; sea ice; Southern Ocean</t>
  </si>
  <si>
    <t>FAST SEA-ICE; SOUTHERN-OCEAN; CARBON-DIOXIDE; WATER; SINK; DISSOCIATION; VARIABILITY; SEAWATER; MARINE; WINTER</t>
  </si>
  <si>
    <t>To clarify the effect of basal melting of ice tongues/ice shelf on the CO2 system in the Antarctic continental margin, seawater samples were collected for analysis of dissolved inorganic carbon (DIC), total alkalinity (TA), nutrients, chlorophyll a (chl.a), and oxygen isotopic ratios at the ice front of the Shirase Glacier Tongue (SGT) in Lutzow-Holm Bay (LHB), East Antarctica during the summers of 2017 and 2018. At depths greater than similar to 20 dbar in LHB, CO2 system parameters were strongly influenced by the dilution effect of SGT basal melting and the inflow of modified Circumpolar Deep Water (mCDW). The distributions of DIC and TA agreed well with an offshore origin of mCDW that flowed beneath the SGT and mixing of basal meltwater and mCDW beneath the SGT. The fraction of SGT meltwater was highest at the station near the ice front. Dilution by SGT basal meltwater reduced the partial pressure of CO2 in the mCDW from 431 to 387 mu atm. The water then became a sink rather than source of atmospheric CO2. In the sea surface, DIC and TA were strongly influenced by biological processes. Salinity-normalized DIC decreased with the increase of salinity-normalized TA in accord with 106:16 C:N molar stoichiometry; the chl.a concentration at the sea surface was as high as 31 mu g L-1.</t>
  </si>
  <si>
    <t>[Kiuchi, Masaaki; Nomura, Daiki] Hokkaido Univ, Fac Fisheries Sci, Hakodate, Hokkaido, Japan; [Nomura, Daiki; Hirano, Daisuke] Hokkaido Univ, Arctic Res Ctr, Sapporo, Hokkaido, Japan; [Nomura, Daiki] Hokkaido Univ, Field Sci Ctr Northern Biosphere, Hakodate, Hokkaido, Japan; [Hirano, Daisuke; Ono, Kazuya; Aoki, Shigeru] Hokkaido Univ, Inst Low Temp Sci, Sapporo, Hokkaido, Japan; [Hirano, Daisuke; Tamura, Takeshi; Hashida, Gen; Ushio, Shuki; Simizu, Daisuke] Natl Inst Polar Res, Tachikawa, Tokyo, Japan; [Hirano, Daisuke; Tamura, Takeshi; Ushio, Shuki] Grad Univ Adv Studies SOKENDAI, Tachikawa, Tokyo, Japan</t>
  </si>
  <si>
    <t>Hokkaido University; Hokkaido University; Hokkaido University; Hokkaido University; Research Organization of Information &amp; Systems (ROIS); National Institute of Polar Research (NIPR) - Japan; Graduate University for Advanced Studies - Japan</t>
  </si>
  <si>
    <t>Nomura, D (corresponding author), Hokkaido Univ, Fac Fisheries Sci, Hakodate, Hokkaido, Japan.;Nomura, D (corresponding author), Hokkaido Univ, Arctic Res Ctr, Sapporo, Hokkaido, Japan.;Nomura, D (corresponding author), Hokkaido Univ, Field Sci Ctr Northern Biosphere, Hakodate, Hokkaido, Japan.</t>
  </si>
  <si>
    <t>daiki.nomura@fish.hokudai.ac.jp</t>
  </si>
  <si>
    <t>Hirano, Daisuke/P-3963-2019</t>
  </si>
  <si>
    <t>Ushio, Shuki/0000-0002-4028-6723; SIMIZU, Daisuke/0000-0003-4214-6756; Ono, Kazuya/0000-0002-8282-5801</t>
  </si>
  <si>
    <t>Japan Society for the Promotion of Science [17H04715, 17H04710, 17H06317, 17H06322, 17K12811, 20K12132, 20H04345, 21H04931]; Science Program of Japanese Antarctic Research Expedition (JARE) as Prioritized Research [KP-303, 28-14]; Center for the Promotion of Integrated Sciences of SOKENDAI; Joint Research Program of the Institute of Low Temperature Science, Hokkaido University; Grants-in-Aid for Scientific Research [21H04931, 20H04345, 17K12811, 17H04710, 17H06317, 17H06322, 17H04715, 20K12132] Funding Source: KAKEN</t>
  </si>
  <si>
    <t>Japan Society for the Promotion of Science(Ministry of Education, Culture, Sports, Science and Technology, Japan (MEXT)Japan Society for the Promotion of Science); Science Program of Japanese Antarctic Research Expedition (JARE) as Prioritized Research; Center for the Promotion of Integrated Sciences of SOKENDAI; Joint Research Program of the Institute of Low Temperature Science, Hokkaido University; Grants-in-Aid for Scientific Research(Ministry of Education, Culture, Sports, Science and Technology, Japan (MEXT)Japan Society for the Promotion of ScienceGrants-in-Aid for Scientific Research (KAKENHI))</t>
  </si>
  <si>
    <t>We thank the crew of the Japan Maritime Self-Defense Force icebreaker Shirase, and cruise members for their support in conducting the field work, especially for Tomohide Noguchi. We also thank Megumi Kitagawa for oxygen isotopic ratio analyses. We benefitted greatly from the advice offered by Atsushi Ooki and from his useful comments for the carbonate chemistry and nutrients data on this paper. This work was supported by grants from the Japan Society for the Promotion of Science (#17H04715, #17H04710, #17H06317, #17H06322, #17K12811, #20K12132, #20H04345, #21H04931), the Science Program of Japanese Antarctic Research Expedition (JARE) as Prioritized Research KP-303 (ROBOTICA) and #28-14, the Center for the Promotion of Integrated Sciences of SOKENDAI, and the Joint Research Program of the Institute of Low Temperature Science, Hokkaido University. Finally, we would like to thank Prof. Dr. Miguel Goni, Prof. Dr. Brent Else, and one anonymous reviewer for their constructive comments.</t>
  </si>
  <si>
    <t>e2020JG005762</t>
  </si>
  <si>
    <t>10.1029/2020JG005762</t>
  </si>
  <si>
    <t>SJ0QK</t>
  </si>
  <si>
    <t>WOS:000655232300029</t>
  </si>
  <si>
    <t>Singley, JG; Gooseff, MN; McKnight, DM; Hinckley, ES</t>
  </si>
  <si>
    <t>Singley, J. G.; Gooseff, M. N.; McKnight, D. M.; Hinckley, E. S.</t>
  </si>
  <si>
    <t>The Role of Hyporheic Connectivity in Determining Nitrogen Availability: Insights From an Intermittent Antarctic Stream</t>
  </si>
  <si>
    <t>Antarctica; autochthonous nitrogen; hyporheic zone; nitrogen cycling; streamflow</t>
  </si>
  <si>
    <t>MCMURDO DRY VALLEYS; GLACIAL MELTWATER STREAMS; DISSOLVED ORGANIC-CARBON; ECOSYSTEM METABOLISM; HYDROLOGIC EXCHANGE; FLOW INTERMITTENCY; TRANSIENT STORAGE; HEADWATER STREAMS; DYNAMICS; DENITRIFICATION</t>
  </si>
  <si>
    <t>Due to widespread manipulation of nitrogen (N), much research has focused on processes controlling the fate of anthropogenic N in streams. Yet, in a variety of oligotrophic systems, N fixed by periphyton is a significant driver of ecosystem metabolism. Due to difficulties partitioning allochthonous and autochthonous sources, there is limited information regarding how the latter is processed. Autochthonous N may be particularly important in alpine, arid, or polar environments. We test the hypothesis that the availability of remineralized autochthonous N is controlled by connectivity between the hyporheic zone and main channel due to the contrasting biogeochemical functions of benthic autotrophs (including N-fixing Nostoc) and hyporheic heterotrophs in an intermittent Antarctic stream. There, we collected surface water and hyporheic water concurrently at 4-6 h intervals over a 32.5 h period during one flow season and opportunistically throughout a second. Hyporheic water had 7 to 30 times greater nitrate-N concentrations relative to surface water across all flow conditions. In contrast, ammonium concentrations were generally lower, although similar among locations. Additionally, nitrate in hyporheic water was positively correlated with silica, an indicator of hyporheic residence time. A laboratory assay confirmed prior inferences that hyporheic microbial communities possess the functional potential to perform nitrification. Together, these findings suggest that remineralized autochthonous N accumulates in the hyporheic zone even as streamflow varies and likely subsidizes stream N availability, which supports prior inferences from N stable isotope data at this site. These results highlight the importance of hyporheic connectivity in controlling autochthonous N cycling and availability in streams.</t>
  </si>
  <si>
    <t>[Singley, J. G.; Hinckley, E. S.] Univ Colorado, Environm Studies Program, Boulder, CO 80309 USA; [Singley, J. G.; Gooseff, M. N.; McKnight, D. M.; Hinckley, E. S.] Univ Colorado, Inst Arctic &amp; Alpine Res, Boulder, CO 80309 USA; [Gooseff, M. N.; McKnight, D. M.] Univ Colorado, Dept Civil Environm &amp; Architectural Engn, Boulder, CO 80309 USA</t>
  </si>
  <si>
    <t>University of Colorado System; University of Colorado Boulder; University of Colorado System; University of Colorado Boulder; University of Colorado System; University of Colorado Boulder</t>
  </si>
  <si>
    <t>Singley, JG (corresponding author), Univ Colorado, Environm Studies Program, Boulder, CO 80309 USA.;Singley, JG (corresponding author), Univ Colorado, Inst Arctic &amp; Alpine Res, Boulder, CO 80309 USA.</t>
  </si>
  <si>
    <t>joel.singley@colorado.edu</t>
  </si>
  <si>
    <t>Gooseff, Michael N/N-6087-2015</t>
  </si>
  <si>
    <t>Gooseff, Michael N/0000-0003-4322-8315; MCKNIGHT, DIANE/0000-0002-4171-1533; HINCKLEY, EVE-LYN/0000-0002-7081-0530; Singley, Joel/0000-0002-7906-8491</t>
  </si>
  <si>
    <t>U.S. National Science Foundation [OPP-1637708]; University of Colorado Boulder; Petroleum Helicopters, Inc.</t>
  </si>
  <si>
    <t>U.S. National Science Foundation(National Science Foundation (NSF)); University of Colorado Boulder; Petroleum Helicopters, Inc.</t>
  </si>
  <si>
    <t>Funding for this work was provided by a U.S. National Science Foundation grant to the McMurdo Long-Term Ecological Research project (grant #OPP-1637708). Any opinions, findings, conclusions, or recommendations expressed in the material are those of the authors and do not necessarily reflect the views of the National Science Foundation. Additional funding was provided by the University of Colorado Boulder. The authors would like to thank Kathleen Welch, Anna Bergstrom, Samuel Beane, Henry Brandes, Lija Treibergs, and Brent Bednarek for their contributions during sample collection and laboratory analysis. The authors would also like to thank the civilian contractors and Petroleum Helicopters, Inc., who have supported the U.S. Antarctic Program to make this fieldwork possible. Lastly, the authors would like to thank three anonymous reviewers whose thoughtful feedback greatly improved earlier drafts of this manuscript.</t>
  </si>
  <si>
    <t>e2021JG006309</t>
  </si>
  <si>
    <t>10.1029/2021JG006309</t>
  </si>
  <si>
    <t>WOS:000655232300007</t>
  </si>
  <si>
    <t>Wolovick, MJ; Moore, JC; Zhao, L</t>
  </si>
  <si>
    <t>Wolovick, M. J.; Moore, J. C.; Zhao, L.</t>
  </si>
  <si>
    <t>Joint Inversion for Surface Accumulation Rate and Geothermal Heat Flow From Ice-Penetrating Radar Observations at Dome A, East Antarctica. Part II: Ice Sheet State and Geophysical Analysis</t>
  </si>
  <si>
    <t>Dome A; East Antarctica; geothermal flux; ice model; ice-penetrating radar; inversion</t>
  </si>
  <si>
    <t>OLD ICE; WATER NETWORKS; THICKNESS; SITES; VARIABILITY; MOUNTAINS; DYNAMICS; PATCHES; BENEATH; MODEL</t>
  </si>
  <si>
    <t>Dome A is the summit of the East Antarctic Ice Sheet, underlain by the rugged Gamburtsev Subglacial Mountains. The rugged basal topography produces a complex hydrological system featuring basal melt, water transport and storage, and freeze-on. In a companion study, we used an inverse model to infer the spatial distributions of geothermal heat flow (GHF) and accumulation rate that best fit a variety of observational constraints. Here, we present and analyze the best-fit state of the ice sheet in detail. Our modeled result agrees well with the observed water bodies and freeze-on structures, while also predicting a significant amount of unobserved water and suggesting a change in stratigraphic interpretation that reduces the volume of the freeze-on units. Our modeled stratigraphy agrees well with observations, and we predict that there will be two distinct patches of ice up to 1.5 Ma suitable for ice coring underneath the divide. Past divide migration could have interrupted stratigraphic continuity at the old ice patches, but various indirect lines of evidence suggest that the divide has been stable for about the last one and a half glacial cycles, which is an encouraging but not definitive sign for stability in the longer term. Finally, our GHF estimate is higher than previous estimates for this region, but consistent with possible heterogeneity in crustal heat production. Plain Language Summary In a companion study, we combined a model with observations to figure out the best-fit maps of geothermal heat flow and snowfall rate in the highest and coldest part of Antarctica, Dome A. In this study, we analyze the best-fit model in detail. The observations show liquid water moving around underneath the ice sheet and traveling from melting regions to freezing regions. Our model does a good job of matching those observations, while also suggesting new locations where water underneath the ice may be found and also suggesting that the volume of refrozen ice may be smaller than previously believed. Our model predicts that ice up to one and a half million years old, which would be very useful for ice core science, might be found intact and in order within a narrow region underneath the ice ridge. If the ice ridge has moved over time then our model might be wrong about the old ice, but several indirect lines of evidence suggest that it hasn't moved much. Our best-fit map of geothermal heat flow is hotter than previous estimates, which emphasizes the fact that even old cold areas of Earth's crust can have local areas that are hotter.</t>
  </si>
  <si>
    <t>[Wolovick, M. J.; Moore, J. C.; Zhao, L.] Beijing Normal Univ, Coll Global Change &amp; Earth Syst Sci, Beijing, Peoples R China; [Moore, J. C.] Univ Lapland, Arctic Ctr, Rovaniemi, Finland; [Zhao, L.] Southern Marine Sci &amp; Engn Guangdong Lab Zhuhai, Zhuhai, Peoples R China</t>
  </si>
  <si>
    <t>Beijing Normal University; University of Lapland; Southern Marine Science &amp; Engineering Guangdong Laboratory; Southern Marine Science &amp; Engineering Guangdong Laboratory (Zhuhai)</t>
  </si>
  <si>
    <t>Wolovick, MJ (corresponding author), Beijing Normal Univ, Coll Global Change &amp; Earth Syst Sci, Beijing, Peoples R China.</t>
  </si>
  <si>
    <t>michael.wolovick@gmail.com</t>
  </si>
  <si>
    <t>Wolovick, Michael/JZE-0247-2024; Moore, John C/B-2868-2013</t>
  </si>
  <si>
    <t>Wolovick, Michael/0000-0002-9345-7039; Moore, John C/0000-0001-8271-5787; Zhao, Liyun/0000-0003-1652-9550</t>
  </si>
  <si>
    <t>National Natural Science Foundation of China [41941006]; COLD: Finnish Academy [322430]</t>
  </si>
  <si>
    <t>National Natural Science Foundation of China(National Natural Science Foundation of China (NSFC)); COLD: Finnish Academy</t>
  </si>
  <si>
    <t>This work was supported by the National Natural Science Foundation of China (No. 41941006) and COLD: Finnish Academy, #322430. Undated layer picks and echo-free zone picks were produced by Sara Wolovick. The authors thank all of the participants in the AGAP project for their hard work in collecting and analyzing the datasets used in this study. M. J. Wolovick thanks the members of the Polar Geophysics Group at the Lamont-Doherty Earth Observatory for years of stimulating discussion about Dome A and other places.</t>
  </si>
  <si>
    <t>e2020JF005936</t>
  </si>
  <si>
    <t>10.1029/2020JF005936</t>
  </si>
  <si>
    <t>SJ0PX</t>
  </si>
  <si>
    <t>WOS:000655231000016</t>
  </si>
  <si>
    <t>Young, TJ; Schroeder, DM; Jordan, TM; Christoffersen, P; Tulaczyk, SM; Culberg, R; Bienert, NL</t>
  </si>
  <si>
    <t>Young, T. J.; Schroeder, D. M.; Jordan, T. M.; Christoffersen, P.; Tulaczyk, S. M.; Culberg, R.; Bienert, N. L.</t>
  </si>
  <si>
    <t>Inferring Ice Fabric From Birefringence Loss in Airborne Radargrams: Application to the Eastern Shear Margin of Thwaites Glacier, West Antarctica</t>
  </si>
  <si>
    <t>Antarctica; birefringence; fabric; glaciology; ice penetrating radar; polarimetry</t>
  </si>
  <si>
    <t>STREAM-C; ANISOTROPIC ICE; FLOW LAW; SHEETS; ZONE; POLARIZATION; FIRN; DOME; STRATIGRAPHY; DEFORMATION</t>
  </si>
  <si>
    <t>In airborne radargrams, undulating periodic patterns in amplitude that overprint traditional radiostratigraphic layering are occasionally observed, however, they have yet to be analyzed from a geophysical or glaciological perspective. We present evidence supported by theory that these depth-periodic patterns are consistent with a modulation of the received radar power due to the birefringence of polar ice, and therefore indicate the presence of bulk fabric anisotropy. Here, we investigate the periodic component of birefringence-induced radar power recorded in airborne radar data at the eastern shear margin of Thwaites Glacier and quantify the lateral variation in azimuthal fabric strength across this margin. We find the depth variability of birefringence periodicity crossing the shear margin to be a visual expression of its shear state and its development, which appears consistent with present-day ice deformation. The morphology of the birefringent patterns is centered at the location of maximum shear and observed in all cross-margin profiles, consistent with predictions of ice fabric when subjected to simple shear. The englacial fabric appears stronger inside the ice stream than outward of the shear margin. The detection of birefringent periodicity from non-polarimetric radargrams presents a novel use of subsurface radar to constrain lateral variations in fabric strength, locate present and past shear margins, and characterize the deformation history of polar ice sheets.</t>
  </si>
  <si>
    <t>[Young, T. J.; Christoffersen, P.] Univ Cambridge, Scott Polar Res Inst, Cambridge, England; [Schroeder, D. M.] Stanford Univ, Dept Geophys, Stanford, CA 94305 USA; [Schroeder, D. M.; Culberg, R.; Bienert, N. L.] Stanford Univ, Dept Elect Engn, Stanford, CA 94305 USA; [Jordan, T. M.] Plymouth Marine Lab, Plymouth, Devon, England; [Tulaczyk, S. M.] Univ Calif Santa Cruz, Dept Earth &amp; Planetary Sci, Santa Cruz, CA 95064 USA</t>
  </si>
  <si>
    <t>University of Cambridge; Stanford University; Stanford University; Plymouth Marine Laboratory; University of California System; University of California Santa Cruz</t>
  </si>
  <si>
    <t>Young, TJ (corresponding author), Univ Cambridge, Scott Polar Res Inst, Cambridge, England.</t>
  </si>
  <si>
    <t>tjy22@cam.ac.uk</t>
  </si>
  <si>
    <t>; Christoffersen, Poul/C-7328-2013; Tulaczyk, Slawek/O-7375-2018</t>
  </si>
  <si>
    <t>Jordan, Thomas/0000-0002-2096-8858; Young, Tun Jan/0000-0001-5865-3459; Christoffersen, Poul/0000-0003-2643-8724; Bienert, Nicole/0000-0002-9428-327X; Tulaczyk, Slawek/0000-0002-9711-4332; Culberg, Riley/0000-0002-4460-2359; Schroeder, Dustin/0000-0003-1916-3929</t>
  </si>
  <si>
    <t>Natural Environment Research Council (NERC) [NE/S006788/1]; National Science Foundation (NSF) [1739027]; USA Department of Defense NDSEG Fellowship; NSF Graduate Research Fellowship; University of Kansas; NASA Operation IceBridge grant [NNX16AH54G]; NSF [ACI-1443053, OPP-1739003, IIS-183820]; Lilly Endowment Incorporated; Indiana METACyt Initiative; NERC [NE/S006788/1] Funding Source: UKRI</t>
  </si>
  <si>
    <t>Natural Environment Research Council (NERC)(UK Research &amp; Innovation (UKRI)Natural Environment Research Council (NERC)); National Science Foundation (NSF)(National Science Foundation (NSF)National Research Foundation of Korea); USA Department of Defense NDSEG Fellowship; NSF Graduate Research Fellowship(National Science Foundation (NSF)); University of Kansas; NASA Operation IceBridge grant; NSF(National Science Foundation (NSF)); Lilly Endowment Incorporated; Indiana METACyt Initiative; NERC(UK Research &amp; Innovation (UKRI)Natural Environment Research Council (NERC))</t>
  </si>
  <si>
    <t>This work is ITGC Contribution No. ITGC-036 and is an output from the Thwaites Interdisciplinary Margin Evolution (TIME) project as part of the International Thwaites Glacier Collaboration (ITGC), supported by Natural Environment Research Council (NERC) research grant #NE/S006788/1 supporting T. J. Young and P. Christoffersen, and National Science Foundation (NSF) research grant #1739027 supporting S. M. Tulaczyk and D. M. Schroeder. Logistics for this project were provided by the NSF-U.S. Antarctic Program and NERC-British Antarctic Survey. R. Culberg is supported by a USA Department of Defense NDSEG Fellowship and N. L. Bienert is supported by an NSF Graduate Research Fellowship. The authors acknowledge the use of data from CReSIS generated with support from the University of Kansas, NASA Operation IceBridge grant NNX16AH54G, NSF grants ACI-1443053, OPP-1739003, and IIS-183820, Lilly Endowment Incorporated, and Indiana METACyt Initiative. The authors thank Carl Robinson, Thomas A. Jordan, and John D. Paden for the collection and processing of the CReSIS Accumulation-C radargrams as part of the Thwaites Glacier Aerogeophysical Survey. The authors thank Emma C. Smith for assistance in producing the fabric envelope plots in Figure 16. The authors are grateful to Carlos Martin, Aslak Grinsted, David Lilien, Nicholas Rathmann, and Olaf Eisen for insightful discussions on ice fabric and rheology. The authors would like to thank in particular Steven Arcone, as well as the Editor (Olga Sergienko), Associate Editor, and two other anonymous reviewers for their constructive comments that improved this paper.</t>
  </si>
  <si>
    <t>e2020JF006023</t>
  </si>
  <si>
    <t>10.1029/2020JF006023</t>
  </si>
  <si>
    <t>hybrid, Green Submitted, Green Published</t>
  </si>
  <si>
    <t>WOS:000655231000002</t>
  </si>
  <si>
    <t>Buffo, JJ; Meyer, CR; Parkinson, JRG</t>
  </si>
  <si>
    <t>Buffo, J. J.; Meyer, C. R.; Parkinson, J. R. G.</t>
  </si>
  <si>
    <t>Dynamics of a Solidifying Icy Satellite Shell</t>
  </si>
  <si>
    <t>ice-ocean interface; ice-ocean worlds; icy satellites; ocean worlds</t>
  </si>
  <si>
    <t>ANTARCTIC SEA-ICE; NATURAL-CONVECTION; MATERIAL TRANSPORT; ENCELADUS PLUME; EUROPA; OCEAN; SALINITY; BRINE; SOLIDIFICATION; EVOLUTION</t>
  </si>
  <si>
    <t>Ocean worlds have been identified as high-priority astrobiology targets due to the link between life and liquid water. Young surface terrain on many icy bodies indicates that they support active geophysical cycles that may facilitate ocean-surface transport that could provide observables for upcoming missions. Accurately interpreting spacecraft observations requires constraining the relationship between ice shell characteristics and interior dynamics. On Earth, the composition, physical characteristics, and bioburden of ocean-derived ices are related to their formation history and parent fluid composition. In such systems, the ice-ocean interface, which exists as a multiphase mushy layer, dictates the overlying ice's properties and evolution. Inclusion of the physics governing these boundaries is a novel strategy in modeling planetary ices and thus far has been limited to 1D approaches. Here, we present results from 2D simulations of an archetypal ice-ocean world. We track the evolution of temperature, salinity, porosity, and brine velocity within a thickening ice shell enabling us to place improved constraints on ice-ocean world properties, including the composition of planetary ice shells, the thickness and hydraulic connectivity of ice-ocean interfaces, and heterogeneous dynamics/structures in the interfacial mushy layer. We show that stable eutectic horizons are likely a common feature of ice-ocean worlds and that ocean composition plays an important role in governing the structure and dynamics of the interface, including the formation of chemical gradient-rich regions within the mushy layer. We discuss the geophysical and astrobiological implications of our results and highlight how they can be validated by instrument-specific measurements. Plain Language Summary Our solar system houses numerous ocean worlds that have the potential to harbor life. Typically, these oceans reside beneath a thick global icy shell. Accordingly, much of what we know about these bodies relies on interpreting spacecraft observations of their icy exteriors. To illuminate the interior properties and dynamics of these worlds, this requires an understanding of the relationship between internal processes and external observables. In ice-ocean environments, the relationship between ice and ocean properties is governed by complex dynamics occurring at the iceocean interface. This interface is characterized by a slushy mixture of ice and brine (a mushy layer), who's physical structure, fluid flow, and chemical dynamics determine the resultant ice properties. Very few models of planetary ices include these dynamics, and so far there only exists one-dimensional models that do. Here, we present the first two-dimensional model of planetary ices which includes the physics needed to accurately simulate the ice-ocean interface. We show that ice shell composition is governed by the twodimensional dynamics of the ice-brine mushy layer, that the thickness of this layer scales directly with ice shell thickness, and that gradient-rich regions in the mushy layer could provide sheltered and chemically favorable environments for organisms.</t>
  </si>
  <si>
    <t>[Buffo, J. J.; Meyer, C. R.] Dartmouth Coll, Thayer Sch Engn, Hanover, NH 03755 USA; [Parkinson, J. R. G.] Univ Oxford, Clarendon Lab, Dept Phys Atmospher Ocean &amp; Planetary Phys, Oxford, England</t>
  </si>
  <si>
    <t>Dartmouth College; University of Oxford</t>
  </si>
  <si>
    <t>Buffo, JJ (corresponding author), Dartmouth Coll, Thayer Sch Engn, Hanover, NH 03755 USA.</t>
  </si>
  <si>
    <t>jacob.j.buffo@dartmouth.edu</t>
  </si>
  <si>
    <t>Meyer, Colin R./AAC-9138-2019</t>
  </si>
  <si>
    <t>Meyer, Colin R./0000-0002-1209-1881; Buffo, Jacob/0000-0002-3234-3417</t>
  </si>
  <si>
    <t>Dartmouth's Thayer School of Engineering</t>
  </si>
  <si>
    <t>J. Buffo was funded by Dartmouth's Thayer School of Engineering.</t>
  </si>
  <si>
    <t>e2020JE006741</t>
  </si>
  <si>
    <t>10.1029/2020JE006741</t>
  </si>
  <si>
    <t>SI0HT</t>
  </si>
  <si>
    <t>WOS:000654510000007</t>
  </si>
  <si>
    <t>Jones, CS; Abernathey, RP</t>
  </si>
  <si>
    <t>Jones, C. S.; Abernathey, Ryan P.</t>
  </si>
  <si>
    <t>Modeling Water-Mass Distributions in the Modern and LGM Ocean: Circulation Change and Isopycnal and Diapycnal Mixing</t>
  </si>
  <si>
    <t>Mesoscale processes; Mixing; Ocean circulation; Ocean dynamics; Transport; Paleoclimate</t>
  </si>
  <si>
    <t>LAST GLACIAL MAXIMUM; WESTERLY WIND CHANGES; ANTARCTIC SEA-ICE; OVERTURNING CIRCULATION; MESOSCALE EDDIES; ARGO FLOAT; ATLANTIC; TEMPERATURE; DIFFUSIVITY; VENTILATION</t>
  </si>
  <si>
    <t>Paleoproxy observations suggest that deep-ocean water-mass distributions were different at the Last Glacial Maximum than they are today. However, even modern deep-ocean water-mass distributions are not completely explained by observations of the modern ocean circulation. This paper investigates two processes that influence deep-ocean water-mass distributions: 1) interior downwelling caused by vertical mixing that increases in the downward direction and 2) isopycnal mixing. Passive tracers are used to assess how changes in the circulation and in the isopycnal-mixing coefficient impact deep-ocean water-mass distributions in an idealized two-basin model. We compare two circulations, one in which the upper cell of the overturning reaches to 4000-m depth and one in which it shoals to 2500-m depth. Previous work suggests that in the latter case the upper cell and the abyssal cell of the overturning are separate structures. Nonetheless, high concentrations of North Atlantic Water (NAW) are found in our model's abyssal cell: these tracers are advected into the abyssal cell by interior downwelling caused by our vertical mixing profile, which increases in the downward direction. Further experiments suggest that the NAW concentration in the deep South Atlantic Ocean and in the deep Pacific Ocean is influenced by the isopycnal-mixing coefficient in the top 2000 m of the Southern Ocean. Both the strength and the vertical profile of isopycnal mixing are important for setting deep-ocean tracer concentrations. A 1D advection-diffusion model elucidates how NAW concentration depends on advective and diffusive processes.</t>
  </si>
  <si>
    <t>[Jones, C. S.; Abernathey, Ryan P.] Lamont Doherty Earth Observ, Palisades, NY 10964 USA</t>
  </si>
  <si>
    <t>Columbia University</t>
  </si>
  <si>
    <t>Jones, CS (corresponding author), Lamont Doherty Earth Observ, Palisades, NY 10964 USA.</t>
  </si>
  <si>
    <t>spencerj@ldeo.columbia.edu</t>
  </si>
  <si>
    <t>Jones, C Spencer/0000-0003-1094-0306</t>
  </si>
  <si>
    <t>Lamont Postdoctoral Fellowship; NSF [OCE 1553593]; Pangeo Project (NSF) [OCE 1740648]</t>
  </si>
  <si>
    <t>Lamont Postdoctoral Fellowship; NSF(National Science Foundation (NSF)); Pangeo Project (NSF)</t>
  </si>
  <si>
    <t>We thank two anonymous reviewers for their extremely helpful comments. Author Jones thanks Sophie Hines and Frank Pavia for many useful conversations about tracer distributions at the LGM and for comments on this paper. Jones is funded by the Lamont Postdoctoral Fellowship. Author Abernathey acknowledges support from NSF Award OCE 1553593. Code is available online (https://github.com/cspencerjones/tracers_LGM), with the data also being available online (http://doi.org/10.6084/m9.figshare.12827579.v1).Xarray (Hoyer and Hamman 2017) and other software tools supported by the Pangeo Project (NSF Award OCE 1740648) were used to perform data analysis and visualization.</t>
  </si>
  <si>
    <t>10.1175/JPO-D-20-0204.1</t>
  </si>
  <si>
    <t>SJ4NL</t>
  </si>
  <si>
    <t>WOS:000655510400010</t>
  </si>
  <si>
    <t>Takahashi, A; Hibiya, T; Garabato, ACN</t>
  </si>
  <si>
    <t>Takahashi, Anne; Hibiya, Toshiyuki; Garabato, Alberto C. Naveira</t>
  </si>
  <si>
    <t>Influence of the Distortion of Vertical Wavenumber Spectra on Estimates of Turbulent Dissipation Using the Finescale Parameterization: Eikonal Calculations</t>
  </si>
  <si>
    <t>Southern Ocean; Parameterization; Internal waves; Turbulence; Numerical analysis/modeling</t>
  </si>
  <si>
    <t>ANTARCTIC CIRCUMPOLAR CURRENT; INTERNAL WAVES; MICROSTRUCTURE MEASUREMENTS; ENERGY-TRANSFER; CIRCULATION; VELOCITY; SHEAR; BREAKING; FIELD; SEA</t>
  </si>
  <si>
    <t>The finescale parameterization, formulated on the basis of a weak nonlinear wave-wave interaction theory, is widely used to estimate the turbulent dissipation rate epsilon. However, this parameterization has previously been found to overestimate epsilon in the Antarctic Circumpolar Current (ACC). One possible reason for this overestimation is that vertical wavenumber spectra of internal wave energy are distorted from the canonical Garrett-Munk spectrum by a spectral hump at low wavenumbers (similar to 0.01 cpm). Such distorted vertical wavenumber spectra were also observed in other mesoscale eddyrich regions. In this study, using eikonal simulations, in which internal wave energy cascades are evaluated in the frequencywavenumber space, we examine how the distortion of vertical wavenumber spectra impacts the accuracy of the finescale parameterization. It is shown that the finescale parameterization overestimates epsilon for distorted spectra with a low-vertical wavenumber hump because it incorrectly takes into account the breaking of these low-vertical-wavenumber internal waves. This issue is exacerbated by estimating internal wave energy spectral levels from the low-wavenumber band rather than from the high-wavenumber band, which is often contaminated by noise in observations. Thus, to accurately estimate the distribution of epsilon in eddy-rich regions like the ACC, high-vertical-wavenumber spectral information free from noise contamination is indispensable.</t>
  </si>
  <si>
    <t>[Takahashi, Anne; Hibiya, Toshiyuki] Univ Tokyo, Grad Sch Sci, Dept Earth &amp; Planetary Sci, Tokyo, Japan; [Garabato, Alberto C. Naveira] Univ Southampton, Natl Oceanog Ctr, Ocean &amp; Earth Sci, Southampton, Hants, England; [Takahashi, Anne] Univ Washington, Appl Phys Lab, Seattle, WA 98105 USA</t>
  </si>
  <si>
    <t>University of Tokyo; NERC National Oceanography Centre; University of Southampton; University of Washington; University of Washington Seattle</t>
  </si>
  <si>
    <t>The basic codes for the present eikonal calculations were kindly provided by Dr. Takashi Ijichi. The numerical simulations were carried out using the supercomputer: Fujitsu PRIMERGY CX600M1/CX1640M1(Oakforest-PACS) in the Information Technology Center of the University of Tokyo. Observational data are obtained from the 19th Kaiyodai Antarctic Research Expedition (KARE) and the Southern Ocean Finestructure (SOFine) survey. These observation data used in the preparation of this paper are publicly available (http://www-aos.eps.s.u-tokyo.ac.jp/;takahashi/SouthernOcean).We are deeply grateful to all of the participants in the KARE19 cruise of the T/V Umitaka-maru of TokyoUniversity ofMarine Science and Technology for their support. Special thanks are given to Dr. Yujiro Kitade for his support. The SOFine datawere kindly provided byDr. Alexander Forryan at the National Oceanography Centre, University of Southampton. We also thank two anonymous reviewers for their helpful comments. This study is based onAnne Takahashi's Ph.D. thesis and was supported by the Japan Society for the Promotion of Science (JSPS) KAKENHI Grants 15H02131 to T. Hibiya and 17J06060 to A. Takahashi.</t>
  </si>
  <si>
    <t>10.1175/JPO-D-20-0196.1</t>
  </si>
  <si>
    <t>WOS:000655510400021</t>
  </si>
  <si>
    <t>Zahri, KNM; Zulkharnain, A; Gomez-Fuentes, C; Sabri, S; Khalil, KA; Convey, P; Ahmad, SA</t>
  </si>
  <si>
    <t>Zahri, Khadijah Nabilah Mohd; Zulkharnain, Azham; Gomez-Fuentes, Claudio; Sabri, Suriana; Abdul Khalil, Khalilah; Convey, Peter; Ahmad, Siti Aqlima</t>
  </si>
  <si>
    <t>The Use of Response Surface Methodology as a Statistical Tool for the Optimisation of Waste and Pure Canola Oil Biodegradation by Antarctic Soil Bacteria</t>
  </si>
  <si>
    <t>LIFE-BASEL</t>
  </si>
  <si>
    <t>waste canola oil; pure canola oil; Antarctic bacterial consortium; one-factor-at-a-time; response surface methodology</t>
  </si>
  <si>
    <t>POLYCYCLIC AROMATIC-HYDROCARBON; CENTRAL COMPOSITE DESIGN; DEGRADING BACTERIA; AMMONIUM-SULFATE; COOKING OILS; CRUDE-OIL; BIOREMEDIATION; DEGRADATION; NITROGEN; BIOAUGMENTATION</t>
  </si>
  <si>
    <t>Hydrocarbons can cause pollution to Antarctic terrestrial and aquatic ecosystems, both through accidental release and the discharge of waste cooking oil in grey water. Such pollutants can persist for long periods in cold environments. The native microbial community may play a role in their biodegradation. In this study, using mixed native Antarctic bacterial communities, several environmental factors influencing biodegradation of waste canola oil (WCO) and pure canola oil (PCO) were optimised using established one-factor-at-a-time (OFAT) and response surface methodology (RSM) approaches. The factors include salinity, pH, type of nitrogen and concentration, temperature, yeast extract and initial substrate concentration in OFAT and only the significant factors proceeded for the statistical optimisation through RSM. High concentration of substrate targeted for degradation activity through RSM compared to OFAT method. As for the result, all factors were significant in PBD, while only 4 factors were significant in biodegradation of PCO (pH, nitrogen concentration, yeast extract and initial substrate concentration). Using OFAT, the most effective microbial community examined was able to degrade 94.42% and 86.83% (from an initial concentration of 0.5% (v/v)) of WCO and PCO, respectively, within 7 days. Using RSM, 94.99% and 79.77% degradation of WCO and PCO was achieved in 6 days. The significant interaction for the RSM in biodegradation activity between temperature and WCO concentration in WCO media were exhibited. Meanwhile, in biodegradation of PCO the significant factors were between (1) pH and PCO concentration, (2) nitrogen concentration and yeast extract, (3) nitrogen concentration and PCO concentration. The models for the RSM were validated for both WCO and PCO media and it showed no significant difference between experimental and predicted values. The efficiency of canola oil biodegradation achieved in this study provides support for the development of practical strategies for efficient bioremediation in the Antarctic environment.</t>
  </si>
  <si>
    <t>[Zahri, Khadijah Nabilah Mohd; Ahmad, Siti Aqlima] Univ Putra Malaysia UPM, Fac Biotechnol &amp; Biomol Sci, Dept Biochem, Serdang 43400, Selangor, Malaysia; [Zulkharnain, Azham] Shibaura Inst Technol, Coll Syst Engn &amp; Sci, Dept Biosci &amp; Engn, Minuma Ku, 307 Fukasaku, Saitama 3378570, Japan; [Gomez-Fuentes, Claudio] Univ Magallanes, Dept Chem Engn, Avda Bulnes 01855, Punta Arenas, Chile; [Gomez-Fuentes, Claudio; Ahmad, Siti Aqlima] Univ Magallanes, Ctr Res &amp; Antarctic Environm Monitoring CIMAA, Avda Bulnes 01855, Punta Arenas, Chile; [Sabri, Suriana] Univ Putra Malaysia UPM, Fac Biotechnol &amp; Biomol Sci, Dept Microbiol, Serdang 43400, Selangor, Malaysia; [Abdul Khalil, Khalilah] Univ Teknol MARA, Sch Biol, Fac Appl Sci, Shah Alam 40450, Selangor, Malaysia; [Convey, Peter] British Antarctic Survey, NERC, Madingley Rd, Cambridge CB3 0ET, England; [Ahmad, Siti Aqlima] Univ Malaya, Natl Antarctic Res Ctr, B303 Level 3,Block B,IPS Bldg, Kuala Lumpur 50603, Malaysia</t>
  </si>
  <si>
    <t>Universiti Putra Malaysia; Shibaura Institute of Technology; Universidad de Magallanes; Universidad de Magallanes; Universiti Putra Malaysia; Universiti Teknologi MARA; UK Research &amp; Innovation (UKRI); Natural Environment Research Council (NERC); NERC British Antarctic Survey; Universiti Malaya</t>
  </si>
  <si>
    <t>Ahmad, SA (corresponding author), Univ Putra Malaysia UPM, Fac Biotechnol &amp; Biomol Sci, Dept Biochem, Serdang 43400, Selangor, Malaysia.;Ahmad, SA (corresponding author), Univ Magallanes, Ctr Res &amp; Antarctic Environm Monitoring CIMAA, Avda Bulnes 01855, Punta Arenas, Chile.;Ahmad, SA (corresponding author), Univ Malaya, Natl Antarctic Res Ctr, B303 Level 3,Block B,IPS Bldg, Kuala Lumpur 50603, Malaysia.</t>
  </si>
  <si>
    <t>khadijahnabilah95@gmail.com; azham@shibaura-it.ac.jp; claudio.gomez@umag.cl; suriana@upm.edu.my; khali552@uitm.edu.my; pcon@bas.ac.uk; aqlima@upm.edu.my</t>
  </si>
  <si>
    <t>Gomez-Fuentes, Claudio/ACN-8984-2022; Convey, Peter/AAV-5728-2020; Sabri, Suriana/AAT-5269-2021; Zahri, Khadijah Nabilah Mohd/AEQ-4594-2022</t>
  </si>
  <si>
    <t>Gomez-Fuentes, Claudio/0000-0001-9060-7727; Convey, Peter/0000-0001-8497-9903; Sabri, Suriana/0000-0003-4027-5730; Ahmad, Siti Aqlima/0000-0002-7625-3704; Zahri, Khadijah/0009-0000-2963-3109; Zulkharnain, Azham/0000-0001-9173-8171</t>
  </si>
  <si>
    <t>Putra-IPM fund by Universiti Putra Malaysia (UPM) [GPM-2018/9660000, GPM-2019/9678900, 2017/9300436]; YPASM Smart Partnership Initiative by Sultan Mizan Antarctic Research Foundation (YPASM) [6300247]; NERC; Centro de Investigacion y Monitoreo Ambiental Antarctico (CIMAA) Project; NERC [bas0100036] Funding Source: UKRI</t>
  </si>
  <si>
    <t>Putra-IPM fund by Universiti Putra Malaysia (UPM); YPASM Smart Partnership Initiative by Sultan Mizan Antarctic Research Foundation (YPASM); NERC(UK Research &amp; Innovation (UKRI)Natural Environment Research Council (NERC)); Centro de Investigacion y Monitoreo Ambiental Antarctico (CIMAA) Project; NERC(UK Research &amp; Innovation (UKRI)Natural Environment Research Council (NERC))</t>
  </si>
  <si>
    <t>This project was financially supported by Putra-IPM fund under the research grant attached to S.A. Ahmad (GPM-2018/9660000, GPM-2019/9678900, 2017/9300436) disbursed by Universiti Putra Malaysia (UPM) and YPASM Smart Partnership Initiative (6300247) by Sultan Mizan Antarctic Research Foundation (YPASM). P. Convey is supported by NERC core funding to the BAS `Biodiversity, Ecosystems and Adaptation' Team. C.G. Fuentes is supported by Centro de Investigacion y Monitoreo Ambiental Antarctico (CIMAA) Project.</t>
  </si>
  <si>
    <t>2075-1729</t>
  </si>
  <si>
    <t>Life-Basel</t>
  </si>
  <si>
    <t>10.3390/life11050456</t>
  </si>
  <si>
    <t>Biology; Microbiology</t>
  </si>
  <si>
    <t>Life Sciences &amp; Biomedicine - Other Topics; Microbiology</t>
  </si>
  <si>
    <t>SH7SL</t>
  </si>
  <si>
    <t>WOS:000654333700001</t>
  </si>
  <si>
    <t>Bakunov, NA; Bol'shiyanov, DY; Pravkin, SA</t>
  </si>
  <si>
    <t>Bakunov, N. A.; Bol'shiyanov, D. Yu; Pravkin, S. A.</t>
  </si>
  <si>
    <t>Reproduction of Lake Water Purification from Chernobyl 137Cs in Eastern Fennoscandia</t>
  </si>
  <si>
    <t>WATER RESOURCES</t>
  </si>
  <si>
    <t>Cs-137; concentration; lakes; water purification; reproduction of purification</t>
  </si>
  <si>
    <t>Variations in the concentration of Cs-137 in lake water over 12-19 years of its migration were reproduced with the use of exponential and sorption-diffusion models in calculations. The concentrations of Cs-137 in water of the deep (H-av &gt; 7 m) lakes Inari and Vyalozero were decreasing with half-periods of 3.6 and 5.6 years, respectively, within which Cs-137 concentration in water decreased by half. The purification of the deep Ladoga water from Cs-137 was reproduced with the use of a two-component exponential model at half-periods T-1 and T-2, equal to 0.25 and 11 years, and the contributions of components of 0.85 and 0.15, respectively. For lakes Inari and Vyalozero, the application of the sorption-diffuse model of Cs-137 absorption by bottom sediments in the reproduction of water pollution by Cs-137 was restricted by 1987-1993 and 1987-1998, respectively, when the experimental and calculated data were in a satisfactory agreement. The reserves of Cs-137 in the water volume of lakes Inari, Vyalozero, and Ladoga in 1988 were 1.1, 1.6, and 4.3% of the deposition onto water bodies in 1986.</t>
  </si>
  <si>
    <t>[Bakunov, N. A.; Bol'shiyanov, D. Yu; Pravkin, S. A.] Arctic &amp; Antarctic Res Inst, St Petersburg 199397, Russia</t>
  </si>
  <si>
    <t>Bol'shiyanov, DY (corresponding author), Arctic &amp; Antarctic Res Inst, St Petersburg 199397, Russia.</t>
  </si>
  <si>
    <t>bolshiyanov@aari.ru</t>
  </si>
  <si>
    <t>0097-8078</t>
  </si>
  <si>
    <t>1608-344X</t>
  </si>
  <si>
    <t>WATER RESOUR+</t>
  </si>
  <si>
    <t>Water Resour.</t>
  </si>
  <si>
    <t>10.1134/S0097807821030040</t>
  </si>
  <si>
    <t>SH7LL</t>
  </si>
  <si>
    <t>WOS:000654315100008</t>
  </si>
  <si>
    <t>Schanz, A; Hocke, K; Kämpfer, N; Chabrillat, S; Inness, A; Palm, M; Notholt, J; Boyd, I; Parrish, A; Kasai, Y</t>
  </si>
  <si>
    <t>Schanz, Ansgar; Hocke, Klemens; Kampfer, Niklaus; Chabrillat, Simon; Inness, Antje; Palm, Mathias; Notholt, Justus; Boyd, Ian; Parrish, Alan; Kasai, Yasuko</t>
  </si>
  <si>
    <t>The Diurnal Variation in Stratospheric Ozone from MACC Reanalysis, ERA-Interim, WACCM, and Earth Observation Data: Characteristics and Intercomparison</t>
  </si>
  <si>
    <t>stratospheric ozone; diurnal ozone cycle; photochemistry; dynamics; reanalysis; MACC; ERA-Interim; WACCM; SMILES; microwave radiometry</t>
  </si>
  <si>
    <t>OPERATIONAL IMPLEMENTATION; ATMOSPHERIC OZONE; DATA SET; ASSIMILATION; VARIABILITY; TRANSPORT; MODEL; CLIMATOLOGY; VALIDATION; PROFILE</t>
  </si>
  <si>
    <t>In this study, we compare the diurnal variation in stratospheric ozone of the MACC (Monitoring Atmospheric Composition and Climate) reanalysis, ECMWF Reanalysis Interim (ERA-Interim), and the free-running WACCM (Whole Atmosphere Community Climate Model). The diurnal variation of stratospheric ozone results from photochemical and dynamical processes depending on altitude, latitude, and season. MACC reanalysis and WACCM use similar chemistry modules and calculate a similar diurnal cycle in ozone when it is caused by a photochemical variation. The results of the two model systems are confirmed by observations of the Superconducting Submillimeter-Wave Limb-Emission Sounder (SMILES) experiment and three selected sites of the Network for Detection of Atmospheric Composition Change (NDACC) at Mauna Loa, Hawaii (tropics), Bern, Switzerland (midlatitudes), and Ny-angstrom lesund, Svalbard (high latitudes). On the other hand, the ozone product of ERA-Interim shows considerably less diurnal variation due to photochemical variations. The global maxima of diurnal variation occur at high latitudes in summer, e.g., near the Arctic NDACC site at Ny-angstrom lesund, Svalbard. The local OZORAM radiometer observes this effect in good agreement with MACC reanalysis and WACCM. The sensed diurnal variation at Ny-angstrom lesund is up to 8% (0.4 ppmv) due to photochemical variations in summer and negligible during the dynamically dominated winter. However, when dynamics play a major role for the diurnal ozone variation as in the lower stratosphere (100-20 hPa), the reanalysis models ERA-Interim and MACC which assimilate data from radiosondes and satellites outperform the free-running WACCM. Such a domain is the Antarctic polar winter where a surprising novel feature of diurnal variation is indicated by MACC reanalysis and ERA-Interim at the edge of the polar vortex. This effect accounts for up to 8% (0.4 ppmv) in both model systems. In summary, MACC reanalysis provides a global description of the diurnal variation of stratospheric ozone caused by dynamics and photochemical variations. This is of high interest for ozone trend analysis and other research which is based on merged satellite data or measurements at different local time.</t>
  </si>
  <si>
    <t>[Schanz, Ansgar; Hocke, Klemens; Kampfer, Niklaus] Univ Bern, Inst Appl Phys, CH-3012 Bern, Switzerland; [Hocke, Klemens; Kampfer, Niklaus] Univ Bern, Oeschger Ctr Climate Change Res, CH-3012 Bern, Switzerland; [Chabrillat, Simon] Belgium Inst Space Aeron, B-1180 Brussels, Belgium; [Inness, Antje] ECMWF, Shinfield Pk, Reading RG2 9AX, Berks, England; [Palm, Mathias; Notholt, Justus] Univ Bremen, Inst Environm Phys, D-28359 Bremen, Germany; [Boyd, Ian] BC Sci Consulting LLC USA, Dunedin 9010, New Zealand; [Parrish, Alan] Univ Massachusetts, Dept Astron, Amherst, MA 01003 USA; [Kasai, Yasuko] Tokyo Inst Technol, Dept Environm Chem &amp; Engn, Tokyo 1528550, Japan; [Kasai, Yasuko] Natl Inst Informat &amp; Commun Technol, Terahertz Technol Res Ctr, Tokyo 1848795, Japan; [Schanz, Ansgar] AWK Grp AG, CH-3008 Bern, Switzerland</t>
  </si>
  <si>
    <t>University of Bern; University of Bern; European Centre for Medium-Range Weather Forecasts (ECMWF); University of Bremen; University of Massachusetts System; University of Massachusetts Amherst; Tokyo Institute of Technology; National Institute of Information &amp; Communications Technology (NICT) - Japan</t>
  </si>
  <si>
    <t>Hocke, K (corresponding author), Univ Bern, Inst Appl Phys, CH-3012 Bern, Switzerland.;Hocke, K (corresponding author), Univ Bern, Oeschger Ctr Climate Change Res, CH-3012 Bern, Switzerland.</t>
  </si>
  <si>
    <t>ansgar.schanz@bluewin.ch; klemens.hocke@iap.unibe.ch; niklaus.kaempfer@iap.unibe.ch; simon.chabrillat@aeronomie.be; a.inness@ecmwf.int; mathias@iup.physik.uni-bremen.de; jnotholt@iup.physik.uni-bremen.de; iboyd.bsc@gmail.com; parrish@astro.umass.edu; ykasai@nict.go.jp</t>
  </si>
  <si>
    <t>Palm, Mathias/D-9173-2017; KASAI, Yasuko/Q-3103-2018</t>
  </si>
  <si>
    <t>Palm, Mathias/0000-0001-7191-6911; Chabrillat, Simon/0000-0003-4378-1567; Boyd, Ian/0000-0002-2343-4552; Hocke, Klemens/0000-0003-2178-9920</t>
  </si>
  <si>
    <t>European Community [284421]; AWI Bremerhaven; Deutsche Forschungsgemeinschaft (DFG) [404/5-1, 404/5-2, 404/5-3]</t>
  </si>
  <si>
    <t>European Community; AWI Bremerhaven; Deutsche Forschungsgemeinschaft (DFG)(German Research Foundation (DFG))</t>
  </si>
  <si>
    <t>The research leading to these results has received funding from the European Community's Seventh Framework Program (FP7/2007-2013) under grant agreement NO 284421 (see Article II.30. of the Grant Agreement). The OZORAM measurements at the AWIPEV research base have been supported by the AWI Bremerhaven and the Deutsche Forschungsgemeinschaft (DFG) in the projects NO 404/5-1, NO 404/5-2, NO 404/5-3.</t>
  </si>
  <si>
    <t>10.3390/atmos12050625</t>
  </si>
  <si>
    <t>SG4IZ</t>
  </si>
  <si>
    <t>WOS:000653406000001</t>
  </si>
  <si>
    <t>Burls, NJ; Bradshaw, CD; De Boer, AM; Herold, N; Huber, M; Pound, M; Donnadieu, Y; Farnsworth, A; Frigola, A; Gasson, E; von der Heydt, AS; Hutchinson, DK; Knorr, G; Lawrence, KT; Lear, CH; Li, X; Lohmann, G; Lunt, DJ; Marzocchi, A; Prange, M; Riihimaki, CA; Sarr, AC; Siler, N; Zhang, Z</t>
  </si>
  <si>
    <t>Burls, N. J.; Bradshaw, C. D.; De Boer, A. M.; Herold, N.; Huber, M.; Pound, M.; Donnadieu, Y.; Farnsworth, A.; Frigola, A.; Gasson, E.; von der Heydt, A. S.; Hutchinson, D. K.; Knorr, G.; Lawrence, K. T.; Lear, C. H.; Li, X.; Lohmann, G.; Lunt, D. J.; Marzocchi, A.; Prange, M.; Riihimaki, C. A.; Sarr, A-C; Siler, N.; Zhang, Z.</t>
  </si>
  <si>
    <t>Simulating Miocene Warmth: Insights From an Opportunistic Multi-Model Ensemble (MioMIP1)</t>
  </si>
  <si>
    <t>Miocene; Miocene surface temperature synthesis; model intercomparison; paleoclimate; polar amplification</t>
  </si>
  <si>
    <t>ANTARCTIC ICE-SHEET; MERIDIONAL OVERTURNING CIRCULATION; EARTH SYSTEM MODEL; TERRESTRIAL CLIMATE EVOLUTION; COMMUNITY ATMOSPHERE MODEL; SEA-SURFACE TEMPERATURES; MIDDLE MIOCENE; NORTH-ATLANTIC; BOUNDARY-CONDITIONS; EQUATORIAL PACIFIC</t>
  </si>
  <si>
    <t>The Miocene epoch, spanning 23.03-5.33 Ma, was a dynamic climate of sustained, polar amplified warmth. Miocene atmospheric CO2 concentrations are typically reconstructed between 300 and 600 ppm and were potentially higher during the Miocene Climatic Optimum (16.75-14.5 Ma). With surface temperature reconstructions pointing to substantial midlatitude and polar warmth, it is unclear what processes maintained the much weaker-than-modern equator-to-pole temperature difference. Here, we synthesize several Miocene climate modeling efforts together with available terrestrial and ocean surface temperature reconstructions. We evaluate the range of model-data agreement, highlight robust mechanisms operating across Miocene modeling efforts and regions where differences across experiments result in a large spread in warming responses. Prescribed CO2 is the primary factor controlling global warming across the ensemble. On average, elements other than CO2, such as Miocene paleogeography and ice sheets, raise global mean temperature by similar to 2 degrees C, with the spread in warming under a given CO2 concentration (due to a combination of the spread in imposed boundary conditions and climate feedback strengths) equivalent to similar to 1.2 times a CO2 doubling. This study uses an ensemble of opportunity: models, boundary conditions, and reference data sets represent the state-of-art for the Miocene, but are inhomogeneous and not ideal for a formal intermodel comparison effort. Acknowledging this caveat, this study is nevertheless the first Miocene multi-model, multi-proxy comparison attempted so far. This study serves to take stock of the current progress toward simulating Miocene warmth while isolating remaining challenges that may be well served by community-led efforts to coordinate modeling and data activities within a common analytical framework.</t>
  </si>
  <si>
    <t>[Burls, N. J.] George Mason Univ, Dept Atmospher Ocean &amp; Earth Sci, Ctr Ocean Land Atmosphere Studies, Fairfax, VA 22030 USA; [Bradshaw, C. D.] Met Off Hadley Ctr, Exeter, Devon, England; [Bradshaw, C. D.] Univ Exeter, Global Sys Inst, Exeter, Devon, England; [De Boer, A. M.; Hutchinson, D. K.] Stockholm Univ, Dept Geol Sci, Bolin Ctr Climate Res, Stockholm, Sweden; [Herold, N.] NSW Dept Planning Ind &amp; Environm Climate &amp; Atmosp, Sci Div, Parramatta, NSW, Australia; [Huber, M.] Purdue Univ, Dept Earth Atmospher &amp; Planetary Sci, W Lafayette, IN USA; [Pound, M.] Northumbria Univ, Dept Geogr &amp; Environm Sci, Newcastle Upon Tyne, Tyne &amp; Wear, England; [Donnadieu, Y.; Sarr, A-C] Aix Marseille Univ, CNRS, IRD, Coll France,INRA,CEREGE, Marseille, France; [Farnsworth, A.; Gasson, E.; Lunt, D. J.] Univ Bristol, Sch Geog Sci, Bristol, Avon, England; [Frigola, A.; Prange, M.] Univ Bremen, MARUM Ctr Marine Environm Sci, Bremen, Germany; [von der Heydt, A. S.] Univ Utrecht, Fac Sci, Inst Marine &amp; Atmospher Res, Dept Phys, Utrecht, Netherlands; [Knorr, G.; Lohmann, G.] Alfred Wegener Inst Helmholtz Ctr Polar &amp; Marine, Bremerhaven, Germany; [Lawrence, K. T.] Lafayette Coll, Dept Geol &amp; Environm Geosci, Easton, PA USA; [Lear, C. H.] Cardiff Univ, Sch Earth &amp; Environm Sci, Cardiff, Wales; [Li, X.; Zhang, Z.] China Univ Geosci, Dept Atmospher Sci, Sch Environm Studies, Wuhan, Peoples R China; [Marzocchi, A.] Natl Oceanog Ctr, Southampton, Hants, England; [Riihimaki, C. A.] Princeton Univ, Council Sci &amp; Technol, Princeton, NJ USA; [Siler, N.] Oregon State Univ, Coll Earth Ocean &amp; Atmospher Sci, Corvallis, OR USA; [Zhang, Z.] Bjerknes Ctr Climate Res, NORCE Norwegian Res Ctr, Bergen, Norway</t>
  </si>
  <si>
    <t>George Mason University; Center for Ocean Land Atmosphere Studies; Met Office - UK; Hadley Centre; University of Exeter; Stockholm University; Purdue University System; Purdue University; Northumbria University; Aix-Marseille Universite; Universite PSL; College de France; Centre National de la Recherche Scientifique (CNRS); INRAE; Institut de Recherche pour le Developpement (IRD); University of Bristol; University of Bremen; Utrecht University; Helmholtz Association; Alfred Wegener Institute, Helmholtz Centre for Polar &amp; Marine Research; Lafayette College; Cardiff University; China University of Geosciences; NERC National Oceanography Centre; Princeton University; Oregon State University; Bjerknes Centre for Climate Research; Norwegian Research Centre (NORCE)</t>
  </si>
  <si>
    <t>Burls, NJ (corresponding author), George Mason Univ, Dept Atmospher Ocean &amp; Earth Sci, Ctr Ocean Land Atmosphere Studies, Fairfax, VA 22030 USA.</t>
  </si>
  <si>
    <t>nburls@gmu.edu</t>
  </si>
  <si>
    <t>Huber, Matthew/A-7677-2008; Li, Xiangyu/H-8132-2018; von der Heydt, Anna/B-9250-2008; De Boer, Agatha M/H-4202-2012; Riihimaki, Catherine/AAS-7804-2021; Lear, Caroline H/D-2582-2009; Hutchinson, David/F-4564-2016; Sarr, Anta-Clarisse/GLV-4287-2022; Lunt, Daniel/G-9451-2011; donnadieu, yannick/G-7546-2016</t>
  </si>
  <si>
    <t>Huber, Matthew/0000-0002-2771-9977; Li, Xiangyu/0000-0002-7724-4025; von der Heydt, Anna/0000-0002-5557-3282; Riihimaki, Catherine/0000-0001-6094-081X; Hutchinson, David/0000-0001-9385-4782; Burls, Natalie/0000-0002-6950-3808; Lunt, Daniel/0000-0003-3585-6928; De Boer, Agatha/0000-0002-3943-7694; donnadieu, yannick/0000-0002-7315-2684; Sarr, Anta-Clarisse/0000-0002-9495-5355; Prange, Matthias/0000-0001-5874-756X; Pound, Matthew/0000-0001-8029-9548; Gasson, Edward/0000-0003-4653-6217; Frigola, Amanda/0000-0002-4681-7476; Bradshaw, Catherine/0000-0003-4305-380X</t>
  </si>
  <si>
    <t>National Science Foundation (NSF) [AGS-1844380, OCN-2002448]; Alfred P. Sloan Foundation; Swedish Research Council [2016-03912]; Netherlands Earth System Science Center (NESSC) - Ministry of Education, Culture and Science (OCW) [024.002.001]; FORMAS [2018-01621]; NERC [NE I006281/1, NE/P019102/1, NE/K014757/1, NE/T007397/1]; NERC PhD studentship; NSF P2C2 program [1602905]; Royal Society; Formas [2018-01621] Funding Source: Formas; Directorate For Geosciences; Division Of Ocean Sciences [1602905] Funding Source: National Science Foundation; Swedish Research Council [2016-03912] Funding Source: Swedish Research Council; NERC [NE/K014757/1, noc010010, NE/P019102/1] Funding Source: UKRI</t>
  </si>
  <si>
    <t>National Science Foundation (NSF)(National Science Foundation (NSF)); Alfred P. Sloan Foundation(Alfred P. Sloan Foundation); Swedish Research Council(Swedish Research Council); Netherlands Earth System Science Center (NESSC) - Ministry of Education, Culture and Science (OCW); FORMAS(Swedish Research Council Formas); NERC(UK Research &amp; Innovation (UKRI)Natural Environment Research Council (NERC)); NERC PhD studentship(UK Research &amp; Innovation (UKRI)Natural Environment Research Council (NERC)); NSF P2C2 program(National Science Foundation (NSF)NSF - Directorate for Geosciences (GEO)); Royal Society(Royal Society); Formas(Swedish Research Council Formas); Directorate For Geosciences; Division Of Ocean Sciences(National Science Foundation (NSF)NSF - Directorate for Geosciences (GEO)); Swedish Research Council(Swedish Research Council); NERC(UK Research &amp; Innovation (UKRI)Natural Environment Research Council (NERC))</t>
  </si>
  <si>
    <t>N. J. Burls acknowledges the support from the National Science Foundation (NSF; AGS-1844380 and OCN-2002448), as well as the Alfred P. Sloan Foundation as a Research Fellow. A. M. De Boer acknowledges the support of the Swedish Research Council Project 2016-03912. A. S. von der Heydt acknowledges the support by the program of the Netherlands Earth System Science Center (NESSC), financially supported by the Ministry of Education, Culture and Science (OCW) (Grant no. 024.002.001). D. K. Hutchinson acknowledges the support of FORMAS Grant 2018-01621. C. D. Bradshaw acknowledges NERC Grant NE I006281/1 and a NERC PhD studentship. C. H. Lear acknowledges NERC Grant NE/P019102/1. D. J. Lunt and A. Farnsworth acknowledge NERC Grant NE/K014757/1. M. Huber and N. Herold acknowledge funding from the NSF P2C2 program for this project through Grant #1602905. E. Gasson acknowledges funding from the Royal Society and NERC Grant NE/T007397/1. The authors thank S. Sosdian, S. Modestou, and F. Sangiorgi for assistance in compiling the ocean temperature data.</t>
  </si>
  <si>
    <t>e2020PA004054</t>
  </si>
  <si>
    <t>10.1029/2020PA004054</t>
  </si>
  <si>
    <t>SH8KM</t>
  </si>
  <si>
    <t>Green Published, Green Submitted, Green Accepted, hybrid</t>
  </si>
  <si>
    <t>WOS:000654380700005</t>
  </si>
  <si>
    <t>Wang, XX; Nie, JS; Saylor, JE</t>
  </si>
  <si>
    <t>Wang, Xiaoxue; Nie, Junsheng; Saylor, Joel E.</t>
  </si>
  <si>
    <t>Anti-Phase Strengthening of the South and East Asian Summer Monsoons During the Early Pliocene Driven by Southern Hemisphere Ice Volume</t>
  </si>
  <si>
    <t>LATE MIOCENE; CHINESE LOESS; ENVIRONMENTAL-CHANGE; TIBETAN PLATEAU; EVOLUTION; DYNAMICS; CLIMATE; RECORDS; WARMTH; UPLIFT</t>
  </si>
  <si>
    <t>The East and South Asian summer monsoons affect billions of people but a multitude of potential variables have precluded definitive attribution of their controlling mechanisms and hindered models of their evolution in an anthropogenically warmed climate. Atmospheric CO2 concentrations were higher than modern during the early Pliocene and provide a potential analog for future climate. Therefore, understanding East and South Asian summer monsoons during the early Pliocene is instructive to understanding their forcing mechanisms and future variation. Here we report the first evidence for an anti-phasing trend between the East and South Asian summer monsoons during early Pliocene time based on multiple lines of evidence. Comparison of our results with the paleoceanography records suggests that the strengthening of South Asian summer monsoons and weakening of East Asian summer monsoons during the early Pliocene were likely driven by the increase of Antarctic ice volume.</t>
  </si>
  <si>
    <t>[Wang, Xiaoxue; Nie, Junsheng] Lanzhou Univ, Coll Earth &amp; Environm Sci, Key Lab Western Chinas Environm Syst, Minist Educ, Lanzhou, Peoples R China; [Wang, Xiaoxue; Nie, Junsheng] Chinese Acad Sci, CAS Ctr Excellence Tibetan Plateau Earth Sci, Beijing, Peoples R China; [Saylor, Joel E.] Univ British Columbia, Dept Earth Ocean &amp; Atmospher Sci, Vancouver, BC, Canada</t>
  </si>
  <si>
    <t>Lanzhou University; Chinese Academy of Sciences; University of British Columbia</t>
  </si>
  <si>
    <t>Nie, JS (corresponding author), Lanzhou Univ, Coll Earth &amp; Environm Sci, Key Lab Western Chinas Environm Syst, Minist Educ, Lanzhou, Peoples R China.;Nie, JS (corresponding author), Chinese Acad Sci, CAS Ctr Excellence Tibetan Plateau Earth Sci, Beijing, Peoples R China.</t>
  </si>
  <si>
    <t>jnie@lzu.edu.cn</t>
  </si>
  <si>
    <t>liu, huan/JEO-4705-2023; Nie, Junsheng/E-5047-2010; Saylor, Joel/AAC-9183-2020; Saylor, Joel/L-3954-2018</t>
  </si>
  <si>
    <t>Saylor, Joel/0000-0001-7746-862X</t>
  </si>
  <si>
    <t>Second Tibetan Plateau Scientific Expedition [2019QZKK0704]; National Natural Science Foundation of China [41888101, 42030505]; 111 Project [BP0618001]; National Science Foundation [EAR-1226984]</t>
  </si>
  <si>
    <t>Second Tibetan Plateau Scientific Expedition; National Natural Science Foundation of China(National Natural Science Foundation of China (NSFC)); 111 Project(Ministry of Education, China - 111 Project); National Science Foundation(National Science Foundation (NSF))</t>
  </si>
  <si>
    <t>This work was financially supported by the Second Tibetan Plateau Scientific Expedition (Grant 2019QZKK0704), the National Natural Science Foundation of China (Grants 41888101 and 42030505), the 111 Project (Grant BP0618001), and the National Science Foundation (Grant EAR-1226984). The authors thank the editors and four anonymous reviewers for constructive comments that improved the manuscript significantly. The authors also thank A. Sun for sampling help. The authors declare no conflict of interest.</t>
  </si>
  <si>
    <t>e2021PA004211</t>
  </si>
  <si>
    <t>10.1029/2021PA004211</t>
  </si>
  <si>
    <t>WOS:000654380700013</t>
  </si>
  <si>
    <t>Wu, Y; Roberts, AP; Grant, KM; Heslop, D; Pillans, BJ; Zhao, X; Rohling, EJ; Ronge, TA; Ma, MM; Hesse, PP; Palmer, AS</t>
  </si>
  <si>
    <t>Wu, Yi; Roberts, Andrew P.; Grant, Katharine M.; Heslop, David; Pillans, Brad J.; Zhao, Xiang; Rohling, Eelco J.; Ronge, Thomas A.; Ma, Mingming; Hesse, Paul P.; Palmer, Alan S.</t>
  </si>
  <si>
    <t>Climatically Modulated Dust Inputs from New Zealand to the Southwest Pacific Sector of the Southern Ocean Over the Last 410 kyr</t>
  </si>
  <si>
    <t>WESTERLY WIND CHANGES; GLACIAL MAXIMUM; DOME-C; SORTABLE SILT; GRAIN-SIZE; DEEP-SEA; PALEOENVIRONMENTAL RECONSTRUCTION; INTERGLACIAL CHANGES; CHRONOLOGY AICC2012; EOLIAN DEPOSITION</t>
  </si>
  <si>
    <t>Eolian mineral dust is an active agent in the global climate system. It affects planetary albedo and can influence marine biological productivity and ocean-atmosphere carbon dynamics. This makes the understanding of the global dust cycle crucial for constraining the dust/climate relationship, which requires long-term dust emission records for all major dust sources. Despite their importance, the sources of atmospheric dust deposited in the Southern Ocean remain poorly constrained. Eolian dust in the Pacific sector of the Southern Ocean is generally assumed to originate from Australia, with minor contributions from New Zealand. Here, we present a high-resolution elemental record of terrestrial inputs for the past similar to 410 kyr from marine sediment core PS75/100-4 recovered from east of South Island, New Zealand. Sediment grain size is slightly finer than that of loess deposits from South Island, New Zealand, and is coarser than that of marine sediments in the Tasman Sea to the west of New Zealand, which indicates that the dust originated mainly from New Zealand and not only from Australia. Core PS75/100-4 records lithogenic mass accumulation rates ranging from similar to 0.01 to 0.69 g/cm(2)/kyr (similar to 0.20 g/cm(2)/kyr average), with variations over a factor of similar to 3-4 over glacial versus interglacial timescales for the past 410 kyr. Our geochemical data correlate well with the Southern Ocean and Antarctic eolian dust records and suggest a westerly wind-supplied dust signal from New Zealand. Our findings, therefore, suggest that New Zealand should be considered an important long-term regional dust source in global dust cycle models.</t>
  </si>
  <si>
    <t>[Wu, Yi] Chinese Acad Sci, Innovat Acad South China Sea Ecol &amp; Environm Engn, South China Sea Inst Oceanol, Key Lab Ocean &amp; Marginal Sea Geol, Guangzhou, Peoples R China; [Wu, Yi; Roberts, Andrew P.; Grant, Katharine M.; Heslop, David; Pillans, Brad J.; Zhao, Xiang; Rohling, Eelco J.] Australian Natl Univ, Res Sch Earth Sci, Canberra, ACT, Australia; [Wu, Yi] Southern Marine Sci &amp; Engn Guangdong Lab Guangzho, Guangzhou, Peoples R China; [Ronge, Thomas A.] Alfred Wegener Inst Helmholtz Zentrum Polar &amp; Mee, Bremerhaven, Germany; [Ma, Mingming] Fujian Normal Univ, Sch Geog Sci, Fuzhou, Peoples R China; [Hesse, Paul P.] Macquarie Univ, Dept Earth &amp; Environm Sci, Sydney, NSW, Australia; [Palmer, Alan S.] Massey Univ, Sch Agr &amp; Environm, Palmerston North, New Zealand</t>
  </si>
  <si>
    <t>Chinese Academy of Sciences; South China Sea Institute of Oceanology, CAS; Australian National University; Hong Kong Branch of the Southern Marine Science &amp; Engineering Guangdong Laboratory (Guangzhou); Helmholtz Association; Alfred Wegener Institute, Helmholtz Centre for Polar &amp; Marine Research; Fujian Normal University; Macquarie University; Massey University</t>
  </si>
  <si>
    <t>Wu, Y (corresponding author), Chinese Acad Sci, Innovat Acad South China Sea Ecol &amp; Environm Engn, South China Sea Inst Oceanol, Key Lab Ocean &amp; Marginal Sea Geol, Guangzhou, Peoples R China.;Wu, Y (corresponding author), Australian Natl Univ, Res Sch Earth Sci, Canberra, ACT, Australia.;Wu, Y (corresponding author), Southern Marine Sci &amp; Engn Guangdong Lab Guangzho, Guangzhou, Peoples R China.</t>
  </si>
  <si>
    <t>wuy@scsio.ac.cn</t>
  </si>
  <si>
    <t>Rohling, Eelco J/B-9736-2008; Wu, Yi/J-5509-2015; Roberts, Andrew P/E-6422-2010; Heslop, David/AGE-1592-2022; zhao, xiang/P-5590-2016</t>
  </si>
  <si>
    <t>Rohling, Eelco J/0000-0001-5349-2158; Wu, Yi/0000-0001-9263-5369; Heslop, David/0000-0001-8245-0555; zhao, xiang/0000-0002-1168-3439; Roberts, Andrew P./0000-0003-0566-8117; Ronge, Thomas/0000-0003-2625-719X; Grant, Katharine/0000-0003-4299-5504; Hesse, Paul/0000-0001-8709-2523</t>
  </si>
  <si>
    <t>Natural Science Foundation of Guangdong Province, China [2019A1515011488, 2016A030313160]; Australian Research Council (ARC) [DP110105419, FL120100050, DE190100042]; Deutsche Forschungsgemeinschaft (DFG) Priority Program SPP1158 [RO5057/1-2]; Key Special Project for Introduced Talents Team of Southern Marine Science and Engineering Guangdong Laboratory (Guangzhou) [GML2019ZD0204]; China Scholarship Council; Australian Research Council [FL120100050, DE190100042] Funding Source: Australian Research Council</t>
  </si>
  <si>
    <t>Natural Science Foundation of Guangdong Province, China(National Natural Science Foundation of Guangdong Province); Australian Research Council (ARC)(Australian Research Council); Deutsche Forschungsgemeinschaft (DFG) Priority Program SPP1158(German Research Foundation (DFG)); Key Special Project for Introduced Talents Team of Southern Marine Science and Engineering Guangdong Laboratory (Guangzhou); China Scholarship Council(China Scholarship Council); Australian Research Council(Australian Research Council)</t>
  </si>
  <si>
    <t>We thank the crew of RV Polarstern for drilling the core, Dr Frank Lamy for providing access to the core samples, Dr Lizzie Ingham for sampling, Dr Ulrike Proske and Mr Andrew Higgins for assistance with pilot laboratory measurements at ANU, Dr Katharina Pahnke for conducting XRF Sr measurements on core MD97-2120, Dr. Peter Neff for providing figures for dust trajectory modeling, Profs Wen Yan, Rong Xiang, and Zhong Chen for access to laboratory instruments, and the Editor (Ursula Rohl) and two anonymous reviewers for constructive comments that helped to improve the paper. The authors acknowledge funding support from the Natural Science Foundation of Guangdong Province, China (Grant Nos. 2019A1515011488 and 2016A030313160) to Yi Wu; the Australian Research Council (ARC) through grant DP110105419 to Andrew P. Roberts and Paul P. Hesse, grant FL120100050 to Eelco J. Rohling, and grant DE190100042 to Katharine M. Grant; and the Deutsche Forschungsgemeinschaft (DFG) Priority Program SPP1158 (Grant No. RO5057/1-2) to Thomas A. Ronge and Yi Wu further acknowledges support from the Key Special Project for Introduced Talents Team of Southern Marine Science and Engineering Guangdong Laboratory (Guangzhou) (GML2019ZD0204) and the China Scholarship Council.</t>
  </si>
  <si>
    <t>e2020PA003949</t>
  </si>
  <si>
    <t>10.1029/2020PA003949</t>
  </si>
  <si>
    <t>WOS:000654380700011</t>
  </si>
  <si>
    <t>Nagoji, S; Tiwari, M</t>
  </si>
  <si>
    <t>Nagoji, Sidhesh; Tiwari, Manish</t>
  </si>
  <si>
    <t>Causes and climatic influence of centennial-scale denitrification variability in the southeastern Arabian Sea since the last glacial period</t>
  </si>
  <si>
    <t>Quaternary; Paleoceanography; Paleoclimatology; Global; Stable Isotopes; Monsoon; Denitrification; Arabian Sea; Teleconnection; Ventilation</t>
  </si>
  <si>
    <t>INDIAN-SUMMER MONSOON; MILLENNIAL-SCALE; NITROUS-OXIDE; ISOTOPIC COMPOSITION; ASIAN MONSOON; OMZ INTENSITY; OCEAN; EASTERN; SEDIMENTS; ATLANTIC</t>
  </si>
  <si>
    <t>Denitrification occurring in the oxygen minimum zone of the Arabian Sea produces nitrous oxide, a powerful greenhouse gas. Therefore, it is important to understand the mechanisms controlling denitrification's intensity and evaluate its influence on the global climate at various timescales. We studied multiple geochemical and isotopic proxies in a sediment core from the southeastern Arabian Sea (SEAS) at a high (centennial-scale) resolution. We find that since the last glacial period, both the ventilation and the productivity caused by the South Asian summer monsoon played a major role in controlling the denitrification variability in SEAS. During the Last Glacial Maximum (LGM) and since the Holocene, denitrification increased in SEAS despite reduced monsoon-induced productivity. During the LGM, weakened thermohaline circulation resulted in reduced ventilation of the intermediate waters of SEAS, causing increased denitrification. During the Holocene, the increase in denitrification is caused by an enhanced inflow of oxygen-depleted Red Sea and Persian Gulf waters into the intermediate depth of SEAS owing to a rising sea level that prohibited ventilation by the Antarctic Intermediate Water. We further find millennial-scale synchronicity between denitrification in SEAS, global monsoons, and the North Atlantic climate, implying systematic linkages via greenhouse gases abundance.</t>
  </si>
  <si>
    <t>[Nagoji, Sidhesh; Tiwari, Manish] Minist Earth Sci, Natl Ctr Polar &amp; Ocean Res, Vasco Da Gama 403804, Goa, India</t>
  </si>
  <si>
    <t>Ministry of Earth Sciences (MoES) - India; National Centre for Polar and Ocean Research (NCPOR)</t>
  </si>
  <si>
    <t>Tiwari, M (corresponding author), Minist Earth Sci, Natl Ctr Polar &amp; Ocean Res, Vasco Da Gama 403804, Goa, India.</t>
  </si>
  <si>
    <t>manish@ncpor.res.in</t>
  </si>
  <si>
    <t>Tiwari, Manish/0000-0003-3143-1658</t>
  </si>
  <si>
    <t>Ministry of Earth Sciences, the Government of India; Research Council of Norway through the Ind-Nor program [MoES/Ind-Nor/PS-8/2015, 248793]</t>
  </si>
  <si>
    <t>Ministry of Earth Sciences, the Government of India; Research Council of Norway through the Ind-Nor program(Research Council of Norway)</t>
  </si>
  <si>
    <t>We thank the director of the NCPOR for support and encouragement. Tiwari also thanks the Ministry of Earth Sciences, the Government of India, and the Research Council of Norway for support through the Ind-Nor program (MoES/Ind-Nor/PS-8/2015 and grant no. 248793). We thank M. Tariq of NCPOR for help in spectral analysis and C. Torrence, G.P. Compo, A. Grinsted, J.C. Moore, and S. Jevrejeva for MATLAB codes. We thank the two anonymous reviewers, and editors D. Booth and L. Bradtmiller, for constructive comments.The data for this paper can be accessed through the supporting information or by direct request to the corresponding author. This is NCPOR contribution no. J-79/2020-21.</t>
  </si>
  <si>
    <t>PII S0033589420001180</t>
  </si>
  <si>
    <t>10.1017/qua.2020.118</t>
  </si>
  <si>
    <t>SH5AD</t>
  </si>
  <si>
    <t>WOS:000654147100012</t>
  </si>
  <si>
    <t>Oldham, VE; Chmiel, R; Hansel, CM; DiTullio, GR; Rao, D; Saito, M</t>
  </si>
  <si>
    <t>Oldham, Veronique E.; Chmiel, Rebecca; Hansel, Colleen M.; DiTullio, Giacomo R.; Rao, Deepa; Saito, Mak</t>
  </si>
  <si>
    <t>Inhibited Manganese Oxide Formation Hinders Cobalt Scavenging in the Ross Sea</t>
  </si>
  <si>
    <t>cobalt; manganese; redox; ross sea; scavenging; Southern Ocean</t>
  </si>
  <si>
    <t>NATURAL ORGANIC-LIGANDS; SOUTHERN-OCEAN; MN(II) OXIDATION; ANTARCTIC SHELF; PHYTOPLANKTON GROWTH; DISSOLVED COBALT; IRON-DEFICIENCY; DISTRIBUTIONS; WATER; BIOGEOCHEMISTRY</t>
  </si>
  <si>
    <t>The Southern Ocean plays a critical role in regulating global uptake of atmospheric CO2. Trace elements like iron (Fe), cobalt (Co), and manganese (Mn) have been shown to modulate this primary productivity. Despite limited data, the vertical profiles for Mn, Fe, and Co in the Ross Sea show no evidence of scavenging, as typically observed in oceanic sites. This was previously attributed to low-particle abundance and/or by mixing rates exceeding scavenging rates. Scavenging of some trace metals such as cobalt (Co) is thought to be largely governed by Mn (oxyhydr)oxides, assumed to be the main component of particulate Mn (pMn). However, our data show that pMn has an average oxidation state below 3 and with nondetectable Mn oxides. In addition, soluble Co profiles show no evidence of scavenging and Co uptake measurements show little Co uptake in the euphotic zone and low/no scavenging at depth. Instead, high concentrations of dissolved Mn (dMn, up to 90 nM), which is primarily complexed as Mn(III)-L (up to 100%), are observed. Average dMn concentrations (10 +/- 14 nM) are highest in bottom and surface waters. Manganese sources may include sediments and sea-ice melt, as elevated dMn was measured in sea ice (12 nM) compared to its surrounding waters (3 nM), and sea ice dMn was 97% Mn(III)-L. We contend that the lack of Co scavenging in the Ross Sea is due to a unique Mn redox cycle that favors the stabilization of Mn(III)-complexes at the expense of Mn oxide particle formation.</t>
  </si>
  <si>
    <t>[Oldham, Veronique E.] Univ Rhode Isl, Grad Sch Oceanog, Narragansett, RI 02882 USA; [Chmiel, Rebecca; Hansel, Colleen M.; Rao, Deepa; Saito, Mak] Woods Hole Oceanog Inst, Dept Marine Chem &amp; Geochem, Woods Hole, MA 02543 USA; [DiTullio, Giacomo R.] Hollings Marine Lab, Charleston, SC USA</t>
  </si>
  <si>
    <t>University of Rhode Island; Woods Hole Oceanographic Institution</t>
  </si>
  <si>
    <t>Oldham, VE (corresponding author), Univ Rhode Isl, Grad Sch Oceanog, Narragansett, RI 02882 USA.</t>
  </si>
  <si>
    <t>voldham@uri.edu</t>
  </si>
  <si>
    <t>Saito, Mak/ADT-4986-2022</t>
  </si>
  <si>
    <t>Chmiel, Rebecca/0000-0003-1461-8744; Oldham, Veronique/0000-0002-8379-7865</t>
  </si>
  <si>
    <t>NSF [1643684, 1644073, OCE-1355720]; Woods Hole Oceanographic Institution Post-Doctoral Scholarship; U.S. Department of Energy, Office of Science, Office of Basic Energy Sciences [DE-AC02-76SF00515]; Office of Polar Programs (OPP); Directorate For Geosciences [1644073, 1643684] Funding Source: National Science Foundation</t>
  </si>
  <si>
    <t>NSF(National Science Foundation (NSF)); Woods Hole Oceanographic Institution Post-Doctoral Scholarship; U.S. Department of Energy, Office of Science, Office of Basic Energy Sciences(United States Department of Energy (DOE)); Office of Polar Programs (OPP); Directorate For Geosciences(National Science Foundation (NSF)NSF - Directorate for Geosciences (GEO))</t>
  </si>
  <si>
    <t>The authors would like to thank the captain and crew of the Nathanial B. Palmer, as well as the USAP support staff at McMurdo Station and elsewhere. The authors thank Dawn Moran and Marissa Kellogg for their assistance collecting and filtering samples. Thanks to Kevin Sutherland for assistance at the Stanford Synchrotron Radiation Lightsource. The authors acknowledge support from the NSF 1643684 (MS), NSF 1644073 (GRD), NSF OCE-1355720 (CMH), and the Woods Hole Oceanographic Institution Post-Doctoral Scholarship (VEO). The Stanford Synchrotron Radiation Lightsource was utilized in this study. Use of the Stanford Synchrotron Radiation Lightsource, SLAC National Accelerator Laboratory, is supported by the U.S. Department of Energy, Office of Science, Office of Basic Energy Sciences under Contract No. DE-AC02-76SF00515.</t>
  </si>
  <si>
    <t>e2020GB006706</t>
  </si>
  <si>
    <t>10.1029/2020GB006706</t>
  </si>
  <si>
    <t>SJ0NQ</t>
  </si>
  <si>
    <t>WOS:000655225100006</t>
  </si>
  <si>
    <t>Guffogg, JA; Soto-Berelov, M; Jones, SD; Bellman, CJ; Lavers, JL; Skidmore, AK</t>
  </si>
  <si>
    <t>Guffogg, Jenna A.; Soto-Berelov, Mariela; Jones, Simon D.; Bellman, Chris J.; Lavers, Jennifer L.; Skidmore, Andrew K.</t>
  </si>
  <si>
    <t>Towards the Spectral Mapping of Plastic Debris on Beaches</t>
  </si>
  <si>
    <t>Cocos (Keeling) Islands; plastic debris; proximal remote sensing; macroplastics; spectral absorption features; shortwave infrared; spectroscopy; hyperspectral</t>
  </si>
  <si>
    <t>UNMANNED AERIAL VEHICLES; MARINE DEBRIS; REMOTE; LITTER; ACCUMULATION; ALGORITHM; REFLECTANCE; IMPACTS; SYSTEMS; VIRGIN</t>
  </si>
  <si>
    <t>Floating and washed ashore marine plastic debris (MPD) is a growing environmental challenge. It has become evident that secluded locations including the Arctic, Antarctic, and remote islands are being impacted by plastic pollution generated thousands of kilometers away. Optical remote sensing of MPD is an emerging field that can aid in monitoring remote environments where in-person observation and data collection is not always feasible. Here we evaluate MPD spectral features in the visible to shortwave infrared regions for detecting varying quantities of MPD that have accumulated on beaches using a spectroradiometer. Measurements were taken from a range of in situ MPD accumulations ranging from 0.08% to 7.94% surface coverage. Our results suggest that spectral absorption features at 1215 nm and 1732 nm are useful for detecting varying abundance levels of MPD in a complex natural environment, however other absorption features at 931 nm, 1045 nm and 2046 nm could not detect in situ MPD. The reflectance of some in situ MPD accumulations was statistically different from samples that only contained organic debris and sand between 1.56% and 7.94% surface cover; however other samples with similar surface cover did not have reflectance that was statistically different from samples containing no MPD. Despite MPD being detectable against a background of sand and organic beach debris, a clear relationship between the surface cover of MPD and the strength of key absorption features could not be established. Additional research is needed to advance our understanding of the factors, such as type of MPD assemblage, that contribute to the bulk reflectance of MPD contaminated landscapes.</t>
  </si>
  <si>
    <t>[Guffogg, Jenna A.; Soto-Berelov, Mariela; Jones, Simon D.; Bellman, Chris J.] RMIT Univ, Sch Sci, 124 La Trobe St, Melbourne, Vic 3000, Australia; [Lavers, Jennifer L.] Univ Tasmania, Inst Marine &amp; Antarctic Studies, 20 Castray Esplanade, Hobart, Tas 7004, Australia; [Skidmore, Andrew K.] Univ Twente, Fac Geoinformat Sci &amp; Earth Observat ITC, Hengelosestr 99, NL-7514 AE Enschede, Netherlands; [Skidmore, Andrew K.] Macquarie Univ, Dept Environm Sci, Balaclava Rd,Macquarie Pk, Sydney, NSW 2109, Australia</t>
  </si>
  <si>
    <t>Royal Melbourne Institute of Technology (RMIT); Melbourne Genomics Health Alliance; University of Tasmania; University of Twente; Macquarie University</t>
  </si>
  <si>
    <t>Guffogg, JA (corresponding author), RMIT Univ, Sch Sci, 124 La Trobe St, Melbourne, Vic 3000, Australia.</t>
  </si>
  <si>
    <t>jenna.guffogg@rmit.edu.au; mariela.soto-berelov@rmit.edu.au; simon.jones@rmit.edu.au; chris.bellman@rmit.edu.au; jennifer.lavers@utas.edu.au; a.k.skidmore@utwente.nl</t>
  </si>
  <si>
    <t>Lavers, Jennifer/O-4831-2017; Lavers, Jennifer/IWM-5417-2023</t>
  </si>
  <si>
    <t>Lavers, Jennifer/0000-0001-7596-6588; Jones, Simon/0000-0002-3914-3717; Guffogg, Jenna/0000-0003-2804-9554; Bellman, Chris/0000-0003-1679-8216; Soto-Berelov, Mariela/0000-0003-1285-1622</t>
  </si>
  <si>
    <t>European Commission 'BIOSPACE Monitoring Biodiversity from Space' project [834709]; NERC [NE/S013385/1] Funding Source: UKRI; European Research Council (ERC) [834709] Funding Source: European Research Council (ERC)</t>
  </si>
  <si>
    <t>European Commission 'BIOSPACE Monitoring Biodiversity from Space' project; NERC(UK Research &amp; Innovation (UKRI)Natural Environment Research Council (NERC)); European Research Council (ERC)(European Research Council (ERC)Spanish Government)</t>
  </si>
  <si>
    <t>We thank Eija Aeonn, Samantha Blades and James Bradley for their assistance in the field, Liza and Mike Dicks for providing accommodation, and members of the Cocos community including Kylie James, Ash James, Peter McCartney and Cat McCartney for transport and logistics assistance. A.K.S. supported by the European Commission 'BIOSPACE Monitoring Biodiversity from Space' project (Grant agreement ID 834709, H2020-EU.1.1.).</t>
  </si>
  <si>
    <t>10.3390/rs13091850</t>
  </si>
  <si>
    <t>SC5WK</t>
  </si>
  <si>
    <t>WOS:000650740800001</t>
  </si>
  <si>
    <t>Rossetti, F</t>
  </si>
  <si>
    <t>Rossetti, Fulvio</t>
  </si>
  <si>
    <t>The Antarctic Oracles and hosts. Architecture, land and diverging imaginaries of the Argentine, British and Chilean Antarctica. 1961 on</t>
  </si>
  <si>
    <t>RITA-REVISTA INDEXADA DE TEXTOS ACADEMICOS</t>
  </si>
  <si>
    <t>Territorial immagineries; landscape; extreme environment; Architecture; Antarctica</t>
  </si>
  <si>
    <t>Three emblematic buildings from the United Kingdom, Argentina, and Chile project their competing interests on Antarctica and their overlapping territorial claims. One corresponds to the Halley Stations, on the eastern edge of the British claim. Another is the utopian first city in Antarctica, imagined close to the Argentine Marambio aerodrome, in the extreme north of the Antarctic peninsula. The third is the International Antarctic Center, a multifunctional building to enhance the role of Punta Arenas as a gateway to the white continent. The three were conceived as nodes of superimposed and apparently analogous networks, articulating research stations, logistic nodes and gateway cities from nearby national territories. However, the selection of which should become iconic works shows different affirmative discourses and leads to wondering how architecture and territorial policies interacted with the general context of the overlapping of competing interests the norms that regulate and the imaginaries that inspire them; dynamics that differ in relation to different conceptions of territorial unity and different ways of interpreting the idea of the continent as a space of cooperation agreed in 1961 by the Antarctic Treaty and materialized by the actions of each of its member countries.</t>
  </si>
  <si>
    <t>[Rossetti, Fulvio] Pontificia Univ Catolica Chile, Santiago, Chile</t>
  </si>
  <si>
    <t>Pontificia Universidad Catolica de Chile</t>
  </si>
  <si>
    <t>Rossetti, F (corresponding author), Pontificia Univ Catolica Chile, Santiago, Chile.</t>
  </si>
  <si>
    <t>frossett@uc.cl</t>
  </si>
  <si>
    <t>REDFUNDAMENTOS SL</t>
  </si>
  <si>
    <t>CALLE BAHIA 29, MADRID, 28008, SPAIN</t>
  </si>
  <si>
    <t>2340-9711</t>
  </si>
  <si>
    <t>2386-7027</t>
  </si>
  <si>
    <t>RITA-REV INDEXADA TE</t>
  </si>
  <si>
    <t>Rita-Rev. Indexada Textos Acad.</t>
  </si>
  <si>
    <t>10.24192/2386-7027(2021)(v15)(09)</t>
  </si>
  <si>
    <t>Architecture</t>
  </si>
  <si>
    <t>SE7WP</t>
  </si>
  <si>
    <t>WOS:000652280600019</t>
  </si>
  <si>
    <t>Jossart, Q; Kochzius, M; Danis, B; Saucède, T; Moreau, CVE</t>
  </si>
  <si>
    <t>Jossart, Quentin; Kochzius, Marc; Danis, Bruno; Saucede, Thomas; Moreau, Camille V. E.</t>
  </si>
  <si>
    <t>Diversity of the Pterasteridae (Asteroidea) in the Southern Ocean: a molecular and morphological approach</t>
  </si>
  <si>
    <t>Antarctica; COI mitochondrial DNA; cryptic species; deep sea; echinoderms; identification key; morphological systematics; phylogenetics; taxonomy</t>
  </si>
  <si>
    <t>FORCIPULATACEA ASTEROIDEA; SPECIES DELIMITATION; INCLUDING XYLOPLAX; PHYLOGENY; SYSTEMATICS; INSIGHTS; BARCODE; ORIGIN; GENUS</t>
  </si>
  <si>
    <t>An integrative approach is crucial in discrimination of species, especially for taxa that are difficult to identify based on morphological characters. In this study, we combine genetics and morphology to assess the diversity of Pterasteridae, a sea star family diversified in deep-sea and polar environments. Because of their derived anatomy and the frequent loss of characters during preservation, Pterasteridae are a suitable case for an integrative study. The molecular identification of 191 specimens (mostly from the Southern Ocean) suggests 26-33 species in three genera (Diplopteraster, Hymenaster and Pteraster), which match the morphological identification in 54-62% of cases. The mismatches are either different molecular units that are morphologically indistinguishable (e.g. Pteraster stellifer units 2 and 4) or, conversely, nominal species that are genetically identical (e.g. Hymenaster coccinatus / densus / praecoquis). Several species are shared between the Northern and Southern Hemispheres (e.g. Pteraster jordani / affinis). In conclusion, the taxonomic status of some groups is confirmed, but for others we find the need to re-evaluate the taxonomy at both genus and species levels. This work significantly increases the DNA barcode library of the Southern Ocean species and merges taxonomic information into an identification key that could become a baseline for future studies (pterasteridae-so.identificationkey.org ).</t>
  </si>
  <si>
    <t>[Jossart, Quentin; Kochzius, Marc] Vrije Univ Brussel VUB, Marine Biol Ecol &amp; Biodivers, Brussels, Belgium; [Danis, Bruno; Moreau, Camille V. E.] Univ Libre Bruxelles ULB, Lab Biol Marine, Brussels, Belgium; [Saucede, Thomas; Moreau, Camille V. E.] Univ Bourgogne Franche Comte UBFC, Biogeosci, Dijon, France</t>
  </si>
  <si>
    <t>Vrije Universiteit Brussel; Universite Libre de Bruxelles; Universite de Bourgogne</t>
  </si>
  <si>
    <t>Jossart, Q (corresponding author), Vrije Univ Brussel VUB, Marine Biol Ecol &amp; Biodivers, Brussels, Belgium.</t>
  </si>
  <si>
    <t>qjossart@gmail.com</t>
  </si>
  <si>
    <t>Danis, Bruno/0000-0002-9037-7623; Kochzius, Marc/0000-0001-8953-4719; Jossart, Quentin/0000-0002-2280-243X; Moreau, Camille/0000-0002-0981-7442</t>
  </si>
  <si>
    <t>'Refugia and Ecosystem Tolerance in the Southern Ocean' project (RECTO) - 'Belgian Science Policy Office' (BELSPO) [BR/154/A1/RECTO]; RECTO project [15]; New Zealand Foundation for Research, Science and Technology; New Zealand Ministry of Fisheries (FNZ); NOAA Satellite Operations Facility; New Zealand government under 'Coasts &amp; Oceans' core funding from the Ministry of Business, Innovation and Employment, Project: Food-web dynamics of New Zealand marine ecosystems [TAN1116]</t>
  </si>
  <si>
    <t>'Refugia and Ecosystem Tolerance in the Southern Ocean' project (RECTO) - 'Belgian Science Policy Office' (BELSPO); RECTO project; New Zealand Foundation for Research, Science and Technology(New Zealand Foundation for Research, Science and Technology); New Zealand Ministry of Fisheries (FNZ); NOAA Satellite Operations Facility(National Oceanic Atmospheric Admin (NOAA) - USA); New Zealand government under 'Coasts &amp; Oceans' core funding from the Ministry of Business, Innovation and Employment, Project: Food-web dynamics of New Zealand marine ecosystems(New Zealand Ministry of Business, Innovation and Employment (MBIE))</t>
  </si>
  <si>
    <t>This work was supported by the 'Refugia and Ecosystem Tolerance in the Southern Ocean' project (RECTO; BR/154/A1/RECTO) funded by the ` Belgian Science Policy Office' (BELSPO). This is contribution no. 15 to the RECTO project. We thank Guillaume Achaz, Sylvain Bouquin, Marc Eleaume, Bruno Frederich, Christopher Mah, Sadie Mills, Kate Neil, Philippe Pernet, Chester J. Sands and Regine Vignes-Lebbe for their precious help and advice. We thank the two anonymous reviewers for their pertinent comments. We thank the captains, crews and scientists who contributed to the material collected from the Royal Research Ship James Clark Ross (JR144, JR179, JR262, JR275 and JR15005), RV Polarstern (ANDEEP-3, ANDEEP-SYSTCO, PS77, PS81 and PS96), Akademik Treshnikov (Antarctic Circumnavigation Expedition, Swiss polar Institute), FV Austral (Poker 2, principal investigator Guy Duhamel), Aurora Australis (CEAMARC 2007-2008), N.O. Alis (MUSORSTOM 10), Marion Dufresne (MD 208) and the ARGOS program. Photographs of H. escourti and P. bathami in the identification key were provided by the National Institute of Water and Atmospheric Research (NIWA) Invertebrate Collection and were taken on R/V Tangaroa on a variety of research voyages, including: TAN0413, Bay of Plenty Seamounts voyage part of the project `Seamounts: their importance to fisheries and marine ecosystems', undertaken by NIWA and funded by the New Zealand Foundation for Research, Science and Technology with additional funding from the New Zealand Ministry of Fisheries (MFish, now FNZ) and NOAA Satellite Operations Facility; and TAN1116, Fisheries Oceanography voyage supported by the New Zealand government under 'Coasts &amp; Oceans' core funding from the Ministry of Business, Innovation and Employment, Project: Food-web dynamics of New Zealand marine ecosystems.</t>
  </si>
  <si>
    <t>10.1093/zoolinnean/zlaa097</t>
  </si>
  <si>
    <t>SE1NS</t>
  </si>
  <si>
    <t>WOS:000651842400006</t>
  </si>
  <si>
    <t>Hoppe, P; Leitner, J; Kodolányi, J; Vollmer, C</t>
  </si>
  <si>
    <t>Hoppe, Peter; Leitner, Jan; Kodolanyi, Janos; Vollmer, Christian</t>
  </si>
  <si>
    <t>Isotope Systematics of Presolar Silicate Grains: New Insights from Magnesium and Silicon</t>
  </si>
  <si>
    <t>ASYMPTOTIC GIANT BRANCH; GALACTIC CHEMICAL EVOLUTION; AGB STARS; OXIDE GRAINS; LABORATORY ANALYSIS; CLASSICAL NOVAE; STELLAR YIELDS; MASSIVE STARS; SOLAR-SYSTEM; STARDUST</t>
  </si>
  <si>
    <t>We report on Mg and Si isotope data of 86 presolar silicate grains identified through NanoSIMS oxygen ion imaging in thin sections of carbonaceous and ordinary chondrites. The O, Mg, and Si isotope data of 106 presolar silicates (including grains studied previously by our group) suggest division of O isotope Group 1 grains into four subpopulations: (i) normal, (ii) Mg-25-rich, (iii) Mg-26-rich, and (iv) Mg-25-poor. Normal Group 1 grains (similar to 60% of Group 1 grains) formed in the winds of low-mass asymptotic giant branch (AGB) stars, with Mg and Si defining linear arrays with slopes of similar to 0.9 and 1.37, respectively, in three-isotope representations, most likely representing Galactic chemical evolution (GCE). The Mg-25-rich grains (similar to 25%) show enrichments in Mg-25 of up to a factor 2.4 relative to solar composition and most likely formed in supernova (SN) ejecta or the winds of intermediate-mass AGB stars. The Mg-26-rich and Mg-25-poor Group 1 grains lie below the Mg GCE line and their isotopic compositions favor origins from supergiants or SNe. The O isotope Group 2 grains show a wide range of Mg-isotopic compositions, similar to Group 1 grains, with likely origins from massive AGB stars, super-AGB stars, supergiants, and SNe. The Mg- and Si-isotopic compositions of Group 4 grains are compatible with previously proposed SN origins. Our results suggest that &gt;30% of presolar silicates formed in the winds of supergiants and in SN ejecta, and that low-mass AGB stars appear to have contributed only some 50% to presolar silicates, less than previously thought.</t>
  </si>
  <si>
    <t>[Hoppe, Peter; Leitner, Jan; Kodolanyi, Janos] Max Planck Inst Chem, Hahn Meitner Weg 1, D-55128 Mainz, Germany; [Vollmer, Christian] Westfal Wilhelms Univ, Inst Mineral, Corrensstr 24, D-48149 Munster, Germany</t>
  </si>
  <si>
    <t>Max Planck Society; University of Munster</t>
  </si>
  <si>
    <t>Hoppe, P (corresponding author), Max Planck Inst Chem, Hahn Meitner Weg 1, D-55128 Mainz, Germany.</t>
  </si>
  <si>
    <t>peter.hoppe@mpic.de</t>
  </si>
  <si>
    <t>Hoppe, Peter/B-3032-2015; Leitner, Jan/A-7391-2015</t>
  </si>
  <si>
    <t>Hoppe, Peter/0000-0003-3681-050X; Leitner, Jan/0000-0003-3655-6273; Vollmer, Christian/0000-0002-7768-7651; Kodolanyi, Janos/0000-0001-5710-0537</t>
  </si>
  <si>
    <t>We thank Elmar Groner and Philipp Schuhmann for technical support on the NanoSIMS, and Larry Nittler for his helpful and constructive review. Meteoritic thin sections were provided by the Natural History Museum in Vienna (Acfer 094), The Natural History Museum in London (NWA 801), and the Antarctic Search for Meteorites (ANSMET) program (EET 92161, MET 00426, QUE 99177). US Antarctic meteorite samples are recovered by the ANSMET program, which has been funded by NSF and NASA, and characterized and curated by the Department of Mineral Sciences of the Smithsonian Institution and Astromaterials Curation Office at NASA Johnson Space Center.</t>
  </si>
  <si>
    <t>10.3847/1538-4357/abef64</t>
  </si>
  <si>
    <t>SJ2BU</t>
  </si>
  <si>
    <t>WOS:000655332900001</t>
  </si>
  <si>
    <t>Groh, A; Horwath, M</t>
  </si>
  <si>
    <t>Groh, Andreas; Horwath, Martin</t>
  </si>
  <si>
    <t>Antarctic Ice Mass Change Products from GRACE/GRACE-FO Using Tailored Sensitivity Kernels</t>
  </si>
  <si>
    <t>Antarctic Ice Sheet; mass change; GRACE/GRACE-FO; sensitivity kernels</t>
  </si>
  <si>
    <t>ISOSTATIC-ADJUSTMENT MODEL; TIME-VARIABLE GRAVITY; GRACE MEASUREMENTS; GREENLAND; SHEET; VARIABILITY; ANOMALIES; GLACIERS; SIGNAL; EARTH</t>
  </si>
  <si>
    <t>We derived gravimetric mass change products, i.e., gridded and basin-averaged mass changes, for the Antarctic Ice Sheet (AIS) from time-variable gravity-field solutions acquired by the Gravity Recovery and Climate Experiment (GRACE) mission and its successor GRACE-FO, covering more than 18 years. For this purpose, tailored sensitivity kernels (TSKs) were generated for the application in a regional integration approach. The TSKs were inferred in a formal optimization approach minimizing the sum of both propagated mission errors and leakage errors. We accounted for mission errors by means of an empirical error covariance model, while assumptions on signal variances of potential sources of leakage were used to minimize leakage errors. To identify the optimal parameters to be used in the TSK generation, we assessed a set of TSKs by quantifying signal leakage from the processing of synthetic data and by inferring the noise level of the derived basin products. The finally selected TSKs were used to calculate mass change products from GRACE/GRACE-FO Level-2 spherical harmonic solutions covering 2002-04 to 2020-07. These products were compared to external data sets from satellite altimetry and the input-output method. For the period under investigation, the mass balance of the AIS was quantified to be -90.9 +/- 43.5 Gt a(-1), corresponding to a mean sea-level rise of 0.25 +/- 0.12 mm a(-1).</t>
  </si>
  <si>
    <t>[Groh, Andreas; Horwath, Martin] Tech Univ Dresden, Inst Planetare Geodasie, D-01062 Dresden, Germany</t>
  </si>
  <si>
    <t>Technische Universitat Dresden</t>
  </si>
  <si>
    <t>Groh, A (corresponding author), Tech Univ Dresden, Inst Planetare Geodasie, D-01062 Dresden, Germany.</t>
  </si>
  <si>
    <t>andreas.groh@tu-dresden.de; martin.horwath@tu-dresden.de</t>
  </si>
  <si>
    <t>Horwath, Martin/ABH-4320-2020</t>
  </si>
  <si>
    <t>Groh, Andreas/0000-0003-0106-5802; Horwath, Martin/0000-0001-5797-244X</t>
  </si>
  <si>
    <t>European Space Agency through the Climate Change Initiative (CCI) project Antarctic Ice Sheet CCI+ [4000126813/19/I-NB]; European Space Agency through the Climate Change Initiative (CCI) project Greenland Ice Sheet CCI+ [4000126523/19/I-NB]; European Space Agency through the Climate Change Initiative (CCI) project Sea-level Budget Closure CCI [4000119910/17/I-NB]; Open Access Publication Funds of the SLUB/TU Dresden</t>
  </si>
  <si>
    <t>European Space Agency through the Climate Change Initiative (CCI) project Antarctic Ice Sheet CCI+; European Space Agency through the Climate Change Initiative (CCI) project Greenland Ice Sheet CCI+; European Space Agency through the Climate Change Initiative (CCI) project Sea-level Budget Closure CCI; Open Access Publication Funds of the SLUB/TU Dresden</t>
  </si>
  <si>
    <t>This study was supported by the European Space Agency through the Climate Change Initiative (CCI) projects Antarctic Ice Sheet CCI+ (contract number 4000126813/19/I-NB), Greenland Ice Sheet CCI+ (contract number 4000126523/19/I-NB) and Sea-level Budget Closure CCI (contract number 4000119910/17/I-NB). We acknowledge support by the Open Access Publication Funds of the SLUB/TU Dresden.</t>
  </si>
  <si>
    <t>10.3390/rs13091736</t>
  </si>
  <si>
    <t>SC5SO</t>
  </si>
  <si>
    <t>WOS:000650730800001</t>
  </si>
  <si>
    <t>Trott, CB; Subrahmanyam, B; Washburn, CE</t>
  </si>
  <si>
    <t>Trott, Corinne B.; Subrahmanyam, Bulusu; Washburn, Caroline E.</t>
  </si>
  <si>
    <t>Investigating the Response of Temperature and Salinity in the Agulhas Current Region to ENSO Events</t>
  </si>
  <si>
    <t>Agulhas Current; ENSO; sea surface salinity; sea surface temperature; Indian Ocean</t>
  </si>
  <si>
    <t>INDIAN-OCEAN; INDONESIAN THROUGHFLOW; SURFACE SALINITY; ATLANTIC-OCEAN; VARIABILITY; LEAKAGE; SEA; CIRCULATION; SALT</t>
  </si>
  <si>
    <t>The Agulhas Current is a critical component of global ocean circulation and has been observed to respond to El Nino Southern Oscillation (ENSO) events via its temperature and salinity signatures. In this research, we use sea surface salinity (SSS) from the National Aeronautics and Space Administration's (NASA) Soil Moisture Active Passive (SMAP) satellite, sea surface temperature (SST) observations from the Canadian Meteorological Centre (CMC), sea surface height (SSH) anomalies from altimetry, and the Oceanic Nino Index to study the SMAP satellite time period of April 2015 through March 2020 (to observe full years of study). We see warming and high salinities after El Nino, cooling and fresher surface waters after La Nina, and a stronger temperature response than that of salinity. About one year after the 2015 El Nino, there is a warming of the entire region except at the Antarctic Circumpolar Current. About two years after the event, there is an increase in salinity along the eastern coast of Africa and in the Agulhas Current region. About two years after the 2016 and 2018 La Ninas, there is a cooling south of Madagascar and in the Agulhas Current. There are no major changes in salinity seen in the Agulhas Current, but there is a highly saline mass of water west of the Indonesian Throughflow about two years after the La Nina events. Wavelet coherence analysis finds that SSS and ENSO are most strongly correlated a year after the 2015 El Nino and two years after the 2016 La Nina.</t>
  </si>
  <si>
    <t>[Trott, Corinne B.] Naval Res Lab, Stennis Space Ctr, MS 39529 USA; [Subrahmanyam, Bulusu; Washburn, Caroline E.] Univ South Carolina, Sch Earth Ocean &amp; Environm, Columbia, SC 29208 USA</t>
  </si>
  <si>
    <t>United States Department of Defense; United States Navy; Naval Research Laboratory; University of South Carolina System; University of South Carolina Columbia</t>
  </si>
  <si>
    <t>Trott, CB (corresponding author), Naval Res Lab, Stennis Space Ctr, MS 39529 USA.</t>
  </si>
  <si>
    <t>corinne.trott@nrlssc.navy.mil; sbulusu@geol.sc.edu; cew15@email.sc.edu</t>
  </si>
  <si>
    <t>Trott, Corinne/0000-0002-1908-4713; BULUSU, SUBRAHMANYAM/0000-0003-3465-8065</t>
  </si>
  <si>
    <t>United States Office of Naval Research Award [N00014-20-1-2742]</t>
  </si>
  <si>
    <t>United States Office of Naval Research Award(Office of Naval Research)</t>
  </si>
  <si>
    <t>This research was funded by the United States Office of Naval Research Award #N00014-20-1-2742, awarded to B.S.</t>
  </si>
  <si>
    <t>10.3390/rs13091829</t>
  </si>
  <si>
    <t>SC5ZD</t>
  </si>
  <si>
    <t>WOS:000650747900001</t>
  </si>
  <si>
    <t>Liu, PF; Kaplan, JO; Mickley, LJ; Li, Y; Chellman, NJ; Arienzo, MM; Kodros, JK; Pierce, JR; Sigl, M; Freitag, J; Mulvaney, R; Curran, MAJ; McConnell, JR</t>
  </si>
  <si>
    <t>Liu, Pengfei; Kaplan, Jed O.; Mickley, Loretta J.; Li, Yang; Chellman, Nathan J.; Arienzo, Monica M.; Kodros, John K.; Pierce, Jeffrey R.; Sigl, Michael; Freitag, Johannes; Mulvaney, Robert; Curran, Mark A. J.; McConnell, Joseph R.</t>
  </si>
  <si>
    <t>Improved estimates of preindustrial biomass burning reduce the magnitude of aerosol climate forcing in the Southern Hemisphere</t>
  </si>
  <si>
    <t>BLACK CARBON DEPOSITION; SATELLITE-OBSERVATIONS; INTERANNUAL VARIABILITY; FIRE EMISSIONS; REACTIVE GASES; LAND-USE; HOLOCENE; MODEL; ANTARCTICA; RECORDS</t>
  </si>
  <si>
    <t>Fire plays a pivotal role in shaping terrestrial ecosystems and the chemical composition of the atmosphere and thus influences Earth's climate. The trend and magnitude of fire activity over the past few centuries are controversial, which hinders understanding of preindustrial to present-day aerosol radiative forcing. Here, we present evidence from records of 14 Antarctic ice cores and 1 central Andean ice core, suggesting that historical fire activity in the Southern Hemisphere (SH) exceeded present-day levels. To understand this observation, we use a global fire model to show that overall SH fire emissions could have declined by 30% over the 20th century, possibly because of the rapid expansion of land use for agriculture and animal production in middle to high latitudes. Radiative forcing calculations suggest that the decreasing trend in SH fire emissions over the past century largely compensates for the cooling effect of increasing aerosols from fossil fuel and biofuel sources.</t>
  </si>
  <si>
    <t>[Liu, Pengfei; Mickley, Loretta J.; Li, Yang] Harvard Univ, Sch Engn &amp; Appl Sci, Cambridge, MA 02138 USA; [Liu, Pengfei] Georgia Inst Technol, Sch Earth &amp; Atmospher Sci, Atlanta, GA 30332 USA; [Kaplan, Jed O.] Univ Hong Kong, Dept Earth Sci, Hong Kong, Peoples R China; [Li, Yang] Baylor Univ, Dept Environm Sci, Waco, TX 76798 USA; [Chellman, Nathan J.; Arienzo, Monica M.; McConnell, Joseph R.] Desert Res Inst, Div Hydrol Sci, Reno, NV 89512 USA; [Kodros, John K.] Colorado State Univ, Dept Mech Engn, Ft Collins, CO 80521 USA; [Pierce, Jeffrey R.] Colorado State Univ, Dept Atmospher Sci, Ft Collins, CO 80523 USA; [Sigl, Michael] Univ Bern, Oeschger Ctr Climate Change Res, CH-3012 Bern, Switzerland; [Sigl, Michael] Univ Bern, Climate &amp; Environm Phys, CH-3012 Bern, Switzerland; [Freitag, Johannes] Helmholtz Zentrum Polar &amp; Meeresforsch, Alfred Wegener Inst, Bremerhaven, Germany; [Mulvaney, Robert] British Antarctic Survey, Cambridge, England; [Curran, Mark A. J.] Australian Antarctic Div, Hobart, Tas, Australia; [Curran, Mark A. J.] Antarctic Climate &amp; Ecosyst Cooperat Res Ctr, Hobart, Tas, Australia; [McConnell, Joseph R.] Univ Cambridge, Clare Hall, Cambridge CB3 9AL, England</t>
  </si>
  <si>
    <t>Harvard University; University System of Georgia; Georgia Institute of Technology; University of Hong Kong; Baylor University; Nevada System of Higher Education (NSHE); Desert Research Institute NSHE; Colorado State University; Colorado State University; University of Bern; University of Bern; Helmholtz Association; Alfred Wegener Institute, Helmholtz Centre for Polar &amp; Marine Research; UK Research &amp; Innovation (UKRI); Natural Environment Research Council (NERC); NERC British Antarctic Survey; Australian Antarctic Division; Antarctic Climate &amp; Ecosystems Cooperative Research Centre (ACE CRC); University of Cambridge</t>
  </si>
  <si>
    <t>Liu, PF (corresponding author), Harvard Univ, Sch Engn &amp; Appl Sci, Cambridge, MA 02138 USA.;Liu, PF (corresponding author), Georgia Inst Technol, Sch Earth &amp; Atmospher Sci, Atlanta, GA 30332 USA.</t>
  </si>
  <si>
    <t>pengfei.liu@eas.gatech.edu</t>
  </si>
  <si>
    <t>Mickley, Loretta J/D-2021-2012; Mulvaney, Robert/K-3929-2012; Pierce, Jeffrey/E-4681-2013</t>
  </si>
  <si>
    <t>Freitag, Johannes/0000-0003-2654-9440; Liu, Pengfei/0000-0001-7280-9720; Li, Yang/0000-0003-1972-7472; Sigl, Michael/0000-0002-9028-9703; Pierce, Jeffrey/0000-0002-4241-838X</t>
  </si>
  <si>
    <t>Geosciences Directorate of the NSF [AGS-1702814, 1702830, 0538416, 0538427, 0839093]; Georgia Institute of Technology; Directorate For Geosciences; Div Atmospheric &amp; Geospace Sciences [1702830] Funding Source: National Science Foundation</t>
  </si>
  <si>
    <t>Geosciences Directorate of the NSF; Georgia Institute of Technology; Directorate For Geosciences; Div Atmospheric &amp; Geospace Sciences(National Science Foundation (NSF)NSF - Directorate for Geosciences (GEO))</t>
  </si>
  <si>
    <t>This research primarily was funded by the Geosciences Directorate of the NSF under grants AGS-1702814 and 1702830, with additional support from 0538416, 0538427, and 0839093. P.L. acknowledges start-up support from Georgia Institute of Technology.</t>
  </si>
  <si>
    <t>eabc1379</t>
  </si>
  <si>
    <t>10.1126/sciadv.abc1379</t>
  </si>
  <si>
    <t>SK0IL</t>
  </si>
  <si>
    <t>WOS:000655906900005</t>
  </si>
  <si>
    <t>Zaman, FA; Townsend, LW; Burahmah, NT</t>
  </si>
  <si>
    <t>Zaman, Fahad A.; Townsend, Lawrence W.; Burahmah, Naser T.</t>
  </si>
  <si>
    <t>Radiation Risks in a Mission to Mars for a Solar Particle Event Similar to the AD 993/4 Event</t>
  </si>
  <si>
    <t>AEROSPACE</t>
  </si>
  <si>
    <t>space travel; Mars; Martian surface; astronauts; solar particle event</t>
  </si>
  <si>
    <t>MULTIRADIONUCLIDE EVIDENCE; PROTON EVENT; REQUIREMENTS; EXPOSURE; SPACE</t>
  </si>
  <si>
    <t>Within the past decade, evidence of excess atmospheric C-14 production in tree rings, coupled with an increase in annually resolved measurements of Be-10 in Arctic and Antarctic ice cores, have indicated that an extremely large solar particle event (SPE) occurred in AD 993/4. The production of cosmogenic nuclei, such as 36Cl in consonance with 10Be, indicate that the event had a very energetic hard particle spectrum, comparable to the event of February 1956. Herein, we estimate the potential radiation risk to male and female crew members on a mission to Mars that would occur from such an SPE. Critical organ doses and effective doses are calculated and compared with NASA space radiation limits for an SPE comparable to the AD 993/4 event, occurring during the transit phase to Mars, or while the crew members are operating on the surface of Mars. Aluminum shielding, similar in thickness to a surface lander, a spacecraft, and a storm shelter area within the spacecraft, are assumed for the transit phase. For surface operations, including the shielding provided by the atmosphere of Mars, shielding comparable to a spacesuit, enclosed rover, and a surface habitat are assumed. The results of our simulations indicate that such an event might have severe consequences for astronauts in transit to Mars. However, on the surface of Mars, the atmosphere provides some protection against an event similar to the 993/4 SPE. In general, the results show that additional shielding may be required for some of the assumed shielding scenarios.</t>
  </si>
  <si>
    <t>[Zaman, Fahad A.; Townsend, Lawrence W.; Burahmah, Naser T.] Univ Tennessee, Dept Nucl Engn, Knoxville, TN 37996 USA</t>
  </si>
  <si>
    <t>Zaman, FA (corresponding author), Univ Tennessee, Dept Nucl Engn, Knoxville, TN 37996 USA.</t>
  </si>
  <si>
    <t>fzaman@vols.utk.edu; ltownsen@utk.edu; nburahm1@vols.utk.edu</t>
  </si>
  <si>
    <t>Burahmah, Naser/0000-0003-3691-6806; Townsend, Lawrence/0000-0002-1325-614X</t>
  </si>
  <si>
    <t>2226-4310</t>
  </si>
  <si>
    <t>AEROSPACE-BASEL</t>
  </si>
  <si>
    <t>Aerospace</t>
  </si>
  <si>
    <t>10.3390/aerospace8050143</t>
  </si>
  <si>
    <t>SG2YQ</t>
  </si>
  <si>
    <t>WOS:000653309500001</t>
  </si>
  <si>
    <t>Yap, HS; Zakaria, NN; Zulkharnain, A; Sabri, S; Gomez-Fuentes, C; Ahmad, SA</t>
  </si>
  <si>
    <t>Yap, How Swen; Zakaria, Nur Nadhirah; Zulkharnain, Azham; Sabri, Suriana; Gomez-Fuentes, Claudio; Ahmad, Siti Aqlima</t>
  </si>
  <si>
    <t>Bibliometric Analysis of Hydrocarbon Bioremediation in Cold Regions and a Review on Enhanced Soil Bioremediation</t>
  </si>
  <si>
    <t>bioremediation; cold region; soil; hydrocarbon; bacteria</t>
  </si>
  <si>
    <t>OIL-CONTAMINATED SOIL; PETROLEUM-HYDROCARBONS; ARCTIC SOILS; CRUDE-OIL; BIOSURFACTANT PRODUCTION; PSEUDOMONAS-FLUORESCENS; BACTERIAL CONSORTIUM; DEGRADING BACTERIA; HEAVY-METAL; BIODEGRADATION</t>
  </si>
  <si>
    <t>Simple Summary Anthropogenic activities in cold regions require petroleum oils to support various purposes. With the increased demand of petroleum, accidental oil spills are generated during transportation or refuelling processes. Soil is one of the major victims in petroleum pollution, hence studies have been devoted to find solutions to remove these petroleum hydrocarbons. However, the remote and low-temperature conditions in cold regions hindered the implementation of physical and chemical removal treatments. On the other hand, biological treatments in general have been proposed as an innovative approach to attenuate these hydrocarbon pollutants in soils. To understand the relevancy of biological treatments for cold regions specifically, bibliometric analysis has been applied to systematically analyse studies focused on hydrocarbon removal treatment in a biological way. To expedite the understanding of this analysis, we have summarised these biological treatments and suggested other biological applications in the context of cold conditions. The increased usage of petroleum oils in cold regions has led to widespread oil pollutants in soils. The harsh environmental conditions in cold environments allow the persistence of these oil pollutants in soils for more than 20 years, raising adverse threats to the ecosystem. Microbial bioremediation was proposed and employed as a cost-effective tool to remediate petroleum hydrocarbons present in soils without significantly posing harmful side effects. However, the conventional hydrocarbon bioremediation requires a longer time to achieve the clean-up standard due to various environmental factors in cold regions. Recent biotechnological improvements using biostimulation and/or bioaugmentation strategies are reported and implemented to enhance the hydrocarbon removal efficiency under cold conditions. Thus, this review focuses on the enhanced bioremediation for hydrocarbon-polluted soils in cold regions, highlighting in situ and ex situ approaches and few potential enhancements via the exploitation of molecular and microbial technology in response to the cold condition. The bibliometric analysis of the hydrocarbon bioremediation research in cold regions is also presented.</t>
  </si>
  <si>
    <t>[Yap, How Swen; Zakaria, Nur Nadhirah; Ahmad, Siti Aqlima] Univ Putra Malaysia, Fac Biotechnol &amp; Biomol Sci, Dept Biochem, Serdang 43400, Malaysia; [Zulkharnain, Azham] Shibaura Inst Technol, Dept Biosci &amp; Engn, Coll Syst Engn &amp; Sci, Minuma Ku, 307 Fukasaku, Saitama 3378570, Japan; [Sabri, Suriana] Univ Putra Malaysia, Fac Biotechnol &amp; Biomol Sci, Dept Microbiol, Serdang 43400, Malaysia; [Gomez-Fuentes, Claudio] Univ Magallanes, Dept Chem Engn, Punta Arenas 01855, Chile; [Gomez-Fuentes, Claudio; Ahmad, Siti Aqlima] Univ Magallanes, Ctr Res &amp; Antarctic Environm Monitoring CIMAA, Punta Arenas 01855, Chile; [Ahmad, Siti Aqlima] Univ Malaya, Natl Antarctic Res Ctr, B303 Level 3,Block B,IPS Bldg, Kuala Lumpur 50603, Malaysia</t>
  </si>
  <si>
    <t>Universiti Putra Malaysia; Shibaura Institute of Technology; Universiti Putra Malaysia; Universidad de Magallanes; Universidad de Magallanes; Universiti Malaya</t>
  </si>
  <si>
    <t>Ahmad, SA (corresponding author), Univ Putra Malaysia, Fac Biotechnol &amp; Biomol Sci, Dept Biochem, Serdang 43400, Malaysia.;Ahmad, SA (corresponding author), Univ Magallanes, Ctr Res &amp; Antarctic Environm Monitoring CIMAA, Punta Arenas 01855, Chile.;Ahmad, SA (corresponding author), Univ Malaya, Natl Antarctic Res Ctr, B303 Level 3,Block B,IPS Bldg, Kuala Lumpur 50603, Malaysia.</t>
  </si>
  <si>
    <t>howswen96@gmail.com; nadhirahairakaz@gmail.com; azham@shibaura-it.ac.jp; suriana@upm.edu.my; claudio.gomez@umag.cl; aqlima@upm.edu.my</t>
  </si>
  <si>
    <t>Gomez-Fuentes, Claudio/ACN-8984-2022; Sabri, Suriana/AAT-5269-2021; YAP, HOW SWEN/AAN-8822-2021</t>
  </si>
  <si>
    <t>Gomez-Fuentes, Claudio/0000-0001-9060-7727; Sabri, Suriana/0000-0003-4027-5730; YAP, HOW SWEN/0000-0003-0464-8261; Zulkharnain, Azham/0000-0001-9173-8171; Ahmad, Siti Aqlima/0000-0002-7625-3704</t>
  </si>
  <si>
    <t>Universiti Putra Malaysia [9300436, 9678900]; YPASM Smart Partnership Initiative [6300247]</t>
  </si>
  <si>
    <t>Universiti Putra Malaysia; YPASM Smart Partnership Initiative</t>
  </si>
  <si>
    <t>This project was financially supported by Universiti Putra Malaysia fund under the research grant attached to S.A. Ahmad (Matching Grant Putra 9300436 and Putra Berimpak 9678900) and YPASM Smart Partnership Initiative 2019 (6300247) disbursed by Universiti Putra Malaysia (UPM).</t>
  </si>
  <si>
    <t>10.3390/biology10050354</t>
  </si>
  <si>
    <t>SG4OS</t>
  </si>
  <si>
    <t>WOS:000653421300001</t>
  </si>
  <si>
    <t>Liu, YH; Fu, DW; Bi, AQ; Wang, SQ; Li, X; Xu, XB; Song, L</t>
  </si>
  <si>
    <t>Liu, Yunhang; Fu, Dongwen; Bi, Anqi; Wang, Siqi; Li, Xiang; Xu, Xianbing; Song, Liang</t>
  </si>
  <si>
    <t>Development of a High Internal Phase Emulsion of Antarctic Krill Oil Diluted by Soybean Oil Using Casein as a Co-Emulsifier</t>
  </si>
  <si>
    <t>high internal phase emulsions; Antarctic krill oil; phospholipids; casein; co-emulsifier</t>
  </si>
  <si>
    <t>OXIDATIVE STABILITY; BETA-CAROTENE; COMPLEX; BIOACCESSIBILITY; STABILIZATION; ENCAPSULATION; PARTICLES; RHEOLOGY; HIPES</t>
  </si>
  <si>
    <t>Antarctic krill oil (AKO) with 5-30% (w/w) dilution by soybean oil was co-emulsified by phospholipids (PLs) naturally present in AKO and 2% (w/w) casein in the aqueous phase to prepare high internal phase emulsions (HIPEs). The results showed that raising the AKO level resulted in concave-up changes in the mean size of oil droplets which became more densely packed. Confocal laser scanning microscopy (CLSM) and cryo-scanning electron microscopy (cryo-SEM) micrographs revealed that PLs at higher concentrations expelled more casein particles from the oil droplet surface, which facilitated the formation of a crosslinked network structure of HIPEs, leading to reduced mobility of water molecules, extended physical stability, and somewhat solid-like behavior. The rheological analysis showed at lower levels of AKO promoted fluidity of emulsions, while at higher levels it increased elasticity. Lastly, increasing the AKO level slowed down the oxidation of HIPEs. These findings provide useful insights for developing HIPEs of highly viscous AKO and its application in foods.</t>
  </si>
  <si>
    <t>[Liu, Yunhang; Fu, Dongwen; Bi, Anqi; Wang, Siqi; Li, Xiang; Xu, Xianbing; Song, Liang] Dalian Polytech Univ, Sch Food Sci &amp; Technol, Dalian 116034, Peoples R China; [Xu, Xianbing; Song, Liang] Natl Engn Res Ctr Seafood, Dalian 116034, Peoples R China</t>
  </si>
  <si>
    <t>Song, L (corresponding author), Dalian Polytech Univ, Sch Food Sci &amp; Technol, Dalian 116034, Peoples R China.;Song, L (corresponding author), Natl Engn Res Ctr Seafood, Dalian 116034, Peoples R China.</t>
  </si>
  <si>
    <t>lyhliuyunhang@163.com; fdw2yy@163.com; bianqi96@163.com; 18340854368@163.com; lx910702@163.com; xianbingxu@dlpu.edu.cn; songliang@dlpu.edu.cn</t>
  </si>
  <si>
    <t>li, xiang/ABF-6389-2021; Wang, Siqi/ABE-3341-2020</t>
  </si>
  <si>
    <t>Wang, Siqi/0000-0001-6136-2492; Fu, Dong-wen/0000-0002-7575-6764; Song, Liang/0000-0001-5264-4578</t>
  </si>
  <si>
    <t>National Key R&amp;D Program of China [2018YFC1406806]; National Natural Science Foundation of China [31871795]</t>
  </si>
  <si>
    <t>This research was funded by the National Key R&amp;D Program of China, grant number 2018YFC1406806 and The National Natural Science Foundation of China, grant number 31871795.</t>
  </si>
  <si>
    <t>10.3390/foods10050917</t>
  </si>
  <si>
    <t>SH1AF</t>
  </si>
  <si>
    <t>WOS:000653867900001</t>
  </si>
  <si>
    <t>John, MS; Nagoth, JA; Zannotti, M; Giovannetti, R; Mancini, A; Ramasamy, KP; Miceli, C; Pucciarelli, S</t>
  </si>
  <si>
    <t>John, Maria Sindhura; Nagoth, Joseph Amruthraj; Zannotti, Marco; Giovannetti, Rita; Mancini, Alessio; Ramasamy, Kesava Priyan; Miceli, Cristina; Pucciarelli, Sandra</t>
  </si>
  <si>
    <t>Biogenic Synthesis of Copper Nanoparticles Using Bacterial Strains Isolated from an Antarctic Consortium Associated to a Psychrophilic Marine Ciliate: Characterization and Potential Application as Antimicrobial Agents</t>
  </si>
  <si>
    <t>green synthesis; biomaterials; metal; antibiotics; nanotechnology</t>
  </si>
  <si>
    <t>OXIDE NANOPARTICLES; METAL NANOPARTICLES; GREEN SYNTHESIS; RESISTANCE</t>
  </si>
  <si>
    <t>In the last decade, metal nanoparticles (NPs) have gained significant interest in the field of biotechnology due to their unique physiochemical properties and potential uses in a wide range of applications. Metal NP synthesis using microorganisms has emerged as an eco-friendly, clean, and viable strategy alternative to chemical and physical approaches. Herein, an original and efficient route for the microbial synthesis of copper NPs using bacterial strains newly isolated from an Antarctic consortium is described. UV-visible spectra of the NPs showed a maximum absorbance in the range of 380-385 nm. Transmission electron microscopy analysis showed that these NPs are all monodispersed, spherical in nature, and well segregated without any agglomeration and with an average size of 30 nm. X-ray powder diffraction showed a polycrystalline nature and face centered cubic lattice and revealed characteristic diffraction peaks indicating the formation of CuONPs. Fourier-transform infrared spectra confirmed the presence of capping proteins on the NP surface that act as stabilizers. All CuONPs manifested antimicrobial activity against various types of Gram-negative; Gram-positive bacteria; and fungi pathogen microorganisms including Escherichia coli, Staphylococcus aureus, and Candida albicans. The cost-effective and eco-friendly biosynthesis of these CuONPs make them particularly attractive in several application from nanotechnology to biomedical science.</t>
  </si>
  <si>
    <t>[John, Maria Sindhura; Nagoth, Joseph Amruthraj; Mancini, Alessio; Ramasamy, Kesava Priyan; Miceli, Cristina; Pucciarelli, Sandra] Univ Camerino, Sch Biosci &amp; Vet Med, Biosci &amp; Biotechnol Div, I-62032 Camerino, Italy; [Zannotti, Marco; Giovannetti, Rita] Univ Camerino, Sch Sci &amp; Technol, Chem Div, I-62032 Camerino, Italy</t>
  </si>
  <si>
    <t>University of Camerino; University of Camerino</t>
  </si>
  <si>
    <t>Pucciarelli, S (corresponding author), Univ Camerino, Sch Biosci &amp; Vet Med, Biosci &amp; Biotechnol Div, I-62032 Camerino, Italy.;Zannotti, M (corresponding author), Univ Camerino, Sch Sci &amp; Technol, Chem Div, I-62032 Camerino, Italy.</t>
  </si>
  <si>
    <t>mariasindhura.john@unicam.it; josephamruthraj.nagoth@unicam.it; marco.zannotti@unicam.it; rita.giovannetti@unicam.it; alessio.mancini@unicam.it; kesava.ramasamy@unicam.it; cristina.miceli@unicam.it; sandra.pucciarelli@unicam.it</t>
  </si>
  <si>
    <t>; Giovannetti, Rita/C-8941-2018</t>
  </si>
  <si>
    <t>RAMASAMY, KESAVA PRIYAN/0000-0003-0276-2239; Nagoth, Joseph Amruthraj/0000-0002-8230-2365; Giovannetti, Rita/0000-0001-8099-6028; John, Maria Sindhura/0000-0003-0745-9968; Mancini, Alessio/0000-0002-4388-3769; Miceli, Cristina/0000-0002-7829-8471; Pucciarelli, Sandra/0000-0003-4178-2689; Zannotti, Marco/0000-0003-2527-9856</t>
  </si>
  <si>
    <t>European Commission Marie Sklodowska-Curie Actions H2020 RISE Metable [645693]; Marie Curie Actions (MSCA) [645693] Funding Source: Marie Curie Actions (MSCA)</t>
  </si>
  <si>
    <t>European Commission Marie Sklodowska-Curie Actions H2020 RISE Metable; Marie Curie Actions (MSCA)(Marie Curie Actions)</t>
  </si>
  <si>
    <t>This research work was supported by the European Commission Marie Sklodowska-Curie Actions H2020 RISE Metable-645693.</t>
  </si>
  <si>
    <t>10.3390/md19050263</t>
  </si>
  <si>
    <t>SH9DT</t>
  </si>
  <si>
    <t>WOS:000654431300001</t>
  </si>
  <si>
    <t>Shi, T; Zheng, L; Li, XQ; Dai, JJ; Zhang, YT; Yu, YY; Hu, WP; Shi, DY</t>
  </si>
  <si>
    <t>Shi, Ting; Zheng, Li; Li, Xiang-Qian; Dai, Jia-Jia; Zhang, Yi-Ting; Yu, Yan-Yan; Hu, Wen-Peng; Shi, Da-Yong</t>
  </si>
  <si>
    <t>Nitrogenous Compounds from the Antarctic Fungus Pseudogymnoascus sp. HSX2#-11</t>
  </si>
  <si>
    <t>Antarctic fungus; Pseudogymnoascus sp; secondary metabolites; nitrogenous compounds</t>
  </si>
  <si>
    <t>The species Pseudogymnoascus is known as a psychrophilic pathogenic fungus which is ubiquitously distributed in Antarctica. While the studies of its secondary metabolites are infrequent. Systematic research of the metabolites of the Antarctic fungus Pseudogymnoascus sp. HSX2#-11 led to the isolation of one new pyridine derivative, 4-(2-methoxycarbonyl-ethyl)-pyridine-2-carboxylic acid methyl ester (1), together with one pyrimidine, thymine (2), and eight diketopiperazines, cyclo-(dehydroAla-l-Val) (3), cyclo-(dehydroAla-l-Ile) (4), cyclo-(dehydroAla-l-Leu) (5), cyclo-(dehydroAla-l-Phe) (6), cyclo-(l-Val-l-Phe) (7), cyclo-(l-Leu-l-Phe) (8), cyclo-(l-Trp-l-Ile) (9) and cyclo-(l-Trp-l-Phe) (10). The structures of these compounds were established by extensive spectroscopic investigation, as well as by detailed comparison with literature data. This is the first report to discover pyridine, pyrimidine and diketopiperazines from the genus of Pseudogymnoascus.</t>
  </si>
  <si>
    <t>[Shi, Ting; Li, Xiang-Qian; Dai, Jia-Jia; Zhang, Yi-Ting; Yu, Yan-Yan; Hu, Wen-Peng; Shi, Da-Yong] Shandong Univ, Inst Microbial Technol, State Key Lab Microbial Technol, Qingdao 266200, Peoples R China; [Zheng, Li] Minist Nat Resources, Inst Oceanog 1, Key Lab Marine Ecoenvironm Sci &amp; Technol, Qingdao 266061, Peoples R China; [Zheng, Li] Qingdao Pilot Natl Lab Marine Sci &amp; Technol, Lab Marine Ecol &amp; Environm Sci, Qingdao 266071, Peoples R China; [Li, Xiang-Qian; Shi, Da-Yong] Qingdao Natl Lab Marine Sci &amp; Technol, Lab Marine Drugs &amp; Bioprod, Qingdao 266071, Peoples R China</t>
  </si>
  <si>
    <t>Shandong University; First Institute of Oceanography, Ministry of Natural Resources; Ministry of Natural Resources of the People's Republic of China; Laoshan Laboratory; Laoshan Laboratory</t>
  </si>
  <si>
    <t>Shi, DY (corresponding author), Shandong Univ, Inst Microbial Technol, State Key Lab Microbial Technol, Qingdao 266200, Peoples R China.;Shi, DY (corresponding author), Qingdao Natl Lab Marine Sci &amp; Technol, Lab Marine Drugs &amp; Bioprod, Qingdao 266071, Peoples R China.</t>
  </si>
  <si>
    <t>shiting_jia@126.com; zhengli@fio.org.cn; lixiangqian@sdu.edu.cn; daijiajia@sdu.edu.cn; z17854265680@126.com; yuyanyan@sdu.edu.cn; wenpeng19961202@163.com; shidayong@sdu.edu.cn</t>
  </si>
  <si>
    <t>Yu, Yan/GYV-4514-2022; Shi, Ting/AIC-4674-2022</t>
  </si>
  <si>
    <t>Shi, Ting/0000-0003-1394-3000</t>
  </si>
  <si>
    <t>Natural Science Foundation of Shandong Province of China [ZR2020QD111]; China Postdoctoral Science Foundation [2019M662378]; National Program for Support of Top-notch Young Professionals; Fund of Taishan scholar project; Shandong Provincial Natural Science Foundation for Distinguished Young Scholars [JQ201722]; Qingdao Science and Technology Benefit People Demonstration Guide Special Project [20-3-4-20-nsh]; Fundamental Research Funds of Shandong University [2020GN033]</t>
  </si>
  <si>
    <t>Natural Science Foundation of Shandong Province of China(Natural Science Foundation of Shandong Province); China Postdoctoral Science Foundation(China Postdoctoral Science Foundation); National Program for Support of Top-notch Young Professionals; Fund of Taishan scholar project; Shandong Provincial Natural Science Foundation for Distinguished Young Scholars; Qingdao Science and Technology Benefit People Demonstration Guide Special Project; Fundamental Research Funds of Shandong University</t>
  </si>
  <si>
    <t>This work was supported by the Natural Science Foundation of Shandong Province of China (No. ZR2020QD111); the China Postdoctoral Science Foundation (No. 2019M662378); the National Program for Support of Top-notch Young Professionals; the Fund of Taishan scholar project; The Shandong Provincial Natural Science Foundation for Distinguished Young Scholars (JQ201722); the Qingdao Science and Technology Benefit People Demonstration Guide Special Project (20-3-4-20-nsh); and the Fundamental Research Funds of Shandong University (2020GN033).</t>
  </si>
  <si>
    <t>10.3390/molecules26092636</t>
  </si>
  <si>
    <t>SC4PD</t>
  </si>
  <si>
    <t>WOS:000650654300001</t>
  </si>
  <si>
    <t>Rousselet, L; Cessi, P; Forget, G</t>
  </si>
  <si>
    <t>Rousselet, Louise; Cessi, Paola; Forget, Gael</t>
  </si>
  <si>
    <t>Coupling of the mid-depth and abyssal components of the global overturning circulation according to a state estimate</t>
  </si>
  <si>
    <t>ANTARCTIC CIRCUMPOLAR CURRENT; LAGRANGIAN PARTICLES; OCEAN CIRCULATION; DRAKE PASSAGE; WATER; TRANSPORT; DEEP; EXCHANGE; PACIFIC; MODEL</t>
  </si>
  <si>
    <t>Using velocities from a state estimate, Lagrangian analysis maps the global routes of North Atlantic Deep Water (NADW) exiting the Atlantic and reentering the upper branch of the Atlantic Meridional Overturning Circulation (AMOC). Virtual particle trajectories followed for 8100 years highlight an upper route (32%) and a lower route (68%). The latter samples sigma(2) &gt; 37.07 and is further divided into subpolar (20%) and abyssal cells (48%). Particles in the abyssal cell detour into the abyssal North Pacific before upwelling in the Southern Ocean. NADW preferentially upwells north of 33 degrees S (67%). Total diapycnal transformations are largest in the lower route but of comparable magnitudes in the upper route, challenging its previous characterization as adiabatic. Typical transit times are 300, 700, and 3600 years for the upper route, subpolar, and abyssal cells, respectively. The AMOC imports salinity into the Atlantic, indicating its potential instability to high-latitude freshwater perturbations.</t>
  </si>
  <si>
    <t>[Rousselet, Louise; Cessi, Paola] Univ Calif San Diego, Scripps Inst Oceanog, La Jolla, CA 92093 USA; [Forget, Gael] MIT, Dept Earth Atmospher &amp; Planetary Sci, Cambridge, MA 02139 USA</t>
  </si>
  <si>
    <t>University of California System; University of California San Diego; Scripps Institution of Oceanography; Massachusetts Institute of Technology (MIT)</t>
  </si>
  <si>
    <t>Cessi, P (corresponding author), Univ Calif San Diego, Scripps Inst Oceanog, La Jolla, CA 92093 USA.</t>
  </si>
  <si>
    <t>pcessi@ucsd.edu</t>
  </si>
  <si>
    <t>NSF [OCE-1634128]; National Aeronautics and Space Administration [80NSSC20K0796]; Extreme Science and Engineering Discovery Environment (NSF) [ACI-1548562]</t>
  </si>
  <si>
    <t>NSF(National Science Foundation (NSF)); National Aeronautics and Space Administration(National Aeronautics &amp; Space Administration (NASA)); Extreme Science and Engineering Discovery Environment (NSF)</t>
  </si>
  <si>
    <t>Funding was provided by the NSF (OCE-1634128) and by the National Aeronautics and Space Administration (80NSSC20K0796). Computational resources were provided by the Extreme Science and Engineering Discovery Environment (NSF grant ACI-1548562).</t>
  </si>
  <si>
    <t>eabf5478</t>
  </si>
  <si>
    <t>10.1126/sciadv.abf5478</t>
  </si>
  <si>
    <t>SH5TP</t>
  </si>
  <si>
    <t>WOS:000654198900024</t>
  </si>
  <si>
    <t>Clark, F</t>
  </si>
  <si>
    <t>Clark, F.</t>
  </si>
  <si>
    <t>Women's Health in Antarctica</t>
  </si>
  <si>
    <t>AUSTRALIAN &amp; NEW ZEALAND JOURNAL OF OBSTETRICS &amp; GYNAECOLOGY</t>
  </si>
  <si>
    <t>[Clark, F.] Australian Antarctic Div, Kingston, Tas, Australia</t>
  </si>
  <si>
    <t>0004-8666</t>
  </si>
  <si>
    <t>1479-828X</t>
  </si>
  <si>
    <t>AUST NZ J OBSTET GYN</t>
  </si>
  <si>
    <t>Aust. N. Z. J. Obstet. Gynaecol.</t>
  </si>
  <si>
    <t>Obstetrics &amp; Gynecology</t>
  </si>
  <si>
    <t>SD2IM</t>
  </si>
  <si>
    <t>WOS:000651190000354</t>
  </si>
  <si>
    <t>Kim, DY; Kim, J; Lee, YM; Lee, JS; Shin, DH; Ku, BH; Son, KH; Park, HY</t>
  </si>
  <si>
    <t>Kim, Do Young; Kim, Jonghoon; Lee, Yung Mi; Lee, Jong Suk; Shin, Dong-Ha; Ku, Bon-Hwan; Son, Kwang-Hee; Park, Ho-Yong</t>
  </si>
  <si>
    <t>Identification and Characterization of a Novel, Cold-Adapted d-Xylobiose- and d-Xylose-Releasing Endo-β-1,4-Xylanase from an Antarctic Soil Bacterium, Duganella sp. PAMC 27433</t>
  </si>
  <si>
    <t>Antarctic bacterium; Duganella sp.; GH10; cold-adapted; endo-beta-1,4-xylanase</t>
  </si>
  <si>
    <t>GH10 ENDO-BETA-1,4-XYLANASE; BIOCATALYTIC PROPERTIES; XYLANASE; ENZYMES; MUTAGENESIS; TOLERANT; FUNGI; GUT</t>
  </si>
  <si>
    <t>Endo-beta-1,4-xylanase is a key enzyme in the degradation of beta-1,4-d-xylan polysaccharides through hydrolysis. A glycoside hydrolase family 10 (GH10) endo-beta-1,4-xylanase (XylR) from Duganella sp. PAMC 27433, an Antarctic soil bacterium, was identified and functionally characterized. The XylR gene (1122-bp) encoded an acidic protein containing a single catalytic GH10 domain that was 86% identical to that of an uncultured bacterium BLR13 endo-beta-1,4-xylanase (ACN58881). The recombinant enzyme (rXylR: 42.0 kDa) showed the highest beechwood xylan-degrading activity at pH 5.5 and 40 degrees C, and displayed 12% of its maximum activity even at 4 degrees C. rXylR was not only almost completely inhibited by 5 mM N-bromosuccinimide or metal ions (each 1 mM) including Hg2+, Ca2+, or Cu2+ but also significantly suppressed by 1 mM Ni2+, Zn2+, or Fe2+. However, its enzyme activity was upregulated (&gt;1.4-fold) in the presence of 0.5% Triton X-100 or Tween 80. The specific activities of rXylR toward beechwood xylan, birchwood xylan, oat spelts xylan, and p-nitrophenyl-beta-d-cellobioside were 274.7, 103.2, 35.6, and 365.1 U/mg, respectively. Enzymatic hydrolysis of birchwood xylan and d-xylooligosaccharides yielded d-xylose and d-xylobiose as the end products. The results of the present study suggest that rXylR is a novel cold-adapted d-xylobiose- and d-xylose-releasing endo-beta-1,4-xylanase.</t>
  </si>
  <si>
    <t>[Kim, Do Young; Kim, Jonghoon; Son, Kwang-Hee; Park, Ho-Yong] KRIBB, Ind Biomat Res Ctr, Daejeon 34141, South Korea; [Lee, Yung Mi] Korea Polar Res Inst, Div Life Sci, Incheon 21990, South Korea; [Lee, Jong Suk] Gyeonggido Business &amp; Sci Accelerator GBSA, Bioctr, Suwon 16229, South Korea; [Shin, Dong-Ha; Ku, Bon-Hwan] Insect Biotech Co Ltd, Daejeon 34054, South Korea</t>
  </si>
  <si>
    <t>Korea Research Institute of Bioscience &amp; Biotechnology (KRIBB); Korea Polar Research Institute (KOPRI)</t>
  </si>
  <si>
    <t>Park, HY (corresponding author), KRIBB, Ind Biomat Res Ctr, Daejeon 34141, South Korea.</t>
  </si>
  <si>
    <t>kdy119@kribb.re.kr; kjh1018@kribb.re.kr; ymlee@kopri.re.kr; leejs@gbsa.or.kr; dhshin@insectbiotech.co.kr; balmania@insectbiotech.co.kr; sonkh@kribb.re.kr; hypark@kribb.re.kr</t>
  </si>
  <si>
    <t>PARK, HO-YONG/AAP-2225-2021</t>
  </si>
  <si>
    <t>Kim, Jong-Hoon/0000-0003-4777-8007</t>
  </si>
  <si>
    <t>National Research Foundation (NRF) [2016M3A9A5922628]; KRIBB Research Initiative Program [KGM5492113]; Jeollanam-do, Republic of Korea [LCM0042011]</t>
  </si>
  <si>
    <t>National Research Foundation (NRF); KRIBB Research Initiative Program; Jeollanam-do, Republic of Korea</t>
  </si>
  <si>
    <t>This work was supported by grants from the Bio &amp; Medical Technology Development Program of the National Research Foundation (NRF) (2016M3A9A5922628), the KRIBB Research Initiative Program (KGM5492113), and subsidy of Jeollanam-do (LCM0042011), Republic of Korea.</t>
  </si>
  <si>
    <t>10.3390/biom11050680</t>
  </si>
  <si>
    <t>SG4PH</t>
  </si>
  <si>
    <t>WOS:000653422800001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</si>
</sst>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74</v>
      </c>
      <c r="AD2" t="s">
        <v>74</v>
      </c>
      <c r="AE2" t="s">
        <v>74</v>
      </c>
      <c r="AF2" t="s">
        <v>74</v>
      </c>
      <c r="AG2">
        <v>69</v>
      </c>
      <c r="AH2">
        <v>2</v>
      </c>
      <c r="AI2">
        <v>2</v>
      </c>
      <c r="AJ2">
        <v>0</v>
      </c>
      <c r="AK2">
        <v>1</v>
      </c>
      <c r="AL2" t="s">
        <v>89</v>
      </c>
      <c r="AM2" t="s">
        <v>90</v>
      </c>
      <c r="AN2" t="s">
        <v>91</v>
      </c>
      <c r="AO2" t="s">
        <v>92</v>
      </c>
      <c r="AP2" t="s">
        <v>93</v>
      </c>
      <c r="AQ2" t="s">
        <v>74</v>
      </c>
      <c r="AR2" t="s">
        <v>94</v>
      </c>
      <c r="AS2" t="s">
        <v>95</v>
      </c>
      <c r="AT2" t="s">
        <v>96</v>
      </c>
      <c r="AU2">
        <v>2021</v>
      </c>
      <c r="AV2">
        <v>243</v>
      </c>
      <c r="AW2" t="s">
        <v>74</v>
      </c>
      <c r="AX2" t="s">
        <v>74</v>
      </c>
      <c r="AY2" t="s">
        <v>74</v>
      </c>
      <c r="AZ2" t="s">
        <v>74</v>
      </c>
      <c r="BA2" t="s">
        <v>74</v>
      </c>
      <c r="BB2" t="s">
        <v>74</v>
      </c>
      <c r="BC2" t="s">
        <v>74</v>
      </c>
      <c r="BD2">
        <v>106098</v>
      </c>
      <c r="BE2" t="s">
        <v>97</v>
      </c>
      <c r="BF2" t="str">
        <f>HYPERLINK("http://dx.doi.org/10.1016/j.fishres.2021.106098","http://dx.doi.org/10.1016/j.fishres.2021.106098")</f>
        <v>http://dx.doi.org/10.1016/j.fishres.2021.106098</v>
      </c>
      <c r="BG2" t="s">
        <v>74</v>
      </c>
      <c r="BH2" t="s">
        <v>98</v>
      </c>
      <c r="BI2">
        <v>14</v>
      </c>
      <c r="BJ2" t="s">
        <v>99</v>
      </c>
      <c r="BK2" t="s">
        <v>100</v>
      </c>
      <c r="BL2" t="s">
        <v>99</v>
      </c>
      <c r="BM2" t="s">
        <v>101</v>
      </c>
      <c r="BN2" t="s">
        <v>74</v>
      </c>
      <c r="BO2" t="s">
        <v>74</v>
      </c>
      <c r="BP2" t="s">
        <v>74</v>
      </c>
      <c r="BQ2" t="s">
        <v>74</v>
      </c>
      <c r="BR2" t="s">
        <v>102</v>
      </c>
      <c r="BS2" t="s">
        <v>103</v>
      </c>
      <c r="BT2" t="str">
        <f>HYPERLINK("https%3A%2F%2Fwww.webofscience.com%2Fwos%2Fwoscc%2Ffull-record%2FWOS:000690866800011","View Full Record in Web of Science")</f>
        <v>View Full Record in Web of Science</v>
      </c>
    </row>
    <row r="3" spans="1:72" x14ac:dyDescent="0.15">
      <c r="A3" t="s">
        <v>72</v>
      </c>
      <c r="B3" t="s">
        <v>104</v>
      </c>
      <c r="C3" t="s">
        <v>74</v>
      </c>
      <c r="D3" t="s">
        <v>74</v>
      </c>
      <c r="E3" t="s">
        <v>74</v>
      </c>
      <c r="F3" t="s">
        <v>105</v>
      </c>
      <c r="G3" t="s">
        <v>74</v>
      </c>
      <c r="H3" t="s">
        <v>74</v>
      </c>
      <c r="I3" t="s">
        <v>106</v>
      </c>
      <c r="J3" t="s">
        <v>107</v>
      </c>
      <c r="K3" t="s">
        <v>74</v>
      </c>
      <c r="L3" t="s">
        <v>74</v>
      </c>
      <c r="M3" t="s">
        <v>78</v>
      </c>
      <c r="N3" t="s">
        <v>79</v>
      </c>
      <c r="O3" t="s">
        <v>74</v>
      </c>
      <c r="P3" t="s">
        <v>74</v>
      </c>
      <c r="Q3" t="s">
        <v>74</v>
      </c>
      <c r="R3" t="s">
        <v>74</v>
      </c>
      <c r="S3" t="s">
        <v>74</v>
      </c>
      <c r="T3" t="s">
        <v>108</v>
      </c>
      <c r="U3" t="s">
        <v>109</v>
      </c>
      <c r="V3" t="s">
        <v>110</v>
      </c>
      <c r="W3" t="s">
        <v>111</v>
      </c>
      <c r="X3" t="s">
        <v>112</v>
      </c>
      <c r="Y3" t="s">
        <v>113</v>
      </c>
      <c r="Z3" t="s">
        <v>114</v>
      </c>
      <c r="AA3" t="s">
        <v>74</v>
      </c>
      <c r="AB3" t="s">
        <v>115</v>
      </c>
      <c r="AC3" t="s">
        <v>116</v>
      </c>
      <c r="AD3" t="s">
        <v>117</v>
      </c>
      <c r="AE3" t="s">
        <v>118</v>
      </c>
      <c r="AF3" t="s">
        <v>74</v>
      </c>
      <c r="AG3">
        <v>88</v>
      </c>
      <c r="AH3">
        <v>27</v>
      </c>
      <c r="AI3">
        <v>28</v>
      </c>
      <c r="AJ3">
        <v>10</v>
      </c>
      <c r="AK3">
        <v>88</v>
      </c>
      <c r="AL3" t="s">
        <v>119</v>
      </c>
      <c r="AM3" t="s">
        <v>120</v>
      </c>
      <c r="AN3" t="s">
        <v>121</v>
      </c>
      <c r="AO3" t="s">
        <v>74</v>
      </c>
      <c r="AP3" t="s">
        <v>122</v>
      </c>
      <c r="AQ3" t="s">
        <v>74</v>
      </c>
      <c r="AR3" t="s">
        <v>123</v>
      </c>
      <c r="AS3" t="s">
        <v>124</v>
      </c>
      <c r="AT3" t="s">
        <v>125</v>
      </c>
      <c r="AU3">
        <v>2021</v>
      </c>
      <c r="AV3">
        <v>8</v>
      </c>
      <c r="AW3" t="s">
        <v>74</v>
      </c>
      <c r="AX3" t="s">
        <v>74</v>
      </c>
      <c r="AY3" t="s">
        <v>74</v>
      </c>
      <c r="AZ3" t="s">
        <v>74</v>
      </c>
      <c r="BA3" t="s">
        <v>74</v>
      </c>
      <c r="BB3" t="s">
        <v>74</v>
      </c>
      <c r="BC3" t="s">
        <v>74</v>
      </c>
      <c r="BD3">
        <v>709763</v>
      </c>
      <c r="BE3" t="s">
        <v>126</v>
      </c>
      <c r="BF3" t="str">
        <f>HYPERLINK("http://dx.doi.org/10.3389/fmars.2021.709763","http://dx.doi.org/10.3389/fmars.2021.709763")</f>
        <v>http://dx.doi.org/10.3389/fmars.2021.709763</v>
      </c>
      <c r="BG3" t="s">
        <v>74</v>
      </c>
      <c r="BH3" t="s">
        <v>74</v>
      </c>
      <c r="BI3">
        <v>14</v>
      </c>
      <c r="BJ3" t="s">
        <v>127</v>
      </c>
      <c r="BK3" t="s">
        <v>128</v>
      </c>
      <c r="BL3" t="s">
        <v>129</v>
      </c>
      <c r="BM3" t="s">
        <v>130</v>
      </c>
      <c r="BN3" t="s">
        <v>74</v>
      </c>
      <c r="BO3" t="s">
        <v>131</v>
      </c>
      <c r="BP3" t="s">
        <v>74</v>
      </c>
      <c r="BQ3" t="s">
        <v>74</v>
      </c>
      <c r="BR3" t="s">
        <v>102</v>
      </c>
      <c r="BS3" t="s">
        <v>132</v>
      </c>
      <c r="BT3" t="str">
        <f>HYPERLINK("https%3A%2F%2Fwww.webofscience.com%2Fwos%2Fwoscc%2Ffull-record%2FWOS:000686142500001","View Full Record in Web of Science")</f>
        <v>View Full Record in Web of Science</v>
      </c>
    </row>
    <row r="4" spans="1:72" x14ac:dyDescent="0.15">
      <c r="A4" t="s">
        <v>72</v>
      </c>
      <c r="B4" t="s">
        <v>133</v>
      </c>
      <c r="C4" t="s">
        <v>74</v>
      </c>
      <c r="D4" t="s">
        <v>74</v>
      </c>
      <c r="E4" t="s">
        <v>74</v>
      </c>
      <c r="F4" t="s">
        <v>134</v>
      </c>
      <c r="G4" t="s">
        <v>74</v>
      </c>
      <c r="H4" t="s">
        <v>74</v>
      </c>
      <c r="I4" t="s">
        <v>135</v>
      </c>
      <c r="J4" t="s">
        <v>136</v>
      </c>
      <c r="K4" t="s">
        <v>74</v>
      </c>
      <c r="L4" t="s">
        <v>74</v>
      </c>
      <c r="M4" t="s">
        <v>78</v>
      </c>
      <c r="N4" t="s">
        <v>79</v>
      </c>
      <c r="O4" t="s">
        <v>74</v>
      </c>
      <c r="P4" t="s">
        <v>74</v>
      </c>
      <c r="Q4" t="s">
        <v>74</v>
      </c>
      <c r="R4" t="s">
        <v>74</v>
      </c>
      <c r="S4" t="s">
        <v>74</v>
      </c>
      <c r="T4" t="s">
        <v>74</v>
      </c>
      <c r="U4" t="s">
        <v>137</v>
      </c>
      <c r="V4" t="s">
        <v>138</v>
      </c>
      <c r="W4" t="s">
        <v>139</v>
      </c>
      <c r="X4" t="s">
        <v>140</v>
      </c>
      <c r="Y4" t="s">
        <v>74</v>
      </c>
      <c r="Z4" t="s">
        <v>141</v>
      </c>
      <c r="AA4" t="s">
        <v>74</v>
      </c>
      <c r="AB4" t="s">
        <v>142</v>
      </c>
      <c r="AC4" t="s">
        <v>74</v>
      </c>
      <c r="AD4" t="s">
        <v>74</v>
      </c>
      <c r="AE4" t="s">
        <v>74</v>
      </c>
      <c r="AF4" t="s">
        <v>74</v>
      </c>
      <c r="AG4">
        <v>90</v>
      </c>
      <c r="AH4">
        <v>9</v>
      </c>
      <c r="AI4">
        <v>9</v>
      </c>
      <c r="AJ4">
        <v>2</v>
      </c>
      <c r="AK4">
        <v>9</v>
      </c>
      <c r="AL4" t="s">
        <v>143</v>
      </c>
      <c r="AM4" t="s">
        <v>144</v>
      </c>
      <c r="AN4" t="s">
        <v>145</v>
      </c>
      <c r="AO4" t="s">
        <v>146</v>
      </c>
      <c r="AP4" t="s">
        <v>147</v>
      </c>
      <c r="AQ4" t="s">
        <v>74</v>
      </c>
      <c r="AR4" t="s">
        <v>148</v>
      </c>
      <c r="AS4" t="s">
        <v>149</v>
      </c>
      <c r="AT4" t="s">
        <v>125</v>
      </c>
      <c r="AU4">
        <v>2021</v>
      </c>
      <c r="AV4">
        <v>9</v>
      </c>
      <c r="AW4">
        <v>4</v>
      </c>
      <c r="AX4" t="s">
        <v>74</v>
      </c>
      <c r="AY4" t="s">
        <v>74</v>
      </c>
      <c r="AZ4" t="s">
        <v>74</v>
      </c>
      <c r="BA4" t="s">
        <v>74</v>
      </c>
      <c r="BB4">
        <v>923</v>
      </c>
      <c r="BC4">
        <v>935</v>
      </c>
      <c r="BD4" t="s">
        <v>74</v>
      </c>
      <c r="BE4" t="s">
        <v>150</v>
      </c>
      <c r="BF4" t="str">
        <f>HYPERLINK("http://dx.doi.org/10.5194/esurf-9-923-2021","http://dx.doi.org/10.5194/esurf-9-923-2021")</f>
        <v>http://dx.doi.org/10.5194/esurf-9-923-2021</v>
      </c>
      <c r="BG4" t="s">
        <v>74</v>
      </c>
      <c r="BH4" t="s">
        <v>74</v>
      </c>
      <c r="BI4">
        <v>13</v>
      </c>
      <c r="BJ4" t="s">
        <v>151</v>
      </c>
      <c r="BK4" t="s">
        <v>128</v>
      </c>
      <c r="BL4" t="s">
        <v>152</v>
      </c>
      <c r="BM4" t="s">
        <v>153</v>
      </c>
      <c r="BN4" t="s">
        <v>74</v>
      </c>
      <c r="BO4" t="s">
        <v>154</v>
      </c>
      <c r="BP4" t="s">
        <v>74</v>
      </c>
      <c r="BQ4" t="s">
        <v>74</v>
      </c>
      <c r="BR4" t="s">
        <v>102</v>
      </c>
      <c r="BS4" t="s">
        <v>155</v>
      </c>
      <c r="BT4" t="str">
        <f>HYPERLINK("https%3A%2F%2Fwww.webofscience.com%2Fwos%2Fwoscc%2Ffull-record%2FWOS:000681689100003","View Full Record in Web of Science")</f>
        <v>View Full Record in Web of Science</v>
      </c>
    </row>
    <row r="5" spans="1:72" x14ac:dyDescent="0.15">
      <c r="A5" t="s">
        <v>72</v>
      </c>
      <c r="B5" t="s">
        <v>156</v>
      </c>
      <c r="C5" t="s">
        <v>74</v>
      </c>
      <c r="D5" t="s">
        <v>74</v>
      </c>
      <c r="E5" t="s">
        <v>74</v>
      </c>
      <c r="F5" t="s">
        <v>157</v>
      </c>
      <c r="G5" t="s">
        <v>74</v>
      </c>
      <c r="H5" t="s">
        <v>74</v>
      </c>
      <c r="I5" t="s">
        <v>158</v>
      </c>
      <c r="J5" t="s">
        <v>159</v>
      </c>
      <c r="K5" t="s">
        <v>74</v>
      </c>
      <c r="L5" t="s">
        <v>74</v>
      </c>
      <c r="M5" t="s">
        <v>78</v>
      </c>
      <c r="N5" t="s">
        <v>79</v>
      </c>
      <c r="O5" t="s">
        <v>74</v>
      </c>
      <c r="P5" t="s">
        <v>74</v>
      </c>
      <c r="Q5" t="s">
        <v>74</v>
      </c>
      <c r="R5" t="s">
        <v>74</v>
      </c>
      <c r="S5" t="s">
        <v>74</v>
      </c>
      <c r="T5" t="s">
        <v>74</v>
      </c>
      <c r="U5" t="s">
        <v>160</v>
      </c>
      <c r="V5" t="s">
        <v>161</v>
      </c>
      <c r="W5" t="s">
        <v>162</v>
      </c>
      <c r="X5" t="s">
        <v>163</v>
      </c>
      <c r="Y5" t="s">
        <v>164</v>
      </c>
      <c r="Z5" t="s">
        <v>165</v>
      </c>
      <c r="AA5" t="s">
        <v>166</v>
      </c>
      <c r="AB5" t="s">
        <v>167</v>
      </c>
      <c r="AC5" t="s">
        <v>168</v>
      </c>
      <c r="AD5" t="s">
        <v>169</v>
      </c>
      <c r="AE5" t="s">
        <v>170</v>
      </c>
      <c r="AF5" t="s">
        <v>74</v>
      </c>
      <c r="AG5">
        <v>65</v>
      </c>
      <c r="AH5">
        <v>5</v>
      </c>
      <c r="AI5">
        <v>5</v>
      </c>
      <c r="AJ5">
        <v>1</v>
      </c>
      <c r="AK5">
        <v>13</v>
      </c>
      <c r="AL5" t="s">
        <v>143</v>
      </c>
      <c r="AM5" t="s">
        <v>144</v>
      </c>
      <c r="AN5" t="s">
        <v>145</v>
      </c>
      <c r="AO5" t="s">
        <v>171</v>
      </c>
      <c r="AP5" t="s">
        <v>172</v>
      </c>
      <c r="AQ5" t="s">
        <v>74</v>
      </c>
      <c r="AR5" t="s">
        <v>173</v>
      </c>
      <c r="AS5" t="s">
        <v>174</v>
      </c>
      <c r="AT5" t="s">
        <v>125</v>
      </c>
      <c r="AU5">
        <v>2021</v>
      </c>
      <c r="AV5">
        <v>17</v>
      </c>
      <c r="AW5">
        <v>4</v>
      </c>
      <c r="AX5" t="s">
        <v>74</v>
      </c>
      <c r="AY5" t="s">
        <v>74</v>
      </c>
      <c r="AZ5" t="s">
        <v>74</v>
      </c>
      <c r="BA5" t="s">
        <v>74</v>
      </c>
      <c r="BB5">
        <v>1627</v>
      </c>
      <c r="BC5">
        <v>1643</v>
      </c>
      <c r="BD5" t="s">
        <v>74</v>
      </c>
      <c r="BE5" t="s">
        <v>175</v>
      </c>
      <c r="BF5" t="str">
        <f>HYPERLINK("http://dx.doi.org/10.5194/cp-17-1627-2021","http://dx.doi.org/10.5194/cp-17-1627-2021")</f>
        <v>http://dx.doi.org/10.5194/cp-17-1627-2021</v>
      </c>
      <c r="BG5" t="s">
        <v>74</v>
      </c>
      <c r="BH5" t="s">
        <v>74</v>
      </c>
      <c r="BI5">
        <v>17</v>
      </c>
      <c r="BJ5" t="s">
        <v>176</v>
      </c>
      <c r="BK5" t="s">
        <v>128</v>
      </c>
      <c r="BL5" t="s">
        <v>177</v>
      </c>
      <c r="BM5" t="s">
        <v>178</v>
      </c>
      <c r="BN5" t="s">
        <v>74</v>
      </c>
      <c r="BO5" t="s">
        <v>179</v>
      </c>
      <c r="BP5" t="s">
        <v>74</v>
      </c>
      <c r="BQ5" t="s">
        <v>74</v>
      </c>
      <c r="BR5" t="s">
        <v>102</v>
      </c>
      <c r="BS5" t="s">
        <v>180</v>
      </c>
      <c r="BT5" t="str">
        <f>HYPERLINK("https%3A%2F%2Fwww.webofscience.com%2Fwos%2Fwoscc%2Ffull-record%2FWOS:000681686200002","View Full Record in Web of Science")</f>
        <v>View Full Record in Web of Science</v>
      </c>
    </row>
    <row r="6" spans="1:72" x14ac:dyDescent="0.15">
      <c r="A6" t="s">
        <v>72</v>
      </c>
      <c r="B6" t="s">
        <v>181</v>
      </c>
      <c r="C6" t="s">
        <v>74</v>
      </c>
      <c r="D6" t="s">
        <v>74</v>
      </c>
      <c r="E6" t="s">
        <v>74</v>
      </c>
      <c r="F6" t="s">
        <v>182</v>
      </c>
      <c r="G6" t="s">
        <v>74</v>
      </c>
      <c r="H6" t="s">
        <v>74</v>
      </c>
      <c r="I6" t="s">
        <v>183</v>
      </c>
      <c r="J6" t="s">
        <v>184</v>
      </c>
      <c r="K6" t="s">
        <v>74</v>
      </c>
      <c r="L6" t="s">
        <v>74</v>
      </c>
      <c r="M6" t="s">
        <v>78</v>
      </c>
      <c r="N6" t="s">
        <v>79</v>
      </c>
      <c r="O6" t="s">
        <v>74</v>
      </c>
      <c r="P6" t="s">
        <v>74</v>
      </c>
      <c r="Q6" t="s">
        <v>74</v>
      </c>
      <c r="R6" t="s">
        <v>74</v>
      </c>
      <c r="S6" t="s">
        <v>74</v>
      </c>
      <c r="T6" t="s">
        <v>185</v>
      </c>
      <c r="U6" t="s">
        <v>186</v>
      </c>
      <c r="V6" t="s">
        <v>187</v>
      </c>
      <c r="W6" t="s">
        <v>188</v>
      </c>
      <c r="X6" t="s">
        <v>189</v>
      </c>
      <c r="Y6" t="s">
        <v>190</v>
      </c>
      <c r="Z6" t="s">
        <v>191</v>
      </c>
      <c r="AA6" t="s">
        <v>192</v>
      </c>
      <c r="AB6" t="s">
        <v>193</v>
      </c>
      <c r="AC6" t="s">
        <v>194</v>
      </c>
      <c r="AD6" t="s">
        <v>195</v>
      </c>
      <c r="AE6" t="s">
        <v>196</v>
      </c>
      <c r="AF6" t="s">
        <v>74</v>
      </c>
      <c r="AG6">
        <v>115</v>
      </c>
      <c r="AH6">
        <v>25</v>
      </c>
      <c r="AI6">
        <v>27</v>
      </c>
      <c r="AJ6">
        <v>9</v>
      </c>
      <c r="AK6">
        <v>60</v>
      </c>
      <c r="AL6" t="s">
        <v>197</v>
      </c>
      <c r="AM6" t="s">
        <v>198</v>
      </c>
      <c r="AN6" t="s">
        <v>199</v>
      </c>
      <c r="AO6" t="s">
        <v>200</v>
      </c>
      <c r="AP6" t="s">
        <v>201</v>
      </c>
      <c r="AQ6" t="s">
        <v>74</v>
      </c>
      <c r="AR6" t="s">
        <v>202</v>
      </c>
      <c r="AS6" t="s">
        <v>203</v>
      </c>
      <c r="AT6" t="s">
        <v>204</v>
      </c>
      <c r="AU6">
        <v>2021</v>
      </c>
      <c r="AV6">
        <v>27</v>
      </c>
      <c r="AW6">
        <v>20</v>
      </c>
      <c r="AX6" t="s">
        <v>74</v>
      </c>
      <c r="AY6" t="s">
        <v>74</v>
      </c>
      <c r="AZ6" t="s">
        <v>74</v>
      </c>
      <c r="BA6" t="s">
        <v>74</v>
      </c>
      <c r="BB6">
        <v>5008</v>
      </c>
      <c r="BC6">
        <v>5029</v>
      </c>
      <c r="BD6" t="s">
        <v>74</v>
      </c>
      <c r="BE6" t="s">
        <v>205</v>
      </c>
      <c r="BF6" t="str">
        <f>HYPERLINK("http://dx.doi.org/10.1111/gcb.15806","http://dx.doi.org/10.1111/gcb.15806")</f>
        <v>http://dx.doi.org/10.1111/gcb.15806</v>
      </c>
      <c r="BG6" t="s">
        <v>74</v>
      </c>
      <c r="BH6" t="s">
        <v>98</v>
      </c>
      <c r="BI6">
        <v>22</v>
      </c>
      <c r="BJ6" t="s">
        <v>206</v>
      </c>
      <c r="BK6" t="s">
        <v>128</v>
      </c>
      <c r="BL6" t="s">
        <v>207</v>
      </c>
      <c r="BM6" t="s">
        <v>208</v>
      </c>
      <c r="BN6">
        <v>34342929</v>
      </c>
      <c r="BO6" t="s">
        <v>209</v>
      </c>
      <c r="BP6" t="s">
        <v>74</v>
      </c>
      <c r="BQ6" t="s">
        <v>74</v>
      </c>
      <c r="BR6" t="s">
        <v>102</v>
      </c>
      <c r="BS6" t="s">
        <v>210</v>
      </c>
      <c r="BT6" t="str">
        <f>HYPERLINK("https%3A%2F%2Fwww.webofscience.com%2Fwos%2Fwoscc%2Ffull-record%2FWOS:000680499900001","View Full Record in Web of Science")</f>
        <v>View Full Record in Web of Science</v>
      </c>
    </row>
    <row r="7" spans="1:72" x14ac:dyDescent="0.15">
      <c r="A7" t="s">
        <v>72</v>
      </c>
      <c r="B7" t="s">
        <v>211</v>
      </c>
      <c r="C7" t="s">
        <v>74</v>
      </c>
      <c r="D7" t="s">
        <v>74</v>
      </c>
      <c r="E7" t="s">
        <v>74</v>
      </c>
      <c r="F7" t="s">
        <v>212</v>
      </c>
      <c r="G7" t="s">
        <v>74</v>
      </c>
      <c r="H7" t="s">
        <v>213</v>
      </c>
      <c r="I7" t="s">
        <v>214</v>
      </c>
      <c r="J7" t="s">
        <v>215</v>
      </c>
      <c r="K7" t="s">
        <v>74</v>
      </c>
      <c r="L7" t="s">
        <v>74</v>
      </c>
      <c r="M7" t="s">
        <v>78</v>
      </c>
      <c r="N7" t="s">
        <v>79</v>
      </c>
      <c r="O7" t="s">
        <v>74</v>
      </c>
      <c r="P7" t="s">
        <v>74</v>
      </c>
      <c r="Q7" t="s">
        <v>74</v>
      </c>
      <c r="R7" t="s">
        <v>74</v>
      </c>
      <c r="S7" t="s">
        <v>74</v>
      </c>
      <c r="T7" t="s">
        <v>216</v>
      </c>
      <c r="U7" t="s">
        <v>217</v>
      </c>
      <c r="V7" t="s">
        <v>218</v>
      </c>
      <c r="W7" t="s">
        <v>219</v>
      </c>
      <c r="X7" t="s">
        <v>220</v>
      </c>
      <c r="Y7" t="s">
        <v>221</v>
      </c>
      <c r="Z7" t="s">
        <v>222</v>
      </c>
      <c r="AA7" t="s">
        <v>223</v>
      </c>
      <c r="AB7" t="s">
        <v>224</v>
      </c>
      <c r="AC7" t="s">
        <v>225</v>
      </c>
      <c r="AD7" t="s">
        <v>225</v>
      </c>
      <c r="AE7" t="s">
        <v>226</v>
      </c>
      <c r="AF7" t="s">
        <v>74</v>
      </c>
      <c r="AG7">
        <v>49</v>
      </c>
      <c r="AH7">
        <v>3</v>
      </c>
      <c r="AI7">
        <v>3</v>
      </c>
      <c r="AJ7">
        <v>0</v>
      </c>
      <c r="AK7">
        <v>6</v>
      </c>
      <c r="AL7" t="s">
        <v>227</v>
      </c>
      <c r="AM7" t="s">
        <v>228</v>
      </c>
      <c r="AN7" t="s">
        <v>229</v>
      </c>
      <c r="AO7" t="s">
        <v>230</v>
      </c>
      <c r="AP7" t="s">
        <v>231</v>
      </c>
      <c r="AQ7" t="s">
        <v>74</v>
      </c>
      <c r="AR7" t="s">
        <v>232</v>
      </c>
      <c r="AS7" t="s">
        <v>233</v>
      </c>
      <c r="AT7" t="s">
        <v>234</v>
      </c>
      <c r="AU7">
        <v>2021</v>
      </c>
      <c r="AV7">
        <v>212</v>
      </c>
      <c r="AW7" t="s">
        <v>74</v>
      </c>
      <c r="AX7" t="s">
        <v>74</v>
      </c>
      <c r="AY7" t="s">
        <v>74</v>
      </c>
      <c r="AZ7" t="s">
        <v>74</v>
      </c>
      <c r="BA7" t="s">
        <v>74</v>
      </c>
      <c r="BB7" t="s">
        <v>74</v>
      </c>
      <c r="BC7" t="s">
        <v>74</v>
      </c>
      <c r="BD7">
        <v>105771</v>
      </c>
      <c r="BE7" t="s">
        <v>235</v>
      </c>
      <c r="BF7" t="str">
        <f>HYPERLINK("http://dx.doi.org/10.1016/j.ocecoaman.2021.105771","http://dx.doi.org/10.1016/j.ocecoaman.2021.105771")</f>
        <v>http://dx.doi.org/10.1016/j.ocecoaman.2021.105771</v>
      </c>
      <c r="BG7" t="s">
        <v>74</v>
      </c>
      <c r="BH7" t="s">
        <v>98</v>
      </c>
      <c r="BI7">
        <v>11</v>
      </c>
      <c r="BJ7" t="s">
        <v>236</v>
      </c>
      <c r="BK7" t="s">
        <v>100</v>
      </c>
      <c r="BL7" t="s">
        <v>236</v>
      </c>
      <c r="BM7" t="s">
        <v>237</v>
      </c>
      <c r="BN7" t="s">
        <v>74</v>
      </c>
      <c r="BO7" t="s">
        <v>238</v>
      </c>
      <c r="BP7" t="s">
        <v>74</v>
      </c>
      <c r="BQ7" t="s">
        <v>74</v>
      </c>
      <c r="BR7" t="s">
        <v>102</v>
      </c>
      <c r="BS7" t="s">
        <v>239</v>
      </c>
      <c r="BT7" t="str">
        <f>HYPERLINK("https%3A%2F%2Fwww.webofscience.com%2Fwos%2Fwoscc%2Ffull-record%2FWOS:000703509000006","View Full Record in Web of Science")</f>
        <v>View Full Record in Web of Science</v>
      </c>
    </row>
    <row r="8" spans="1:72" x14ac:dyDescent="0.15">
      <c r="A8" t="s">
        <v>72</v>
      </c>
      <c r="B8" t="s">
        <v>240</v>
      </c>
      <c r="C8" t="s">
        <v>74</v>
      </c>
      <c r="D8" t="s">
        <v>74</v>
      </c>
      <c r="E8" t="s">
        <v>74</v>
      </c>
      <c r="F8" t="s">
        <v>241</v>
      </c>
      <c r="G8" t="s">
        <v>74</v>
      </c>
      <c r="H8" t="s">
        <v>74</v>
      </c>
      <c r="I8" t="s">
        <v>242</v>
      </c>
      <c r="J8" t="s">
        <v>243</v>
      </c>
      <c r="K8" t="s">
        <v>74</v>
      </c>
      <c r="L8" t="s">
        <v>74</v>
      </c>
      <c r="M8" t="s">
        <v>78</v>
      </c>
      <c r="N8" t="s">
        <v>79</v>
      </c>
      <c r="O8" t="s">
        <v>74</v>
      </c>
      <c r="P8" t="s">
        <v>74</v>
      </c>
      <c r="Q8" t="s">
        <v>74</v>
      </c>
      <c r="R8" t="s">
        <v>74</v>
      </c>
      <c r="S8" t="s">
        <v>74</v>
      </c>
      <c r="T8" t="s">
        <v>244</v>
      </c>
      <c r="U8" t="s">
        <v>245</v>
      </c>
      <c r="V8" t="s">
        <v>246</v>
      </c>
      <c r="W8" t="s">
        <v>247</v>
      </c>
      <c r="X8" t="s">
        <v>248</v>
      </c>
      <c r="Y8" t="s">
        <v>249</v>
      </c>
      <c r="Z8" t="s">
        <v>250</v>
      </c>
      <c r="AA8" t="s">
        <v>251</v>
      </c>
      <c r="AB8" t="s">
        <v>252</v>
      </c>
      <c r="AC8" t="s">
        <v>253</v>
      </c>
      <c r="AD8" t="s">
        <v>254</v>
      </c>
      <c r="AE8" t="s">
        <v>255</v>
      </c>
      <c r="AF8" t="s">
        <v>74</v>
      </c>
      <c r="AG8">
        <v>73</v>
      </c>
      <c r="AH8">
        <v>9</v>
      </c>
      <c r="AI8">
        <v>9</v>
      </c>
      <c r="AJ8">
        <v>9</v>
      </c>
      <c r="AK8">
        <v>84</v>
      </c>
      <c r="AL8" t="s">
        <v>89</v>
      </c>
      <c r="AM8" t="s">
        <v>90</v>
      </c>
      <c r="AN8" t="s">
        <v>91</v>
      </c>
      <c r="AO8" t="s">
        <v>256</v>
      </c>
      <c r="AP8" t="s">
        <v>257</v>
      </c>
      <c r="AQ8" t="s">
        <v>74</v>
      </c>
      <c r="AR8" t="s">
        <v>258</v>
      </c>
      <c r="AS8" t="s">
        <v>259</v>
      </c>
      <c r="AT8" t="s">
        <v>260</v>
      </c>
      <c r="AU8">
        <v>2021</v>
      </c>
      <c r="AV8">
        <v>799</v>
      </c>
      <c r="AW8" t="s">
        <v>74</v>
      </c>
      <c r="AX8" t="s">
        <v>74</v>
      </c>
      <c r="AY8" t="s">
        <v>74</v>
      </c>
      <c r="AZ8" t="s">
        <v>74</v>
      </c>
      <c r="BA8" t="s">
        <v>74</v>
      </c>
      <c r="BB8" t="s">
        <v>74</v>
      </c>
      <c r="BC8" t="s">
        <v>74</v>
      </c>
      <c r="BD8">
        <v>149380</v>
      </c>
      <c r="BE8" t="s">
        <v>261</v>
      </c>
      <c r="BF8" t="str">
        <f>HYPERLINK("http://dx.doi.org/10.1016/j.scitotenv.2021.149380","http://dx.doi.org/10.1016/j.scitotenv.2021.149380")</f>
        <v>http://dx.doi.org/10.1016/j.scitotenv.2021.149380</v>
      </c>
      <c r="BG8" t="s">
        <v>74</v>
      </c>
      <c r="BH8" t="s">
        <v>98</v>
      </c>
      <c r="BI8">
        <v>9</v>
      </c>
      <c r="BJ8" t="s">
        <v>262</v>
      </c>
      <c r="BK8" t="s">
        <v>128</v>
      </c>
      <c r="BL8" t="s">
        <v>263</v>
      </c>
      <c r="BM8" t="s">
        <v>264</v>
      </c>
      <c r="BN8">
        <v>34352464</v>
      </c>
      <c r="BO8" t="s">
        <v>74</v>
      </c>
      <c r="BP8" t="s">
        <v>74</v>
      </c>
      <c r="BQ8" t="s">
        <v>74</v>
      </c>
      <c r="BR8" t="s">
        <v>102</v>
      </c>
      <c r="BS8" t="s">
        <v>265</v>
      </c>
      <c r="BT8" t="str">
        <f>HYPERLINK("https%3A%2F%2Fwww.webofscience.com%2Fwos%2Fwoscc%2Ffull-record%2FWOS:000701266700005","View Full Record in Web of Science")</f>
        <v>View Full Record in Web of Science</v>
      </c>
    </row>
    <row r="9" spans="1:72" x14ac:dyDescent="0.15">
      <c r="A9" t="s">
        <v>72</v>
      </c>
      <c r="B9" t="s">
        <v>266</v>
      </c>
      <c r="C9" t="s">
        <v>74</v>
      </c>
      <c r="D9" t="s">
        <v>74</v>
      </c>
      <c r="E9" t="s">
        <v>74</v>
      </c>
      <c r="F9" t="s">
        <v>267</v>
      </c>
      <c r="G9" t="s">
        <v>74</v>
      </c>
      <c r="H9" t="s">
        <v>74</v>
      </c>
      <c r="I9" t="s">
        <v>268</v>
      </c>
      <c r="J9" t="s">
        <v>269</v>
      </c>
      <c r="K9" t="s">
        <v>74</v>
      </c>
      <c r="L9" t="s">
        <v>74</v>
      </c>
      <c r="M9" t="s">
        <v>78</v>
      </c>
      <c r="N9" t="s">
        <v>79</v>
      </c>
      <c r="O9" t="s">
        <v>74</v>
      </c>
      <c r="P9" t="s">
        <v>74</v>
      </c>
      <c r="Q9" t="s">
        <v>74</v>
      </c>
      <c r="R9" t="s">
        <v>74</v>
      </c>
      <c r="S9" t="s">
        <v>74</v>
      </c>
      <c r="T9" t="s">
        <v>270</v>
      </c>
      <c r="U9" t="s">
        <v>271</v>
      </c>
      <c r="V9" t="s">
        <v>272</v>
      </c>
      <c r="W9" t="s">
        <v>273</v>
      </c>
      <c r="X9" t="s">
        <v>274</v>
      </c>
      <c r="Y9" t="s">
        <v>275</v>
      </c>
      <c r="Z9" t="s">
        <v>276</v>
      </c>
      <c r="AA9" t="s">
        <v>74</v>
      </c>
      <c r="AB9" t="s">
        <v>277</v>
      </c>
      <c r="AC9" t="s">
        <v>278</v>
      </c>
      <c r="AD9" t="s">
        <v>279</v>
      </c>
      <c r="AE9" t="s">
        <v>280</v>
      </c>
      <c r="AF9" t="s">
        <v>74</v>
      </c>
      <c r="AG9">
        <v>67</v>
      </c>
      <c r="AH9">
        <v>9</v>
      </c>
      <c r="AI9">
        <v>10</v>
      </c>
      <c r="AJ9">
        <v>1</v>
      </c>
      <c r="AK9">
        <v>6</v>
      </c>
      <c r="AL9" t="s">
        <v>281</v>
      </c>
      <c r="AM9" t="s">
        <v>228</v>
      </c>
      <c r="AN9" t="s">
        <v>282</v>
      </c>
      <c r="AO9" t="s">
        <v>283</v>
      </c>
      <c r="AP9" t="s">
        <v>284</v>
      </c>
      <c r="AQ9" t="s">
        <v>74</v>
      </c>
      <c r="AR9" t="s">
        <v>285</v>
      </c>
      <c r="AS9" t="s">
        <v>286</v>
      </c>
      <c r="AT9" t="s">
        <v>287</v>
      </c>
      <c r="AU9">
        <v>2021</v>
      </c>
      <c r="AV9">
        <v>310</v>
      </c>
      <c r="AW9" t="s">
        <v>74</v>
      </c>
      <c r="AX9" t="s">
        <v>74</v>
      </c>
      <c r="AY9" t="s">
        <v>74</v>
      </c>
      <c r="AZ9" t="s">
        <v>74</v>
      </c>
      <c r="BA9" t="s">
        <v>74</v>
      </c>
      <c r="BB9">
        <v>113</v>
      </c>
      <c r="BC9">
        <v>130</v>
      </c>
      <c r="BD9" t="s">
        <v>74</v>
      </c>
      <c r="BE9" t="s">
        <v>288</v>
      </c>
      <c r="BF9" t="str">
        <f>HYPERLINK("http://dx.doi.org/10.1016/j.gca.2021.07.015","http://dx.doi.org/10.1016/j.gca.2021.07.015")</f>
        <v>http://dx.doi.org/10.1016/j.gca.2021.07.015</v>
      </c>
      <c r="BG9" t="s">
        <v>74</v>
      </c>
      <c r="BH9" t="s">
        <v>98</v>
      </c>
      <c r="BI9">
        <v>18</v>
      </c>
      <c r="BJ9" t="s">
        <v>289</v>
      </c>
      <c r="BK9" t="s">
        <v>128</v>
      </c>
      <c r="BL9" t="s">
        <v>289</v>
      </c>
      <c r="BM9" t="s">
        <v>290</v>
      </c>
      <c r="BN9" t="s">
        <v>74</v>
      </c>
      <c r="BO9" t="s">
        <v>291</v>
      </c>
      <c r="BP9" t="s">
        <v>74</v>
      </c>
      <c r="BQ9" t="s">
        <v>74</v>
      </c>
      <c r="BR9" t="s">
        <v>102</v>
      </c>
      <c r="BS9" t="s">
        <v>292</v>
      </c>
      <c r="BT9" t="str">
        <f>HYPERLINK("https%3A%2F%2Fwww.webofscience.com%2Fwos%2Fwoscc%2Ffull-record%2FWOS:000689517700008","View Full Record in Web of Science")</f>
        <v>View Full Record in Web of Science</v>
      </c>
    </row>
    <row r="10" spans="1:72" x14ac:dyDescent="0.15">
      <c r="A10" t="s">
        <v>72</v>
      </c>
      <c r="B10" t="s">
        <v>293</v>
      </c>
      <c r="C10" t="s">
        <v>74</v>
      </c>
      <c r="D10" t="s">
        <v>74</v>
      </c>
      <c r="E10" t="s">
        <v>74</v>
      </c>
      <c r="F10" t="s">
        <v>294</v>
      </c>
      <c r="G10" t="s">
        <v>74</v>
      </c>
      <c r="H10" t="s">
        <v>74</v>
      </c>
      <c r="I10" t="s">
        <v>295</v>
      </c>
      <c r="J10" t="s">
        <v>107</v>
      </c>
      <c r="K10" t="s">
        <v>74</v>
      </c>
      <c r="L10" t="s">
        <v>74</v>
      </c>
      <c r="M10" t="s">
        <v>78</v>
      </c>
      <c r="N10" t="s">
        <v>79</v>
      </c>
      <c r="O10" t="s">
        <v>74</v>
      </c>
      <c r="P10" t="s">
        <v>74</v>
      </c>
      <c r="Q10" t="s">
        <v>74</v>
      </c>
      <c r="R10" t="s">
        <v>74</v>
      </c>
      <c r="S10" t="s">
        <v>74</v>
      </c>
      <c r="T10" t="s">
        <v>296</v>
      </c>
      <c r="U10" t="s">
        <v>297</v>
      </c>
      <c r="V10" t="s">
        <v>298</v>
      </c>
      <c r="W10" t="s">
        <v>299</v>
      </c>
      <c r="X10" t="s">
        <v>300</v>
      </c>
      <c r="Y10" t="s">
        <v>301</v>
      </c>
      <c r="Z10" t="s">
        <v>302</v>
      </c>
      <c r="AA10" t="s">
        <v>303</v>
      </c>
      <c r="AB10" t="s">
        <v>304</v>
      </c>
      <c r="AC10" t="s">
        <v>305</v>
      </c>
      <c r="AD10" t="s">
        <v>306</v>
      </c>
      <c r="AE10" t="s">
        <v>307</v>
      </c>
      <c r="AF10" t="s">
        <v>74</v>
      </c>
      <c r="AG10">
        <v>61</v>
      </c>
      <c r="AH10">
        <v>3</v>
      </c>
      <c r="AI10">
        <v>3</v>
      </c>
      <c r="AJ10">
        <v>7</v>
      </c>
      <c r="AK10">
        <v>23</v>
      </c>
      <c r="AL10" t="s">
        <v>119</v>
      </c>
      <c r="AM10" t="s">
        <v>120</v>
      </c>
      <c r="AN10" t="s">
        <v>121</v>
      </c>
      <c r="AO10" t="s">
        <v>74</v>
      </c>
      <c r="AP10" t="s">
        <v>122</v>
      </c>
      <c r="AQ10" t="s">
        <v>74</v>
      </c>
      <c r="AR10" t="s">
        <v>123</v>
      </c>
      <c r="AS10" t="s">
        <v>124</v>
      </c>
      <c r="AT10" t="s">
        <v>308</v>
      </c>
      <c r="AU10">
        <v>2021</v>
      </c>
      <c r="AV10">
        <v>8</v>
      </c>
      <c r="AW10" t="s">
        <v>74</v>
      </c>
      <c r="AX10" t="s">
        <v>74</v>
      </c>
      <c r="AY10" t="s">
        <v>74</v>
      </c>
      <c r="AZ10" t="s">
        <v>74</v>
      </c>
      <c r="BA10" t="s">
        <v>74</v>
      </c>
      <c r="BB10" t="s">
        <v>74</v>
      </c>
      <c r="BC10" t="s">
        <v>74</v>
      </c>
      <c r="BD10">
        <v>666417</v>
      </c>
      <c r="BE10" t="s">
        <v>309</v>
      </c>
      <c r="BF10" t="str">
        <f>HYPERLINK("http://dx.doi.org/10.3389/fmars.2021.666417","http://dx.doi.org/10.3389/fmars.2021.666417")</f>
        <v>http://dx.doi.org/10.3389/fmars.2021.666417</v>
      </c>
      <c r="BG10" t="s">
        <v>74</v>
      </c>
      <c r="BH10" t="s">
        <v>74</v>
      </c>
      <c r="BI10">
        <v>17</v>
      </c>
      <c r="BJ10" t="s">
        <v>127</v>
      </c>
      <c r="BK10" t="s">
        <v>128</v>
      </c>
      <c r="BL10" t="s">
        <v>129</v>
      </c>
      <c r="BM10" t="s">
        <v>310</v>
      </c>
      <c r="BN10" t="s">
        <v>74</v>
      </c>
      <c r="BO10" t="s">
        <v>311</v>
      </c>
      <c r="BP10" t="s">
        <v>74</v>
      </c>
      <c r="BQ10" t="s">
        <v>74</v>
      </c>
      <c r="BR10" t="s">
        <v>102</v>
      </c>
      <c r="BS10" t="s">
        <v>312</v>
      </c>
      <c r="BT10" t="str">
        <f>HYPERLINK("https%3A%2F%2Fwww.webofscience.com%2Fwos%2Fwoscc%2Ffull-record%2FWOS:000685573900001","View Full Record in Web of Science")</f>
        <v>View Full Record in Web of Science</v>
      </c>
    </row>
    <row r="11" spans="1:72" x14ac:dyDescent="0.15">
      <c r="A11" t="s">
        <v>72</v>
      </c>
      <c r="B11" t="s">
        <v>313</v>
      </c>
      <c r="C11" t="s">
        <v>74</v>
      </c>
      <c r="D11" t="s">
        <v>74</v>
      </c>
      <c r="E11" t="s">
        <v>74</v>
      </c>
      <c r="F11" t="s">
        <v>314</v>
      </c>
      <c r="G11" t="s">
        <v>74</v>
      </c>
      <c r="H11" t="s">
        <v>74</v>
      </c>
      <c r="I11" t="s">
        <v>315</v>
      </c>
      <c r="J11" t="s">
        <v>316</v>
      </c>
      <c r="K11" t="s">
        <v>74</v>
      </c>
      <c r="L11" t="s">
        <v>74</v>
      </c>
      <c r="M11" t="s">
        <v>78</v>
      </c>
      <c r="N11" t="s">
        <v>79</v>
      </c>
      <c r="O11" t="s">
        <v>74</v>
      </c>
      <c r="P11" t="s">
        <v>74</v>
      </c>
      <c r="Q11" t="s">
        <v>74</v>
      </c>
      <c r="R11" t="s">
        <v>74</v>
      </c>
      <c r="S11" t="s">
        <v>74</v>
      </c>
      <c r="T11" t="s">
        <v>317</v>
      </c>
      <c r="U11" t="s">
        <v>318</v>
      </c>
      <c r="V11" t="s">
        <v>319</v>
      </c>
      <c r="W11" t="s">
        <v>320</v>
      </c>
      <c r="X11" t="s">
        <v>321</v>
      </c>
      <c r="Y11" t="s">
        <v>322</v>
      </c>
      <c r="Z11" t="s">
        <v>323</v>
      </c>
      <c r="AA11" t="s">
        <v>324</v>
      </c>
      <c r="AB11" t="s">
        <v>325</v>
      </c>
      <c r="AC11" t="s">
        <v>326</v>
      </c>
      <c r="AD11" t="s">
        <v>327</v>
      </c>
      <c r="AE11" t="s">
        <v>328</v>
      </c>
      <c r="AF11" t="s">
        <v>74</v>
      </c>
      <c r="AG11">
        <v>63</v>
      </c>
      <c r="AH11">
        <v>8</v>
      </c>
      <c r="AI11">
        <v>8</v>
      </c>
      <c r="AJ11">
        <v>2</v>
      </c>
      <c r="AK11">
        <v>18</v>
      </c>
      <c r="AL11" t="s">
        <v>281</v>
      </c>
      <c r="AM11" t="s">
        <v>228</v>
      </c>
      <c r="AN11" t="s">
        <v>282</v>
      </c>
      <c r="AO11" t="s">
        <v>329</v>
      </c>
      <c r="AP11" t="s">
        <v>330</v>
      </c>
      <c r="AQ11" t="s">
        <v>74</v>
      </c>
      <c r="AR11" t="s">
        <v>331</v>
      </c>
      <c r="AS11" t="s">
        <v>332</v>
      </c>
      <c r="AT11" t="s">
        <v>333</v>
      </c>
      <c r="AU11">
        <v>2021</v>
      </c>
      <c r="AV11">
        <v>132</v>
      </c>
      <c r="AW11" t="s">
        <v>74</v>
      </c>
      <c r="AX11" t="s">
        <v>74</v>
      </c>
      <c r="AY11" t="s">
        <v>74</v>
      </c>
      <c r="AZ11" t="s">
        <v>74</v>
      </c>
      <c r="BA11" t="s">
        <v>74</v>
      </c>
      <c r="BB11">
        <v>162</v>
      </c>
      <c r="BC11">
        <v>175</v>
      </c>
      <c r="BD11" t="s">
        <v>74</v>
      </c>
      <c r="BE11" t="s">
        <v>334</v>
      </c>
      <c r="BF11" t="str">
        <f>HYPERLINK("http://dx.doi.org/10.1016/j.wasman.2021.07.012","http://dx.doi.org/10.1016/j.wasman.2021.07.012")</f>
        <v>http://dx.doi.org/10.1016/j.wasman.2021.07.012</v>
      </c>
      <c r="BG11" t="s">
        <v>74</v>
      </c>
      <c r="BH11" t="s">
        <v>98</v>
      </c>
      <c r="BI11">
        <v>14</v>
      </c>
      <c r="BJ11" t="s">
        <v>335</v>
      </c>
      <c r="BK11" t="s">
        <v>128</v>
      </c>
      <c r="BL11" t="s">
        <v>336</v>
      </c>
      <c r="BM11" t="s">
        <v>337</v>
      </c>
      <c r="BN11">
        <v>34352589</v>
      </c>
      <c r="BO11" t="s">
        <v>338</v>
      </c>
      <c r="BP11" t="s">
        <v>74</v>
      </c>
      <c r="BQ11" t="s">
        <v>74</v>
      </c>
      <c r="BR11" t="s">
        <v>102</v>
      </c>
      <c r="BS11" t="s">
        <v>339</v>
      </c>
      <c r="BT11" t="str">
        <f>HYPERLINK("https%3A%2F%2Fwww.webofscience.com%2Fwos%2Fwoscc%2Ffull-record%2FWOS:000685361000004","View Full Record in Web of Science")</f>
        <v>View Full Record in Web of Science</v>
      </c>
    </row>
    <row r="12" spans="1:72" x14ac:dyDescent="0.15">
      <c r="A12" t="s">
        <v>72</v>
      </c>
      <c r="B12" t="s">
        <v>340</v>
      </c>
      <c r="C12" t="s">
        <v>74</v>
      </c>
      <c r="D12" t="s">
        <v>74</v>
      </c>
      <c r="E12" t="s">
        <v>74</v>
      </c>
      <c r="F12" t="s">
        <v>341</v>
      </c>
      <c r="G12" t="s">
        <v>74</v>
      </c>
      <c r="H12" t="s">
        <v>74</v>
      </c>
      <c r="I12" t="s">
        <v>342</v>
      </c>
      <c r="J12" t="s">
        <v>136</v>
      </c>
      <c r="K12" t="s">
        <v>74</v>
      </c>
      <c r="L12" t="s">
        <v>74</v>
      </c>
      <c r="M12" t="s">
        <v>78</v>
      </c>
      <c r="N12" t="s">
        <v>79</v>
      </c>
      <c r="O12" t="s">
        <v>74</v>
      </c>
      <c r="P12" t="s">
        <v>74</v>
      </c>
      <c r="Q12" t="s">
        <v>74</v>
      </c>
      <c r="R12" t="s">
        <v>74</v>
      </c>
      <c r="S12" t="s">
        <v>74</v>
      </c>
      <c r="T12" t="s">
        <v>74</v>
      </c>
      <c r="U12" t="s">
        <v>343</v>
      </c>
      <c r="V12" t="s">
        <v>344</v>
      </c>
      <c r="W12" t="s">
        <v>345</v>
      </c>
      <c r="X12" t="s">
        <v>346</v>
      </c>
      <c r="Y12" t="s">
        <v>347</v>
      </c>
      <c r="Z12" t="s">
        <v>348</v>
      </c>
      <c r="AA12" t="s">
        <v>349</v>
      </c>
      <c r="AB12" t="s">
        <v>350</v>
      </c>
      <c r="AC12" t="s">
        <v>74</v>
      </c>
      <c r="AD12" t="s">
        <v>74</v>
      </c>
      <c r="AE12" t="s">
        <v>74</v>
      </c>
      <c r="AF12" t="s">
        <v>74</v>
      </c>
      <c r="AG12">
        <v>58</v>
      </c>
      <c r="AH12">
        <v>8</v>
      </c>
      <c r="AI12">
        <v>9</v>
      </c>
      <c r="AJ12">
        <v>2</v>
      </c>
      <c r="AK12">
        <v>9</v>
      </c>
      <c r="AL12" t="s">
        <v>143</v>
      </c>
      <c r="AM12" t="s">
        <v>144</v>
      </c>
      <c r="AN12" t="s">
        <v>145</v>
      </c>
      <c r="AO12" t="s">
        <v>146</v>
      </c>
      <c r="AP12" t="s">
        <v>147</v>
      </c>
      <c r="AQ12" t="s">
        <v>74</v>
      </c>
      <c r="AR12" t="s">
        <v>148</v>
      </c>
      <c r="AS12" t="s">
        <v>149</v>
      </c>
      <c r="AT12" t="s">
        <v>308</v>
      </c>
      <c r="AU12">
        <v>2021</v>
      </c>
      <c r="AV12">
        <v>9</v>
      </c>
      <c r="AW12">
        <v>4</v>
      </c>
      <c r="AX12" t="s">
        <v>74</v>
      </c>
      <c r="AY12" t="s">
        <v>74</v>
      </c>
      <c r="AZ12" t="s">
        <v>74</v>
      </c>
      <c r="BA12" t="s">
        <v>74</v>
      </c>
      <c r="BB12">
        <v>845</v>
      </c>
      <c r="BC12">
        <v>859</v>
      </c>
      <c r="BD12" t="s">
        <v>74</v>
      </c>
      <c r="BE12" t="s">
        <v>351</v>
      </c>
      <c r="BF12" t="str">
        <f>HYPERLINK("http://dx.doi.org/10.5194/esurf-9-845-2021","http://dx.doi.org/10.5194/esurf-9-845-2021")</f>
        <v>http://dx.doi.org/10.5194/esurf-9-845-2021</v>
      </c>
      <c r="BG12" t="s">
        <v>74</v>
      </c>
      <c r="BH12" t="s">
        <v>74</v>
      </c>
      <c r="BI12">
        <v>15</v>
      </c>
      <c r="BJ12" t="s">
        <v>151</v>
      </c>
      <c r="BK12" t="s">
        <v>128</v>
      </c>
      <c r="BL12" t="s">
        <v>152</v>
      </c>
      <c r="BM12" t="s">
        <v>352</v>
      </c>
      <c r="BN12" t="s">
        <v>74</v>
      </c>
      <c r="BO12" t="s">
        <v>353</v>
      </c>
      <c r="BP12" t="s">
        <v>74</v>
      </c>
      <c r="BQ12" t="s">
        <v>74</v>
      </c>
      <c r="BR12" t="s">
        <v>102</v>
      </c>
      <c r="BS12" t="s">
        <v>354</v>
      </c>
      <c r="BT12" t="str">
        <f>HYPERLINK("https%3A%2F%2Fwww.webofscience.com%2Fwos%2Fwoscc%2Ffull-record%2FWOS:000680812300002","View Full Record in Web of Science")</f>
        <v>View Full Record in Web of Science</v>
      </c>
    </row>
    <row r="13" spans="1:72" x14ac:dyDescent="0.15">
      <c r="A13" t="s">
        <v>72</v>
      </c>
      <c r="B13" t="s">
        <v>355</v>
      </c>
      <c r="C13" t="s">
        <v>74</v>
      </c>
      <c r="D13" t="s">
        <v>74</v>
      </c>
      <c r="E13" t="s">
        <v>74</v>
      </c>
      <c r="F13" t="s">
        <v>356</v>
      </c>
      <c r="G13" t="s">
        <v>74</v>
      </c>
      <c r="H13" t="s">
        <v>74</v>
      </c>
      <c r="I13" t="s">
        <v>357</v>
      </c>
      <c r="J13" t="s">
        <v>358</v>
      </c>
      <c r="K13" t="s">
        <v>74</v>
      </c>
      <c r="L13" t="s">
        <v>74</v>
      </c>
      <c r="M13" t="s">
        <v>78</v>
      </c>
      <c r="N13" t="s">
        <v>79</v>
      </c>
      <c r="O13" t="s">
        <v>74</v>
      </c>
      <c r="P13" t="s">
        <v>74</v>
      </c>
      <c r="Q13" t="s">
        <v>74</v>
      </c>
      <c r="R13" t="s">
        <v>74</v>
      </c>
      <c r="S13" t="s">
        <v>74</v>
      </c>
      <c r="T13" t="s">
        <v>359</v>
      </c>
      <c r="U13" t="s">
        <v>360</v>
      </c>
      <c r="V13" t="s">
        <v>361</v>
      </c>
      <c r="W13" t="s">
        <v>362</v>
      </c>
      <c r="X13" t="s">
        <v>363</v>
      </c>
      <c r="Y13" t="s">
        <v>364</v>
      </c>
      <c r="Z13" t="s">
        <v>365</v>
      </c>
      <c r="AA13" t="s">
        <v>74</v>
      </c>
      <c r="AB13" t="s">
        <v>366</v>
      </c>
      <c r="AC13" t="s">
        <v>74</v>
      </c>
      <c r="AD13" t="s">
        <v>74</v>
      </c>
      <c r="AE13" t="s">
        <v>74</v>
      </c>
      <c r="AF13" t="s">
        <v>74</v>
      </c>
      <c r="AG13">
        <v>91</v>
      </c>
      <c r="AH13">
        <v>9</v>
      </c>
      <c r="AI13">
        <v>11</v>
      </c>
      <c r="AJ13">
        <v>2</v>
      </c>
      <c r="AK13">
        <v>15</v>
      </c>
      <c r="AL13" t="s">
        <v>367</v>
      </c>
      <c r="AM13" t="s">
        <v>368</v>
      </c>
      <c r="AN13" t="s">
        <v>369</v>
      </c>
      <c r="AO13" t="s">
        <v>370</v>
      </c>
      <c r="AP13" t="s">
        <v>371</v>
      </c>
      <c r="AQ13" t="s">
        <v>74</v>
      </c>
      <c r="AR13" t="s">
        <v>372</v>
      </c>
      <c r="AS13" t="s">
        <v>373</v>
      </c>
      <c r="AT13" t="s">
        <v>374</v>
      </c>
      <c r="AU13">
        <v>2021</v>
      </c>
      <c r="AV13">
        <v>27</v>
      </c>
      <c r="AW13">
        <v>4</v>
      </c>
      <c r="AX13" t="s">
        <v>74</v>
      </c>
      <c r="AY13" t="s">
        <v>74</v>
      </c>
      <c r="AZ13" t="s">
        <v>74</v>
      </c>
      <c r="BA13" t="s">
        <v>74</v>
      </c>
      <c r="BB13">
        <v>995</v>
      </c>
      <c r="BC13">
        <v>1019</v>
      </c>
      <c r="BD13">
        <v>1.3540661211033888E+16</v>
      </c>
      <c r="BE13" t="s">
        <v>375</v>
      </c>
      <c r="BF13" t="str">
        <f>HYPERLINK("http://dx.doi.org/10.1177/13540661211033889","http://dx.doi.org/10.1177/13540661211033889")</f>
        <v>http://dx.doi.org/10.1177/13540661211033889</v>
      </c>
      <c r="BG13" t="s">
        <v>74</v>
      </c>
      <c r="BH13" t="s">
        <v>98</v>
      </c>
      <c r="BI13">
        <v>25</v>
      </c>
      <c r="BJ13" t="s">
        <v>376</v>
      </c>
      <c r="BK13" t="s">
        <v>377</v>
      </c>
      <c r="BL13" t="s">
        <v>376</v>
      </c>
      <c r="BM13" t="s">
        <v>378</v>
      </c>
      <c r="BN13" t="s">
        <v>74</v>
      </c>
      <c r="BO13" t="s">
        <v>291</v>
      </c>
      <c r="BP13" t="s">
        <v>74</v>
      </c>
      <c r="BQ13" t="s">
        <v>74</v>
      </c>
      <c r="BR13" t="s">
        <v>102</v>
      </c>
      <c r="BS13" t="s">
        <v>379</v>
      </c>
      <c r="BT13" t="str">
        <f>HYPERLINK("https%3A%2F%2Fwww.webofscience.com%2Fwos%2Fwoscc%2Ffull-record%2FWOS:000680154500001","View Full Record in Web of Science")</f>
        <v>View Full Record in Web of Science</v>
      </c>
    </row>
    <row r="14" spans="1:72" x14ac:dyDescent="0.15">
      <c r="A14" t="s">
        <v>72</v>
      </c>
      <c r="B14" t="s">
        <v>380</v>
      </c>
      <c r="C14" t="s">
        <v>74</v>
      </c>
      <c r="D14" t="s">
        <v>74</v>
      </c>
      <c r="E14" t="s">
        <v>74</v>
      </c>
      <c r="F14" t="s">
        <v>381</v>
      </c>
      <c r="G14" t="s">
        <v>74</v>
      </c>
      <c r="H14" t="s">
        <v>74</v>
      </c>
      <c r="I14" t="s">
        <v>382</v>
      </c>
      <c r="J14" t="s">
        <v>383</v>
      </c>
      <c r="K14" t="s">
        <v>74</v>
      </c>
      <c r="L14" t="s">
        <v>74</v>
      </c>
      <c r="M14" t="s">
        <v>78</v>
      </c>
      <c r="N14" t="s">
        <v>79</v>
      </c>
      <c r="O14" t="s">
        <v>74</v>
      </c>
      <c r="P14" t="s">
        <v>74</v>
      </c>
      <c r="Q14" t="s">
        <v>74</v>
      </c>
      <c r="R14" t="s">
        <v>74</v>
      </c>
      <c r="S14" t="s">
        <v>74</v>
      </c>
      <c r="T14" t="s">
        <v>74</v>
      </c>
      <c r="U14" t="s">
        <v>384</v>
      </c>
      <c r="V14" t="s">
        <v>385</v>
      </c>
      <c r="W14" t="s">
        <v>386</v>
      </c>
      <c r="X14" t="s">
        <v>387</v>
      </c>
      <c r="Y14" t="s">
        <v>388</v>
      </c>
      <c r="Z14" t="s">
        <v>389</v>
      </c>
      <c r="AA14" t="s">
        <v>390</v>
      </c>
      <c r="AB14" t="s">
        <v>391</v>
      </c>
      <c r="AC14" t="s">
        <v>392</v>
      </c>
      <c r="AD14" t="s">
        <v>393</v>
      </c>
      <c r="AE14" t="s">
        <v>394</v>
      </c>
      <c r="AF14" t="s">
        <v>74</v>
      </c>
      <c r="AG14">
        <v>62</v>
      </c>
      <c r="AH14">
        <v>21</v>
      </c>
      <c r="AI14">
        <v>22</v>
      </c>
      <c r="AJ14">
        <v>3</v>
      </c>
      <c r="AK14">
        <v>25</v>
      </c>
      <c r="AL14" t="s">
        <v>395</v>
      </c>
      <c r="AM14" t="s">
        <v>396</v>
      </c>
      <c r="AN14" t="s">
        <v>397</v>
      </c>
      <c r="AO14" t="s">
        <v>398</v>
      </c>
      <c r="AP14" t="s">
        <v>399</v>
      </c>
      <c r="AQ14" t="s">
        <v>74</v>
      </c>
      <c r="AR14" t="s">
        <v>400</v>
      </c>
      <c r="AS14" t="s">
        <v>401</v>
      </c>
      <c r="AT14" t="s">
        <v>402</v>
      </c>
      <c r="AU14">
        <v>2021</v>
      </c>
      <c r="AV14">
        <v>14</v>
      </c>
      <c r="AW14">
        <v>9</v>
      </c>
      <c r="AX14" t="s">
        <v>74</v>
      </c>
      <c r="AY14" t="s">
        <v>74</v>
      </c>
      <c r="AZ14" t="s">
        <v>74</v>
      </c>
      <c r="BA14" t="s">
        <v>74</v>
      </c>
      <c r="BB14">
        <v>659</v>
      </c>
      <c r="BC14" t="s">
        <v>403</v>
      </c>
      <c r="BD14" t="s">
        <v>74</v>
      </c>
      <c r="BE14" t="s">
        <v>404</v>
      </c>
      <c r="BF14" t="str">
        <f>HYPERLINK("http://dx.doi.org/10.1038/s41561-021-00788-z","http://dx.doi.org/10.1038/s41561-021-00788-z")</f>
        <v>http://dx.doi.org/10.1038/s41561-021-00788-z</v>
      </c>
      <c r="BG14" t="s">
        <v>74</v>
      </c>
      <c r="BH14" t="s">
        <v>98</v>
      </c>
      <c r="BI14">
        <v>16</v>
      </c>
      <c r="BJ14" t="s">
        <v>405</v>
      </c>
      <c r="BK14" t="s">
        <v>128</v>
      </c>
      <c r="BL14" t="s">
        <v>406</v>
      </c>
      <c r="BM14" t="s">
        <v>407</v>
      </c>
      <c r="BN14" t="s">
        <v>74</v>
      </c>
      <c r="BO14" t="s">
        <v>408</v>
      </c>
      <c r="BP14" t="s">
        <v>74</v>
      </c>
      <c r="BQ14" t="s">
        <v>74</v>
      </c>
      <c r="BR14" t="s">
        <v>102</v>
      </c>
      <c r="BS14" t="s">
        <v>409</v>
      </c>
      <c r="BT14" t="str">
        <f>HYPERLINK("https%3A%2F%2Fwww.webofscience.com%2Fwos%2Fwoscc%2Ffull-record%2FWOS:000680330900004","View Full Record in Web of Science")</f>
        <v>View Full Record in Web of Science</v>
      </c>
    </row>
    <row r="15" spans="1:72" x14ac:dyDescent="0.15">
      <c r="A15" t="s">
        <v>72</v>
      </c>
      <c r="B15" t="s">
        <v>410</v>
      </c>
      <c r="C15" t="s">
        <v>74</v>
      </c>
      <c r="D15" t="s">
        <v>74</v>
      </c>
      <c r="E15" t="s">
        <v>74</v>
      </c>
      <c r="F15" t="s">
        <v>411</v>
      </c>
      <c r="G15" t="s">
        <v>74</v>
      </c>
      <c r="H15" t="s">
        <v>74</v>
      </c>
      <c r="I15" t="s">
        <v>412</v>
      </c>
      <c r="J15" t="s">
        <v>413</v>
      </c>
      <c r="K15" t="s">
        <v>74</v>
      </c>
      <c r="L15" t="s">
        <v>74</v>
      </c>
      <c r="M15" t="s">
        <v>78</v>
      </c>
      <c r="N15" t="s">
        <v>79</v>
      </c>
      <c r="O15" t="s">
        <v>74</v>
      </c>
      <c r="P15" t="s">
        <v>74</v>
      </c>
      <c r="Q15" t="s">
        <v>74</v>
      </c>
      <c r="R15" t="s">
        <v>74</v>
      </c>
      <c r="S15" t="s">
        <v>74</v>
      </c>
      <c r="T15" t="s">
        <v>414</v>
      </c>
      <c r="U15" t="s">
        <v>415</v>
      </c>
      <c r="V15" t="s">
        <v>416</v>
      </c>
      <c r="W15" t="s">
        <v>417</v>
      </c>
      <c r="X15" t="s">
        <v>418</v>
      </c>
      <c r="Y15" t="s">
        <v>419</v>
      </c>
      <c r="Z15" t="s">
        <v>420</v>
      </c>
      <c r="AA15" t="s">
        <v>421</v>
      </c>
      <c r="AB15" t="s">
        <v>422</v>
      </c>
      <c r="AC15" t="s">
        <v>423</v>
      </c>
      <c r="AD15" t="s">
        <v>424</v>
      </c>
      <c r="AE15" t="s">
        <v>425</v>
      </c>
      <c r="AF15" t="s">
        <v>74</v>
      </c>
      <c r="AG15">
        <v>117</v>
      </c>
      <c r="AH15">
        <v>0</v>
      </c>
      <c r="AI15">
        <v>0</v>
      </c>
      <c r="AJ15">
        <v>1</v>
      </c>
      <c r="AK15">
        <v>5</v>
      </c>
      <c r="AL15" t="s">
        <v>197</v>
      </c>
      <c r="AM15" t="s">
        <v>198</v>
      </c>
      <c r="AN15" t="s">
        <v>199</v>
      </c>
      <c r="AO15" t="s">
        <v>426</v>
      </c>
      <c r="AP15" t="s">
        <v>427</v>
      </c>
      <c r="AQ15" t="s">
        <v>74</v>
      </c>
      <c r="AR15" t="s">
        <v>428</v>
      </c>
      <c r="AS15" t="s">
        <v>429</v>
      </c>
      <c r="AT15" t="s">
        <v>430</v>
      </c>
      <c r="AU15">
        <v>2022</v>
      </c>
      <c r="AV15">
        <v>37</v>
      </c>
      <c r="AW15">
        <v>5</v>
      </c>
      <c r="AX15" t="s">
        <v>74</v>
      </c>
      <c r="AY15" t="s">
        <v>74</v>
      </c>
      <c r="AZ15" t="s">
        <v>431</v>
      </c>
      <c r="BA15" t="s">
        <v>74</v>
      </c>
      <c r="BB15">
        <v>745</v>
      </c>
      <c r="BC15">
        <v>764</v>
      </c>
      <c r="BD15" t="s">
        <v>74</v>
      </c>
      <c r="BE15" t="s">
        <v>432</v>
      </c>
      <c r="BF15" t="str">
        <f>HYPERLINK("http://dx.doi.org/10.1002/jqs.3353","http://dx.doi.org/10.1002/jqs.3353")</f>
        <v>http://dx.doi.org/10.1002/jqs.3353</v>
      </c>
      <c r="BG15" t="s">
        <v>74</v>
      </c>
      <c r="BH15" t="s">
        <v>98</v>
      </c>
      <c r="BI15">
        <v>20</v>
      </c>
      <c r="BJ15" t="s">
        <v>151</v>
      </c>
      <c r="BK15" t="s">
        <v>128</v>
      </c>
      <c r="BL15" t="s">
        <v>152</v>
      </c>
      <c r="BM15" t="s">
        <v>433</v>
      </c>
      <c r="BN15" t="s">
        <v>74</v>
      </c>
      <c r="BO15" t="s">
        <v>291</v>
      </c>
      <c r="BP15" t="s">
        <v>74</v>
      </c>
      <c r="BQ15" t="s">
        <v>74</v>
      </c>
      <c r="BR15" t="s">
        <v>102</v>
      </c>
      <c r="BS15" t="s">
        <v>434</v>
      </c>
      <c r="BT15" t="str">
        <f>HYPERLINK("https%3A%2F%2Fwww.webofscience.com%2Fwos%2Fwoscc%2Ffull-record%2FWOS:000680102500001","View Full Record in Web of Science")</f>
        <v>View Full Record in Web of Science</v>
      </c>
    </row>
    <row r="16" spans="1:72" x14ac:dyDescent="0.15">
      <c r="A16" t="s">
        <v>72</v>
      </c>
      <c r="B16" t="s">
        <v>435</v>
      </c>
      <c r="C16" t="s">
        <v>74</v>
      </c>
      <c r="D16" t="s">
        <v>74</v>
      </c>
      <c r="E16" t="s">
        <v>74</v>
      </c>
      <c r="F16" t="s">
        <v>436</v>
      </c>
      <c r="G16" t="s">
        <v>74</v>
      </c>
      <c r="H16" t="s">
        <v>74</v>
      </c>
      <c r="I16" t="s">
        <v>437</v>
      </c>
      <c r="J16" t="s">
        <v>438</v>
      </c>
      <c r="K16" t="s">
        <v>74</v>
      </c>
      <c r="L16" t="s">
        <v>74</v>
      </c>
      <c r="M16" t="s">
        <v>78</v>
      </c>
      <c r="N16" t="s">
        <v>79</v>
      </c>
      <c r="O16" t="s">
        <v>74</v>
      </c>
      <c r="P16" t="s">
        <v>74</v>
      </c>
      <c r="Q16" t="s">
        <v>74</v>
      </c>
      <c r="R16" t="s">
        <v>74</v>
      </c>
      <c r="S16" t="s">
        <v>74</v>
      </c>
      <c r="T16" t="s">
        <v>439</v>
      </c>
      <c r="U16" t="s">
        <v>440</v>
      </c>
      <c r="V16" t="s">
        <v>441</v>
      </c>
      <c r="W16" t="s">
        <v>442</v>
      </c>
      <c r="X16" t="s">
        <v>443</v>
      </c>
      <c r="Y16" t="s">
        <v>444</v>
      </c>
      <c r="Z16" t="s">
        <v>445</v>
      </c>
      <c r="AA16" t="s">
        <v>446</v>
      </c>
      <c r="AB16" t="s">
        <v>447</v>
      </c>
      <c r="AC16" t="s">
        <v>448</v>
      </c>
      <c r="AD16" t="s">
        <v>448</v>
      </c>
      <c r="AE16" t="s">
        <v>449</v>
      </c>
      <c r="AF16" t="s">
        <v>74</v>
      </c>
      <c r="AG16">
        <v>104</v>
      </c>
      <c r="AH16">
        <v>22</v>
      </c>
      <c r="AI16">
        <v>22</v>
      </c>
      <c r="AJ16">
        <v>15</v>
      </c>
      <c r="AK16">
        <v>92</v>
      </c>
      <c r="AL16" t="s">
        <v>450</v>
      </c>
      <c r="AM16" t="s">
        <v>451</v>
      </c>
      <c r="AN16" t="s">
        <v>452</v>
      </c>
      <c r="AO16" t="s">
        <v>453</v>
      </c>
      <c r="AP16" t="s">
        <v>454</v>
      </c>
      <c r="AQ16" t="s">
        <v>74</v>
      </c>
      <c r="AR16" t="s">
        <v>455</v>
      </c>
      <c r="AS16" t="s">
        <v>456</v>
      </c>
      <c r="AT16" t="s">
        <v>457</v>
      </c>
      <c r="AU16">
        <v>2022</v>
      </c>
      <c r="AV16">
        <v>32</v>
      </c>
      <c r="AW16">
        <v>1</v>
      </c>
      <c r="AX16" t="s">
        <v>74</v>
      </c>
      <c r="AY16" t="s">
        <v>74</v>
      </c>
      <c r="AZ16" t="s">
        <v>431</v>
      </c>
      <c r="BA16" t="s">
        <v>74</v>
      </c>
      <c r="BB16">
        <v>145</v>
      </c>
      <c r="BC16">
        <v>160</v>
      </c>
      <c r="BD16" t="s">
        <v>74</v>
      </c>
      <c r="BE16" t="s">
        <v>458</v>
      </c>
      <c r="BF16" t="str">
        <f>HYPERLINK("http://dx.doi.org/10.1007/s11160-021-09674-8","http://dx.doi.org/10.1007/s11160-021-09674-8")</f>
        <v>http://dx.doi.org/10.1007/s11160-021-09674-8</v>
      </c>
      <c r="BG16" t="s">
        <v>74</v>
      </c>
      <c r="BH16" t="s">
        <v>98</v>
      </c>
      <c r="BI16">
        <v>16</v>
      </c>
      <c r="BJ16" t="s">
        <v>459</v>
      </c>
      <c r="BK16" t="s">
        <v>100</v>
      </c>
      <c r="BL16" t="s">
        <v>459</v>
      </c>
      <c r="BM16" t="s">
        <v>460</v>
      </c>
      <c r="BN16">
        <v>34366578</v>
      </c>
      <c r="BO16" t="s">
        <v>461</v>
      </c>
      <c r="BP16" t="s">
        <v>74</v>
      </c>
      <c r="BQ16" t="s">
        <v>74</v>
      </c>
      <c r="BR16" t="s">
        <v>102</v>
      </c>
      <c r="BS16" t="s">
        <v>462</v>
      </c>
      <c r="BT16" t="str">
        <f>HYPERLINK("https%3A%2F%2Fwww.webofscience.com%2Fwos%2Fwoscc%2Ffull-record%2FWOS:000680289100001","View Full Record in Web of Science")</f>
        <v>View Full Record in Web of Science</v>
      </c>
    </row>
    <row r="17" spans="1:72" x14ac:dyDescent="0.15">
      <c r="A17" t="s">
        <v>72</v>
      </c>
      <c r="B17" t="s">
        <v>463</v>
      </c>
      <c r="C17" t="s">
        <v>74</v>
      </c>
      <c r="D17" t="s">
        <v>74</v>
      </c>
      <c r="E17" t="s">
        <v>74</v>
      </c>
      <c r="F17" t="s">
        <v>464</v>
      </c>
      <c r="G17" t="s">
        <v>74</v>
      </c>
      <c r="H17" t="s">
        <v>74</v>
      </c>
      <c r="I17" t="s">
        <v>465</v>
      </c>
      <c r="J17" t="s">
        <v>466</v>
      </c>
      <c r="K17" t="s">
        <v>74</v>
      </c>
      <c r="L17" t="s">
        <v>74</v>
      </c>
      <c r="M17" t="s">
        <v>78</v>
      </c>
      <c r="N17" t="s">
        <v>79</v>
      </c>
      <c r="O17" t="s">
        <v>74</v>
      </c>
      <c r="P17" t="s">
        <v>74</v>
      </c>
      <c r="Q17" t="s">
        <v>74</v>
      </c>
      <c r="R17" t="s">
        <v>74</v>
      </c>
      <c r="S17" t="s">
        <v>74</v>
      </c>
      <c r="T17" t="s">
        <v>467</v>
      </c>
      <c r="U17" t="s">
        <v>468</v>
      </c>
      <c r="V17" t="s">
        <v>469</v>
      </c>
      <c r="W17" t="s">
        <v>470</v>
      </c>
      <c r="X17" t="s">
        <v>471</v>
      </c>
      <c r="Y17" t="s">
        <v>472</v>
      </c>
      <c r="Z17" t="s">
        <v>473</v>
      </c>
      <c r="AA17" t="s">
        <v>474</v>
      </c>
      <c r="AB17" t="s">
        <v>475</v>
      </c>
      <c r="AC17" t="s">
        <v>476</v>
      </c>
      <c r="AD17" t="s">
        <v>476</v>
      </c>
      <c r="AE17" t="s">
        <v>477</v>
      </c>
      <c r="AF17" t="s">
        <v>74</v>
      </c>
      <c r="AG17">
        <v>61</v>
      </c>
      <c r="AH17">
        <v>50</v>
      </c>
      <c r="AI17">
        <v>55</v>
      </c>
      <c r="AJ17">
        <v>3</v>
      </c>
      <c r="AK17">
        <v>21</v>
      </c>
      <c r="AL17" t="s">
        <v>197</v>
      </c>
      <c r="AM17" t="s">
        <v>198</v>
      </c>
      <c r="AN17" t="s">
        <v>199</v>
      </c>
      <c r="AO17" t="s">
        <v>478</v>
      </c>
      <c r="AP17" t="s">
        <v>74</v>
      </c>
      <c r="AQ17" t="s">
        <v>74</v>
      </c>
      <c r="AR17" t="s">
        <v>479</v>
      </c>
      <c r="AS17" t="s">
        <v>480</v>
      </c>
      <c r="AT17" t="s">
        <v>402</v>
      </c>
      <c r="AU17">
        <v>2021</v>
      </c>
      <c r="AV17">
        <v>14</v>
      </c>
      <c r="AW17">
        <v>5</v>
      </c>
      <c r="AX17" t="s">
        <v>74</v>
      </c>
      <c r="AY17" t="s">
        <v>74</v>
      </c>
      <c r="AZ17" t="s">
        <v>74</v>
      </c>
      <c r="BA17" t="s">
        <v>74</v>
      </c>
      <c r="BB17" t="s">
        <v>74</v>
      </c>
      <c r="BC17" t="s">
        <v>74</v>
      </c>
      <c r="BD17" t="s">
        <v>481</v>
      </c>
      <c r="BE17" t="s">
        <v>482</v>
      </c>
      <c r="BF17" t="str">
        <f>HYPERLINK("http://dx.doi.org/10.1111/conl.12824","http://dx.doi.org/10.1111/conl.12824")</f>
        <v>http://dx.doi.org/10.1111/conl.12824</v>
      </c>
      <c r="BG17" t="s">
        <v>74</v>
      </c>
      <c r="BH17" t="s">
        <v>98</v>
      </c>
      <c r="BI17">
        <v>14</v>
      </c>
      <c r="BJ17" t="s">
        <v>483</v>
      </c>
      <c r="BK17" t="s">
        <v>128</v>
      </c>
      <c r="BL17" t="s">
        <v>484</v>
      </c>
      <c r="BM17" t="s">
        <v>485</v>
      </c>
      <c r="BN17" t="s">
        <v>74</v>
      </c>
      <c r="BO17" t="s">
        <v>486</v>
      </c>
      <c r="BP17" t="s">
        <v>74</v>
      </c>
      <c r="BQ17" t="s">
        <v>74</v>
      </c>
      <c r="BR17" t="s">
        <v>102</v>
      </c>
      <c r="BS17" t="s">
        <v>487</v>
      </c>
      <c r="BT17" t="str">
        <f>HYPERLINK("https%3A%2F%2Fwww.webofscience.com%2Fwos%2Fwoscc%2Ffull-record%2FWOS:000680139100001","View Full Record in Web of Science")</f>
        <v>View Full Record in Web of Science</v>
      </c>
    </row>
    <row r="18" spans="1:72" x14ac:dyDescent="0.15">
      <c r="A18" t="s">
        <v>72</v>
      </c>
      <c r="B18" t="s">
        <v>488</v>
      </c>
      <c r="C18" t="s">
        <v>74</v>
      </c>
      <c r="D18" t="s">
        <v>74</v>
      </c>
      <c r="E18" t="s">
        <v>74</v>
      </c>
      <c r="F18" t="s">
        <v>489</v>
      </c>
      <c r="G18" t="s">
        <v>74</v>
      </c>
      <c r="H18" t="s">
        <v>74</v>
      </c>
      <c r="I18" t="s">
        <v>490</v>
      </c>
      <c r="J18" t="s">
        <v>491</v>
      </c>
      <c r="K18" t="s">
        <v>74</v>
      </c>
      <c r="L18" t="s">
        <v>74</v>
      </c>
      <c r="M18" t="s">
        <v>78</v>
      </c>
      <c r="N18" t="s">
        <v>79</v>
      </c>
      <c r="O18" t="s">
        <v>74</v>
      </c>
      <c r="P18" t="s">
        <v>74</v>
      </c>
      <c r="Q18" t="s">
        <v>74</v>
      </c>
      <c r="R18" t="s">
        <v>74</v>
      </c>
      <c r="S18" t="s">
        <v>74</v>
      </c>
      <c r="T18" t="s">
        <v>492</v>
      </c>
      <c r="U18" t="s">
        <v>493</v>
      </c>
      <c r="V18" t="s">
        <v>494</v>
      </c>
      <c r="W18" t="s">
        <v>495</v>
      </c>
      <c r="X18" t="s">
        <v>496</v>
      </c>
      <c r="Y18" t="s">
        <v>497</v>
      </c>
      <c r="Z18" t="s">
        <v>498</v>
      </c>
      <c r="AA18" t="s">
        <v>499</v>
      </c>
      <c r="AB18" t="s">
        <v>500</v>
      </c>
      <c r="AC18" t="s">
        <v>501</v>
      </c>
      <c r="AD18" t="s">
        <v>502</v>
      </c>
      <c r="AE18" t="s">
        <v>503</v>
      </c>
      <c r="AF18" t="s">
        <v>74</v>
      </c>
      <c r="AG18">
        <v>71</v>
      </c>
      <c r="AH18">
        <v>4</v>
      </c>
      <c r="AI18">
        <v>5</v>
      </c>
      <c r="AJ18">
        <v>1</v>
      </c>
      <c r="AK18">
        <v>13</v>
      </c>
      <c r="AL18" t="s">
        <v>504</v>
      </c>
      <c r="AM18" t="s">
        <v>368</v>
      </c>
      <c r="AN18" t="s">
        <v>505</v>
      </c>
      <c r="AO18" t="s">
        <v>506</v>
      </c>
      <c r="AP18" t="s">
        <v>507</v>
      </c>
      <c r="AQ18" t="s">
        <v>74</v>
      </c>
      <c r="AR18" t="s">
        <v>508</v>
      </c>
      <c r="AS18" t="s">
        <v>509</v>
      </c>
      <c r="AT18" t="s">
        <v>308</v>
      </c>
      <c r="AU18">
        <v>2021</v>
      </c>
      <c r="AV18">
        <v>376</v>
      </c>
      <c r="AW18">
        <v>1830</v>
      </c>
      <c r="AX18" t="s">
        <v>74</v>
      </c>
      <c r="AY18" t="s">
        <v>74</v>
      </c>
      <c r="AZ18" t="s">
        <v>74</v>
      </c>
      <c r="BA18" t="s">
        <v>74</v>
      </c>
      <c r="BB18" t="s">
        <v>74</v>
      </c>
      <c r="BC18" t="s">
        <v>74</v>
      </c>
      <c r="BD18">
        <v>20200219</v>
      </c>
      <c r="BE18" t="s">
        <v>510</v>
      </c>
      <c r="BF18" t="str">
        <f>HYPERLINK("http://dx.doi.org/10.1098/rstb.2020.0219","http://dx.doi.org/10.1098/rstb.2020.0219")</f>
        <v>http://dx.doi.org/10.1098/rstb.2020.0219</v>
      </c>
      <c r="BG18" t="s">
        <v>74</v>
      </c>
      <c r="BH18" t="s">
        <v>74</v>
      </c>
      <c r="BI18">
        <v>11</v>
      </c>
      <c r="BJ18" t="s">
        <v>511</v>
      </c>
      <c r="BK18" t="s">
        <v>128</v>
      </c>
      <c r="BL18" t="s">
        <v>512</v>
      </c>
      <c r="BM18" t="s">
        <v>513</v>
      </c>
      <c r="BN18">
        <v>34121462</v>
      </c>
      <c r="BO18" t="s">
        <v>514</v>
      </c>
      <c r="BP18" t="s">
        <v>74</v>
      </c>
      <c r="BQ18" t="s">
        <v>74</v>
      </c>
      <c r="BR18" t="s">
        <v>102</v>
      </c>
      <c r="BS18" t="s">
        <v>515</v>
      </c>
      <c r="BT18" t="str">
        <f>HYPERLINK("https%3A%2F%2Fwww.webofscience.com%2Fwos%2Fwoscc%2Ffull-record%2FWOS:000663556900003","View Full Record in Web of Science")</f>
        <v>View Full Record in Web of Science</v>
      </c>
    </row>
    <row r="19" spans="1:72" x14ac:dyDescent="0.15">
      <c r="A19" t="s">
        <v>72</v>
      </c>
      <c r="B19" t="s">
        <v>516</v>
      </c>
      <c r="C19" t="s">
        <v>74</v>
      </c>
      <c r="D19" t="s">
        <v>74</v>
      </c>
      <c r="E19" t="s">
        <v>74</v>
      </c>
      <c r="F19" t="s">
        <v>517</v>
      </c>
      <c r="G19" t="s">
        <v>74</v>
      </c>
      <c r="H19" t="s">
        <v>74</v>
      </c>
      <c r="I19" t="s">
        <v>518</v>
      </c>
      <c r="J19" t="s">
        <v>519</v>
      </c>
      <c r="K19" t="s">
        <v>74</v>
      </c>
      <c r="L19" t="s">
        <v>74</v>
      </c>
      <c r="M19" t="s">
        <v>78</v>
      </c>
      <c r="N19" t="s">
        <v>52</v>
      </c>
      <c r="O19" t="s">
        <v>74</v>
      </c>
      <c r="P19" t="s">
        <v>74</v>
      </c>
      <c r="Q19" t="s">
        <v>74</v>
      </c>
      <c r="R19" t="s">
        <v>74</v>
      </c>
      <c r="S19" t="s">
        <v>74</v>
      </c>
      <c r="T19" t="s">
        <v>520</v>
      </c>
      <c r="U19" t="s">
        <v>521</v>
      </c>
      <c r="V19" t="s">
        <v>74</v>
      </c>
      <c r="W19" t="s">
        <v>522</v>
      </c>
      <c r="X19" t="s">
        <v>523</v>
      </c>
      <c r="Y19" t="s">
        <v>74</v>
      </c>
      <c r="Z19" t="s">
        <v>524</v>
      </c>
      <c r="AA19" t="s">
        <v>525</v>
      </c>
      <c r="AB19" t="s">
        <v>74</v>
      </c>
      <c r="AC19" t="s">
        <v>526</v>
      </c>
      <c r="AD19" t="s">
        <v>527</v>
      </c>
      <c r="AE19" t="s">
        <v>528</v>
      </c>
      <c r="AF19" t="s">
        <v>74</v>
      </c>
      <c r="AG19">
        <v>6</v>
      </c>
      <c r="AH19">
        <v>0</v>
      </c>
      <c r="AI19">
        <v>0</v>
      </c>
      <c r="AJ19">
        <v>0</v>
      </c>
      <c r="AK19">
        <v>1</v>
      </c>
      <c r="AL19" t="s">
        <v>529</v>
      </c>
      <c r="AM19" t="s">
        <v>530</v>
      </c>
      <c r="AN19" t="s">
        <v>531</v>
      </c>
      <c r="AO19" t="s">
        <v>532</v>
      </c>
      <c r="AP19" t="s">
        <v>74</v>
      </c>
      <c r="AQ19" t="s">
        <v>74</v>
      </c>
      <c r="AR19" t="s">
        <v>533</v>
      </c>
      <c r="AS19" t="s">
        <v>534</v>
      </c>
      <c r="AT19" t="s">
        <v>535</v>
      </c>
      <c r="AU19">
        <v>2021</v>
      </c>
      <c r="AV19">
        <v>77</v>
      </c>
      <c r="AW19" t="s">
        <v>74</v>
      </c>
      <c r="AX19" t="s">
        <v>74</v>
      </c>
      <c r="AY19" t="s">
        <v>536</v>
      </c>
      <c r="AZ19" t="s">
        <v>74</v>
      </c>
      <c r="BA19" t="s">
        <v>537</v>
      </c>
      <c r="BB19" t="s">
        <v>538</v>
      </c>
      <c r="BC19" t="s">
        <v>538</v>
      </c>
      <c r="BD19" t="s">
        <v>74</v>
      </c>
      <c r="BE19" t="s">
        <v>74</v>
      </c>
      <c r="BF19" t="s">
        <v>74</v>
      </c>
      <c r="BG19" t="s">
        <v>74</v>
      </c>
      <c r="BH19" t="s">
        <v>74</v>
      </c>
      <c r="BI19">
        <v>1</v>
      </c>
      <c r="BJ19" t="s">
        <v>539</v>
      </c>
      <c r="BK19" t="s">
        <v>128</v>
      </c>
      <c r="BL19" t="s">
        <v>540</v>
      </c>
      <c r="BM19" t="s">
        <v>541</v>
      </c>
      <c r="BN19" t="s">
        <v>74</v>
      </c>
      <c r="BO19" t="s">
        <v>74</v>
      </c>
      <c r="BP19" t="s">
        <v>74</v>
      </c>
      <c r="BQ19" t="s">
        <v>74</v>
      </c>
      <c r="BR19" t="s">
        <v>102</v>
      </c>
      <c r="BS19" t="s">
        <v>542</v>
      </c>
      <c r="BT19" t="str">
        <f>HYPERLINK("https%3A%2F%2Fwww.webofscience.com%2Fwos%2Fwoscc%2Ffull-record%2FWOS:000761714400771","View Full Record in Web of Science")</f>
        <v>View Full Record in Web of Science</v>
      </c>
    </row>
    <row r="20" spans="1:72" x14ac:dyDescent="0.15">
      <c r="A20" t="s">
        <v>72</v>
      </c>
      <c r="B20" t="s">
        <v>543</v>
      </c>
      <c r="C20" t="s">
        <v>74</v>
      </c>
      <c r="D20" t="s">
        <v>74</v>
      </c>
      <c r="E20" t="s">
        <v>74</v>
      </c>
      <c r="F20" t="s">
        <v>544</v>
      </c>
      <c r="G20" t="s">
        <v>74</v>
      </c>
      <c r="H20" t="s">
        <v>74</v>
      </c>
      <c r="I20" t="s">
        <v>545</v>
      </c>
      <c r="J20" t="s">
        <v>546</v>
      </c>
      <c r="K20" t="s">
        <v>74</v>
      </c>
      <c r="L20" t="s">
        <v>74</v>
      </c>
      <c r="M20" t="s">
        <v>78</v>
      </c>
      <c r="N20" t="s">
        <v>79</v>
      </c>
      <c r="O20" t="s">
        <v>74</v>
      </c>
      <c r="P20" t="s">
        <v>74</v>
      </c>
      <c r="Q20" t="s">
        <v>74</v>
      </c>
      <c r="R20" t="s">
        <v>74</v>
      </c>
      <c r="S20" t="s">
        <v>74</v>
      </c>
      <c r="T20" t="s">
        <v>74</v>
      </c>
      <c r="U20" t="s">
        <v>547</v>
      </c>
      <c r="V20" t="s">
        <v>74</v>
      </c>
      <c r="W20" t="s">
        <v>548</v>
      </c>
      <c r="X20" t="s">
        <v>549</v>
      </c>
      <c r="Y20" t="s">
        <v>550</v>
      </c>
      <c r="Z20" t="s">
        <v>551</v>
      </c>
      <c r="AA20" t="s">
        <v>552</v>
      </c>
      <c r="AB20" t="s">
        <v>553</v>
      </c>
      <c r="AC20" t="s">
        <v>554</v>
      </c>
      <c r="AD20" t="s">
        <v>555</v>
      </c>
      <c r="AE20" t="s">
        <v>556</v>
      </c>
      <c r="AF20" t="s">
        <v>74</v>
      </c>
      <c r="AG20">
        <v>500</v>
      </c>
      <c r="AH20">
        <v>20</v>
      </c>
      <c r="AI20">
        <v>20</v>
      </c>
      <c r="AJ20">
        <v>5</v>
      </c>
      <c r="AK20">
        <v>46</v>
      </c>
      <c r="AL20" t="s">
        <v>557</v>
      </c>
      <c r="AM20" t="s">
        <v>558</v>
      </c>
      <c r="AN20" t="s">
        <v>559</v>
      </c>
      <c r="AO20" t="s">
        <v>560</v>
      </c>
      <c r="AP20" t="s">
        <v>561</v>
      </c>
      <c r="AQ20" t="s">
        <v>74</v>
      </c>
      <c r="AR20" t="s">
        <v>562</v>
      </c>
      <c r="AS20" t="s">
        <v>563</v>
      </c>
      <c r="AT20" t="s">
        <v>535</v>
      </c>
      <c r="AU20">
        <v>2021</v>
      </c>
      <c r="AV20">
        <v>102</v>
      </c>
      <c r="AW20">
        <v>8</v>
      </c>
      <c r="AX20" t="s">
        <v>74</v>
      </c>
      <c r="AY20" t="s">
        <v>74</v>
      </c>
      <c r="AZ20" t="s">
        <v>74</v>
      </c>
      <c r="BA20" t="s">
        <v>74</v>
      </c>
      <c r="BB20" t="s">
        <v>564</v>
      </c>
      <c r="BC20" t="s">
        <v>565</v>
      </c>
      <c r="BD20" t="s">
        <v>74</v>
      </c>
      <c r="BE20" t="s">
        <v>566</v>
      </c>
      <c r="BF20" t="str">
        <f>HYPERLINK("http://dx.doi.org/10.1175/BAMS-D-21-0098.1","http://dx.doi.org/10.1175/BAMS-D-21-0098.1")</f>
        <v>http://dx.doi.org/10.1175/BAMS-D-21-0098.1</v>
      </c>
      <c r="BG20" t="s">
        <v>74</v>
      </c>
      <c r="BH20" t="s">
        <v>74</v>
      </c>
      <c r="BI20">
        <v>131</v>
      </c>
      <c r="BJ20" t="s">
        <v>567</v>
      </c>
      <c r="BK20" t="s">
        <v>128</v>
      </c>
      <c r="BL20" t="s">
        <v>567</v>
      </c>
      <c r="BM20" t="s">
        <v>568</v>
      </c>
      <c r="BN20" t="s">
        <v>74</v>
      </c>
      <c r="BO20" t="s">
        <v>569</v>
      </c>
      <c r="BP20" t="s">
        <v>74</v>
      </c>
      <c r="BQ20" t="s">
        <v>74</v>
      </c>
      <c r="BR20" t="s">
        <v>102</v>
      </c>
      <c r="BS20" t="s">
        <v>570</v>
      </c>
      <c r="BT20" t="str">
        <f>HYPERLINK("https%3A%2F%2Fwww.webofscience.com%2Fwos%2Fwoscc%2Ffull-record%2FWOS:000757143800002","View Full Record in Web of Science")</f>
        <v>View Full Record in Web of Science</v>
      </c>
    </row>
    <row r="21" spans="1:72" x14ac:dyDescent="0.15">
      <c r="A21" t="s">
        <v>72</v>
      </c>
      <c r="B21" t="s">
        <v>571</v>
      </c>
      <c r="C21" t="s">
        <v>74</v>
      </c>
      <c r="D21" t="s">
        <v>74</v>
      </c>
      <c r="E21" t="s">
        <v>74</v>
      </c>
      <c r="F21" t="s">
        <v>572</v>
      </c>
      <c r="G21" t="s">
        <v>74</v>
      </c>
      <c r="H21" t="s">
        <v>74</v>
      </c>
      <c r="I21" t="s">
        <v>573</v>
      </c>
      <c r="J21" t="s">
        <v>546</v>
      </c>
      <c r="K21" t="s">
        <v>74</v>
      </c>
      <c r="L21" t="s">
        <v>74</v>
      </c>
      <c r="M21" t="s">
        <v>78</v>
      </c>
      <c r="N21" t="s">
        <v>79</v>
      </c>
      <c r="O21" t="s">
        <v>74</v>
      </c>
      <c r="P21" t="s">
        <v>74</v>
      </c>
      <c r="Q21" t="s">
        <v>74</v>
      </c>
      <c r="R21" t="s">
        <v>74</v>
      </c>
      <c r="S21" t="s">
        <v>74</v>
      </c>
      <c r="T21" t="s">
        <v>74</v>
      </c>
      <c r="U21" t="s">
        <v>574</v>
      </c>
      <c r="V21" t="s">
        <v>74</v>
      </c>
      <c r="W21" t="s">
        <v>575</v>
      </c>
      <c r="X21" t="s">
        <v>576</v>
      </c>
      <c r="Y21" t="s">
        <v>577</v>
      </c>
      <c r="Z21" t="s">
        <v>578</v>
      </c>
      <c r="AA21" t="s">
        <v>579</v>
      </c>
      <c r="AB21" t="s">
        <v>580</v>
      </c>
      <c r="AC21" t="s">
        <v>581</v>
      </c>
      <c r="AD21" t="s">
        <v>582</v>
      </c>
      <c r="AE21" t="s">
        <v>583</v>
      </c>
      <c r="AF21" t="s">
        <v>74</v>
      </c>
      <c r="AG21">
        <v>138</v>
      </c>
      <c r="AH21">
        <v>6</v>
      </c>
      <c r="AI21">
        <v>9</v>
      </c>
      <c r="AJ21">
        <v>0</v>
      </c>
      <c r="AK21">
        <v>15</v>
      </c>
      <c r="AL21" t="s">
        <v>557</v>
      </c>
      <c r="AM21" t="s">
        <v>558</v>
      </c>
      <c r="AN21" t="s">
        <v>584</v>
      </c>
      <c r="AO21" t="s">
        <v>560</v>
      </c>
      <c r="AP21" t="s">
        <v>561</v>
      </c>
      <c r="AQ21" t="s">
        <v>74</v>
      </c>
      <c r="AR21" t="s">
        <v>562</v>
      </c>
      <c r="AS21" t="s">
        <v>563</v>
      </c>
      <c r="AT21" t="s">
        <v>535</v>
      </c>
      <c r="AU21">
        <v>2021</v>
      </c>
      <c r="AV21">
        <v>102</v>
      </c>
      <c r="AW21">
        <v>8</v>
      </c>
      <c r="AX21" t="s">
        <v>74</v>
      </c>
      <c r="AY21" t="s">
        <v>74</v>
      </c>
      <c r="AZ21" t="s">
        <v>74</v>
      </c>
      <c r="BA21" t="s">
        <v>74</v>
      </c>
      <c r="BB21" t="s">
        <v>585</v>
      </c>
      <c r="BC21" t="s">
        <v>586</v>
      </c>
      <c r="BD21" t="s">
        <v>74</v>
      </c>
      <c r="BE21" t="s">
        <v>587</v>
      </c>
      <c r="BF21" t="str">
        <f>HYPERLINK("http://dx.doi.org/10.1175/BAMS-D-21-0081.1","http://dx.doi.org/10.1175/BAMS-D-21-0081.1")</f>
        <v>http://dx.doi.org/10.1175/BAMS-D-21-0081.1</v>
      </c>
      <c r="BG21" t="s">
        <v>74</v>
      </c>
      <c r="BH21" t="s">
        <v>74</v>
      </c>
      <c r="BI21">
        <v>39</v>
      </c>
      <c r="BJ21" t="s">
        <v>567</v>
      </c>
      <c r="BK21" t="s">
        <v>128</v>
      </c>
      <c r="BL21" t="s">
        <v>567</v>
      </c>
      <c r="BM21" t="s">
        <v>568</v>
      </c>
      <c r="BN21" t="s">
        <v>74</v>
      </c>
      <c r="BO21" t="s">
        <v>588</v>
      </c>
      <c r="BP21" t="s">
        <v>74</v>
      </c>
      <c r="BQ21" t="s">
        <v>74</v>
      </c>
      <c r="BR21" t="s">
        <v>102</v>
      </c>
      <c r="BS21" t="s">
        <v>589</v>
      </c>
      <c r="BT21" t="str">
        <f>HYPERLINK("https%3A%2F%2Fwww.webofscience.com%2Fwos%2Fwoscc%2Ffull-record%2FWOS:000757143800006","View Full Record in Web of Science")</f>
        <v>View Full Record in Web of Science</v>
      </c>
    </row>
    <row r="22" spans="1:72" x14ac:dyDescent="0.15">
      <c r="A22" t="s">
        <v>72</v>
      </c>
      <c r="B22" t="s">
        <v>590</v>
      </c>
      <c r="C22" t="s">
        <v>74</v>
      </c>
      <c r="D22" t="s">
        <v>74</v>
      </c>
      <c r="E22" t="s">
        <v>74</v>
      </c>
      <c r="F22" t="s">
        <v>591</v>
      </c>
      <c r="G22" t="s">
        <v>74</v>
      </c>
      <c r="H22" t="s">
        <v>74</v>
      </c>
      <c r="I22" t="s">
        <v>592</v>
      </c>
      <c r="J22" t="s">
        <v>593</v>
      </c>
      <c r="K22" t="s">
        <v>74</v>
      </c>
      <c r="L22" t="s">
        <v>74</v>
      </c>
      <c r="M22" t="s">
        <v>78</v>
      </c>
      <c r="N22" t="s">
        <v>79</v>
      </c>
      <c r="O22" t="s">
        <v>74</v>
      </c>
      <c r="P22" t="s">
        <v>74</v>
      </c>
      <c r="Q22" t="s">
        <v>74</v>
      </c>
      <c r="R22" t="s">
        <v>74</v>
      </c>
      <c r="S22" t="s">
        <v>74</v>
      </c>
      <c r="T22" t="s">
        <v>594</v>
      </c>
      <c r="U22" t="s">
        <v>595</v>
      </c>
      <c r="V22" t="s">
        <v>596</v>
      </c>
      <c r="W22" t="s">
        <v>597</v>
      </c>
      <c r="X22" t="s">
        <v>598</v>
      </c>
      <c r="Y22" t="s">
        <v>599</v>
      </c>
      <c r="Z22" t="s">
        <v>600</v>
      </c>
      <c r="AA22" t="s">
        <v>601</v>
      </c>
      <c r="AB22" t="s">
        <v>602</v>
      </c>
      <c r="AC22" t="s">
        <v>603</v>
      </c>
      <c r="AD22" t="s">
        <v>604</v>
      </c>
      <c r="AE22" t="s">
        <v>605</v>
      </c>
      <c r="AF22" t="s">
        <v>74</v>
      </c>
      <c r="AG22">
        <v>37</v>
      </c>
      <c r="AH22">
        <v>4</v>
      </c>
      <c r="AI22">
        <v>4</v>
      </c>
      <c r="AJ22">
        <v>1</v>
      </c>
      <c r="AK22">
        <v>6</v>
      </c>
      <c r="AL22" t="s">
        <v>557</v>
      </c>
      <c r="AM22" t="s">
        <v>558</v>
      </c>
      <c r="AN22" t="s">
        <v>584</v>
      </c>
      <c r="AO22" t="s">
        <v>606</v>
      </c>
      <c r="AP22" t="s">
        <v>607</v>
      </c>
      <c r="AQ22" t="s">
        <v>74</v>
      </c>
      <c r="AR22" t="s">
        <v>608</v>
      </c>
      <c r="AS22" t="s">
        <v>609</v>
      </c>
      <c r="AT22" t="s">
        <v>535</v>
      </c>
      <c r="AU22">
        <v>2021</v>
      </c>
      <c r="AV22">
        <v>22</v>
      </c>
      <c r="AW22">
        <v>8</v>
      </c>
      <c r="AX22" t="s">
        <v>74</v>
      </c>
      <c r="AY22" t="s">
        <v>74</v>
      </c>
      <c r="AZ22" t="s">
        <v>74</v>
      </c>
      <c r="BA22" t="s">
        <v>74</v>
      </c>
      <c r="BB22">
        <v>2193</v>
      </c>
      <c r="BC22">
        <v>2211</v>
      </c>
      <c r="BD22" t="s">
        <v>74</v>
      </c>
      <c r="BE22" t="s">
        <v>610</v>
      </c>
      <c r="BF22" t="str">
        <f>HYPERLINK("http://dx.doi.org/10.1175/JHM-D-20-0283.1","http://dx.doi.org/10.1175/JHM-D-20-0283.1")</f>
        <v>http://dx.doi.org/10.1175/JHM-D-20-0283.1</v>
      </c>
      <c r="BG22" t="s">
        <v>74</v>
      </c>
      <c r="BH22" t="s">
        <v>74</v>
      </c>
      <c r="BI22">
        <v>19</v>
      </c>
      <c r="BJ22" t="s">
        <v>567</v>
      </c>
      <c r="BK22" t="s">
        <v>128</v>
      </c>
      <c r="BL22" t="s">
        <v>567</v>
      </c>
      <c r="BM22" t="s">
        <v>611</v>
      </c>
      <c r="BN22" t="s">
        <v>74</v>
      </c>
      <c r="BO22" t="s">
        <v>612</v>
      </c>
      <c r="BP22" t="s">
        <v>74</v>
      </c>
      <c r="BQ22" t="s">
        <v>74</v>
      </c>
      <c r="BR22" t="s">
        <v>102</v>
      </c>
      <c r="BS22" t="s">
        <v>613</v>
      </c>
      <c r="BT22" t="str">
        <f>HYPERLINK("https%3A%2F%2Fwww.webofscience.com%2Fwos%2Fwoscc%2Ffull-record%2FWOS:000735971000013","View Full Record in Web of Science")</f>
        <v>View Full Record in Web of Science</v>
      </c>
    </row>
    <row r="23" spans="1:72" x14ac:dyDescent="0.15">
      <c r="A23" t="s">
        <v>72</v>
      </c>
      <c r="B23" t="s">
        <v>614</v>
      </c>
      <c r="C23" t="s">
        <v>74</v>
      </c>
      <c r="D23" t="s">
        <v>74</v>
      </c>
      <c r="E23" t="s">
        <v>74</v>
      </c>
      <c r="F23" t="s">
        <v>615</v>
      </c>
      <c r="G23" t="s">
        <v>74</v>
      </c>
      <c r="H23" t="s">
        <v>74</v>
      </c>
      <c r="I23" t="s">
        <v>616</v>
      </c>
      <c r="J23" t="s">
        <v>617</v>
      </c>
      <c r="K23" t="s">
        <v>74</v>
      </c>
      <c r="L23" t="s">
        <v>74</v>
      </c>
      <c r="M23" t="s">
        <v>78</v>
      </c>
      <c r="N23" t="s">
        <v>79</v>
      </c>
      <c r="O23" t="s">
        <v>74</v>
      </c>
      <c r="P23" t="s">
        <v>74</v>
      </c>
      <c r="Q23" t="s">
        <v>74</v>
      </c>
      <c r="R23" t="s">
        <v>74</v>
      </c>
      <c r="S23" t="s">
        <v>74</v>
      </c>
      <c r="T23" t="s">
        <v>618</v>
      </c>
      <c r="U23" t="s">
        <v>619</v>
      </c>
      <c r="V23" t="s">
        <v>620</v>
      </c>
      <c r="W23" t="s">
        <v>621</v>
      </c>
      <c r="X23" t="s">
        <v>622</v>
      </c>
      <c r="Y23" t="s">
        <v>623</v>
      </c>
      <c r="Z23" t="s">
        <v>624</v>
      </c>
      <c r="AA23" t="s">
        <v>74</v>
      </c>
      <c r="AB23" t="s">
        <v>74</v>
      </c>
      <c r="AC23" t="s">
        <v>625</v>
      </c>
      <c r="AD23" t="s">
        <v>626</v>
      </c>
      <c r="AE23" t="s">
        <v>627</v>
      </c>
      <c r="AF23" t="s">
        <v>74</v>
      </c>
      <c r="AG23">
        <v>56</v>
      </c>
      <c r="AH23">
        <v>6</v>
      </c>
      <c r="AI23">
        <v>7</v>
      </c>
      <c r="AJ23">
        <v>0</v>
      </c>
      <c r="AK23">
        <v>12</v>
      </c>
      <c r="AL23" t="s">
        <v>628</v>
      </c>
      <c r="AM23" t="s">
        <v>629</v>
      </c>
      <c r="AN23" t="s">
        <v>630</v>
      </c>
      <c r="AO23" t="s">
        <v>631</v>
      </c>
      <c r="AP23" t="s">
        <v>74</v>
      </c>
      <c r="AQ23" t="s">
        <v>74</v>
      </c>
      <c r="AR23" t="s">
        <v>632</v>
      </c>
      <c r="AS23" t="s">
        <v>633</v>
      </c>
      <c r="AT23" t="s">
        <v>535</v>
      </c>
      <c r="AU23">
        <v>2021</v>
      </c>
      <c r="AV23">
        <v>12</v>
      </c>
      <c r="AW23">
        <v>4</v>
      </c>
      <c r="AX23" t="s">
        <v>74</v>
      </c>
      <c r="AY23" t="s">
        <v>74</v>
      </c>
      <c r="AZ23" t="s">
        <v>431</v>
      </c>
      <c r="BA23" t="s">
        <v>74</v>
      </c>
      <c r="BB23">
        <v>508</v>
      </c>
      <c r="BC23">
        <v>516</v>
      </c>
      <c r="BD23" t="s">
        <v>74</v>
      </c>
      <c r="BE23" t="s">
        <v>634</v>
      </c>
      <c r="BF23" t="str">
        <f>HYPERLINK("http://dx.doi.org/10.1016/j.accre.2021.04.001","http://dx.doi.org/10.1016/j.accre.2021.04.001")</f>
        <v>http://dx.doi.org/10.1016/j.accre.2021.04.001</v>
      </c>
      <c r="BG23" t="s">
        <v>74</v>
      </c>
      <c r="BH23" t="s">
        <v>74</v>
      </c>
      <c r="BI23">
        <v>9</v>
      </c>
      <c r="BJ23" t="s">
        <v>635</v>
      </c>
      <c r="BK23" t="s">
        <v>128</v>
      </c>
      <c r="BL23" t="s">
        <v>636</v>
      </c>
      <c r="BM23" t="s">
        <v>637</v>
      </c>
      <c r="BN23" t="s">
        <v>74</v>
      </c>
      <c r="BO23" t="s">
        <v>638</v>
      </c>
      <c r="BP23" t="s">
        <v>74</v>
      </c>
      <c r="BQ23" t="s">
        <v>74</v>
      </c>
      <c r="BR23" t="s">
        <v>102</v>
      </c>
      <c r="BS23" t="s">
        <v>639</v>
      </c>
      <c r="BT23" t="str">
        <f>HYPERLINK("https%3A%2F%2Fwww.webofscience.com%2Fwos%2Fwoscc%2Ffull-record%2FWOS:000694050200008","View Full Record in Web of Science")</f>
        <v>View Full Record in Web of Science</v>
      </c>
    </row>
    <row r="24" spans="1:72" x14ac:dyDescent="0.15">
      <c r="A24" t="s">
        <v>72</v>
      </c>
      <c r="B24" t="s">
        <v>640</v>
      </c>
      <c r="C24" t="s">
        <v>74</v>
      </c>
      <c r="D24" t="s">
        <v>74</v>
      </c>
      <c r="E24" t="s">
        <v>74</v>
      </c>
      <c r="F24" t="s">
        <v>641</v>
      </c>
      <c r="G24" t="s">
        <v>74</v>
      </c>
      <c r="H24" t="s">
        <v>74</v>
      </c>
      <c r="I24" t="s">
        <v>642</v>
      </c>
      <c r="J24" t="s">
        <v>643</v>
      </c>
      <c r="K24" t="s">
        <v>74</v>
      </c>
      <c r="L24" t="s">
        <v>74</v>
      </c>
      <c r="M24" t="s">
        <v>78</v>
      </c>
      <c r="N24" t="s">
        <v>644</v>
      </c>
      <c r="O24" t="s">
        <v>74</v>
      </c>
      <c r="P24" t="s">
        <v>74</v>
      </c>
      <c r="Q24" t="s">
        <v>74</v>
      </c>
      <c r="R24" t="s">
        <v>74</v>
      </c>
      <c r="S24" t="s">
        <v>74</v>
      </c>
      <c r="T24" t="s">
        <v>74</v>
      </c>
      <c r="U24" t="s">
        <v>74</v>
      </c>
      <c r="V24" t="s">
        <v>74</v>
      </c>
      <c r="W24" t="s">
        <v>645</v>
      </c>
      <c r="X24" t="s">
        <v>646</v>
      </c>
      <c r="Y24" t="s">
        <v>647</v>
      </c>
      <c r="Z24" t="s">
        <v>74</v>
      </c>
      <c r="AA24" t="s">
        <v>648</v>
      </c>
      <c r="AB24" t="s">
        <v>74</v>
      </c>
      <c r="AC24" t="s">
        <v>74</v>
      </c>
      <c r="AD24" t="s">
        <v>74</v>
      </c>
      <c r="AE24" t="s">
        <v>74</v>
      </c>
      <c r="AF24" t="s">
        <v>74</v>
      </c>
      <c r="AG24">
        <v>0</v>
      </c>
      <c r="AH24">
        <v>0</v>
      </c>
      <c r="AI24">
        <v>0</v>
      </c>
      <c r="AJ24">
        <v>0</v>
      </c>
      <c r="AK24">
        <v>5</v>
      </c>
      <c r="AL24" t="s">
        <v>649</v>
      </c>
      <c r="AM24" t="s">
        <v>650</v>
      </c>
      <c r="AN24" t="s">
        <v>651</v>
      </c>
      <c r="AO24" t="s">
        <v>652</v>
      </c>
      <c r="AP24" t="s">
        <v>653</v>
      </c>
      <c r="AQ24" t="s">
        <v>74</v>
      </c>
      <c r="AR24" t="s">
        <v>654</v>
      </c>
      <c r="AS24" t="s">
        <v>655</v>
      </c>
      <c r="AT24" t="s">
        <v>535</v>
      </c>
      <c r="AU24">
        <v>2021</v>
      </c>
      <c r="AV24">
        <v>33</v>
      </c>
      <c r="AW24">
        <v>4</v>
      </c>
      <c r="AX24" t="s">
        <v>74</v>
      </c>
      <c r="AY24" t="s">
        <v>74</v>
      </c>
      <c r="AZ24" t="s">
        <v>74</v>
      </c>
      <c r="BA24" t="s">
        <v>74</v>
      </c>
      <c r="BB24">
        <v>333</v>
      </c>
      <c r="BC24">
        <v>334</v>
      </c>
      <c r="BD24" t="s">
        <v>656</v>
      </c>
      <c r="BE24" t="s">
        <v>657</v>
      </c>
      <c r="BF24" t="str">
        <f>HYPERLINK("http://dx.doi.org/10.1017/S0954102021000353","http://dx.doi.org/10.1017/S0954102021000353")</f>
        <v>http://dx.doi.org/10.1017/S0954102021000353</v>
      </c>
      <c r="BG24" t="s">
        <v>74</v>
      </c>
      <c r="BH24" t="s">
        <v>74</v>
      </c>
      <c r="BI24">
        <v>2</v>
      </c>
      <c r="BJ24" t="s">
        <v>658</v>
      </c>
      <c r="BK24" t="s">
        <v>128</v>
      </c>
      <c r="BL24" t="s">
        <v>659</v>
      </c>
      <c r="BM24" t="s">
        <v>660</v>
      </c>
      <c r="BN24" t="s">
        <v>74</v>
      </c>
      <c r="BO24" t="s">
        <v>661</v>
      </c>
      <c r="BP24" t="s">
        <v>74</v>
      </c>
      <c r="BQ24" t="s">
        <v>74</v>
      </c>
      <c r="BR24" t="s">
        <v>102</v>
      </c>
      <c r="BS24" t="s">
        <v>662</v>
      </c>
      <c r="BT24" t="str">
        <f>HYPERLINK("https%3A%2F%2Fwww.webofscience.com%2Fwos%2Fwoscc%2Ffull-record%2FWOS:000692212300003","View Full Record in Web of Science")</f>
        <v>View Full Record in Web of Science</v>
      </c>
    </row>
    <row r="25" spans="1:72" x14ac:dyDescent="0.15">
      <c r="A25" t="s">
        <v>72</v>
      </c>
      <c r="B25" t="s">
        <v>663</v>
      </c>
      <c r="C25" t="s">
        <v>74</v>
      </c>
      <c r="D25" t="s">
        <v>74</v>
      </c>
      <c r="E25" t="s">
        <v>74</v>
      </c>
      <c r="F25" t="s">
        <v>664</v>
      </c>
      <c r="G25" t="s">
        <v>74</v>
      </c>
      <c r="H25" t="s">
        <v>74</v>
      </c>
      <c r="I25" t="s">
        <v>665</v>
      </c>
      <c r="J25" t="s">
        <v>643</v>
      </c>
      <c r="K25" t="s">
        <v>74</v>
      </c>
      <c r="L25" t="s">
        <v>74</v>
      </c>
      <c r="M25" t="s">
        <v>78</v>
      </c>
      <c r="N25" t="s">
        <v>79</v>
      </c>
      <c r="O25" t="s">
        <v>74</v>
      </c>
      <c r="P25" t="s">
        <v>74</v>
      </c>
      <c r="Q25" t="s">
        <v>74</v>
      </c>
      <c r="R25" t="s">
        <v>74</v>
      </c>
      <c r="S25" t="s">
        <v>74</v>
      </c>
      <c r="T25" t="s">
        <v>666</v>
      </c>
      <c r="U25" t="s">
        <v>667</v>
      </c>
      <c r="V25" t="s">
        <v>668</v>
      </c>
      <c r="W25" t="s">
        <v>669</v>
      </c>
      <c r="X25" t="s">
        <v>670</v>
      </c>
      <c r="Y25" t="s">
        <v>671</v>
      </c>
      <c r="Z25" t="s">
        <v>672</v>
      </c>
      <c r="AA25" t="s">
        <v>673</v>
      </c>
      <c r="AB25" t="s">
        <v>674</v>
      </c>
      <c r="AC25" t="s">
        <v>675</v>
      </c>
      <c r="AD25" t="s">
        <v>676</v>
      </c>
      <c r="AE25" t="s">
        <v>677</v>
      </c>
      <c r="AF25" t="s">
        <v>74</v>
      </c>
      <c r="AG25">
        <v>40</v>
      </c>
      <c r="AH25">
        <v>5</v>
      </c>
      <c r="AI25">
        <v>5</v>
      </c>
      <c r="AJ25">
        <v>3</v>
      </c>
      <c r="AK25">
        <v>11</v>
      </c>
      <c r="AL25" t="s">
        <v>649</v>
      </c>
      <c r="AM25" t="s">
        <v>650</v>
      </c>
      <c r="AN25" t="s">
        <v>651</v>
      </c>
      <c r="AO25" t="s">
        <v>652</v>
      </c>
      <c r="AP25" t="s">
        <v>653</v>
      </c>
      <c r="AQ25" t="s">
        <v>74</v>
      </c>
      <c r="AR25" t="s">
        <v>654</v>
      </c>
      <c r="AS25" t="s">
        <v>655</v>
      </c>
      <c r="AT25" t="s">
        <v>535</v>
      </c>
      <c r="AU25">
        <v>2021</v>
      </c>
      <c r="AV25">
        <v>33</v>
      </c>
      <c r="AW25">
        <v>4</v>
      </c>
      <c r="AX25" t="s">
        <v>74</v>
      </c>
      <c r="AY25" t="s">
        <v>74</v>
      </c>
      <c r="AZ25" t="s">
        <v>74</v>
      </c>
      <c r="BA25" t="s">
        <v>74</v>
      </c>
      <c r="BB25">
        <v>335</v>
      </c>
      <c r="BC25">
        <v>343</v>
      </c>
      <c r="BD25" t="s">
        <v>678</v>
      </c>
      <c r="BE25" t="s">
        <v>679</v>
      </c>
      <c r="BF25" t="str">
        <f>HYPERLINK("http://dx.doi.org/10.1017/S0954102021000158","http://dx.doi.org/10.1017/S0954102021000158")</f>
        <v>http://dx.doi.org/10.1017/S0954102021000158</v>
      </c>
      <c r="BG25" t="s">
        <v>74</v>
      </c>
      <c r="BH25" t="s">
        <v>74</v>
      </c>
      <c r="BI25">
        <v>9</v>
      </c>
      <c r="BJ25" t="s">
        <v>658</v>
      </c>
      <c r="BK25" t="s">
        <v>128</v>
      </c>
      <c r="BL25" t="s">
        <v>659</v>
      </c>
      <c r="BM25" t="s">
        <v>660</v>
      </c>
      <c r="BN25" t="s">
        <v>74</v>
      </c>
      <c r="BO25" t="s">
        <v>74</v>
      </c>
      <c r="BP25" t="s">
        <v>74</v>
      </c>
      <c r="BQ25" t="s">
        <v>74</v>
      </c>
      <c r="BR25" t="s">
        <v>102</v>
      </c>
      <c r="BS25" t="s">
        <v>680</v>
      </c>
      <c r="BT25" t="str">
        <f>HYPERLINK("https%3A%2F%2Fwww.webofscience.com%2Fwos%2Fwoscc%2Ffull-record%2FWOS:000692212300004","View Full Record in Web of Science")</f>
        <v>View Full Record in Web of Science</v>
      </c>
    </row>
    <row r="26" spans="1:72" x14ac:dyDescent="0.15">
      <c r="A26" t="s">
        <v>72</v>
      </c>
      <c r="B26" t="s">
        <v>681</v>
      </c>
      <c r="C26" t="s">
        <v>74</v>
      </c>
      <c r="D26" t="s">
        <v>74</v>
      </c>
      <c r="E26" t="s">
        <v>74</v>
      </c>
      <c r="F26" t="s">
        <v>682</v>
      </c>
      <c r="G26" t="s">
        <v>74</v>
      </c>
      <c r="H26" t="s">
        <v>74</v>
      </c>
      <c r="I26" t="s">
        <v>683</v>
      </c>
      <c r="J26" t="s">
        <v>643</v>
      </c>
      <c r="K26" t="s">
        <v>74</v>
      </c>
      <c r="L26" t="s">
        <v>74</v>
      </c>
      <c r="M26" t="s">
        <v>78</v>
      </c>
      <c r="N26" t="s">
        <v>79</v>
      </c>
      <c r="O26" t="s">
        <v>74</v>
      </c>
      <c r="P26" t="s">
        <v>74</v>
      </c>
      <c r="Q26" t="s">
        <v>74</v>
      </c>
      <c r="R26" t="s">
        <v>74</v>
      </c>
      <c r="S26" t="s">
        <v>74</v>
      </c>
      <c r="T26" t="s">
        <v>684</v>
      </c>
      <c r="U26" t="s">
        <v>74</v>
      </c>
      <c r="V26" t="s">
        <v>685</v>
      </c>
      <c r="W26" t="s">
        <v>686</v>
      </c>
      <c r="X26" t="s">
        <v>687</v>
      </c>
      <c r="Y26" t="s">
        <v>688</v>
      </c>
      <c r="Z26" t="s">
        <v>689</v>
      </c>
      <c r="AA26" t="s">
        <v>74</v>
      </c>
      <c r="AB26" t="s">
        <v>690</v>
      </c>
      <c r="AC26" t="s">
        <v>691</v>
      </c>
      <c r="AD26" t="s">
        <v>692</v>
      </c>
      <c r="AE26" t="s">
        <v>693</v>
      </c>
      <c r="AF26" t="s">
        <v>74</v>
      </c>
      <c r="AG26">
        <v>32</v>
      </c>
      <c r="AH26">
        <v>1</v>
      </c>
      <c r="AI26">
        <v>1</v>
      </c>
      <c r="AJ26">
        <v>0</v>
      </c>
      <c r="AK26">
        <v>3</v>
      </c>
      <c r="AL26" t="s">
        <v>649</v>
      </c>
      <c r="AM26" t="s">
        <v>650</v>
      </c>
      <c r="AN26" t="s">
        <v>651</v>
      </c>
      <c r="AO26" t="s">
        <v>652</v>
      </c>
      <c r="AP26" t="s">
        <v>653</v>
      </c>
      <c r="AQ26" t="s">
        <v>74</v>
      </c>
      <c r="AR26" t="s">
        <v>654</v>
      </c>
      <c r="AS26" t="s">
        <v>655</v>
      </c>
      <c r="AT26" t="s">
        <v>535</v>
      </c>
      <c r="AU26">
        <v>2021</v>
      </c>
      <c r="AV26">
        <v>33</v>
      </c>
      <c r="AW26">
        <v>4</v>
      </c>
      <c r="AX26" t="s">
        <v>74</v>
      </c>
      <c r="AY26" t="s">
        <v>74</v>
      </c>
      <c r="AZ26" t="s">
        <v>74</v>
      </c>
      <c r="BA26" t="s">
        <v>74</v>
      </c>
      <c r="BB26">
        <v>344</v>
      </c>
      <c r="BC26">
        <v>348</v>
      </c>
      <c r="BD26" t="s">
        <v>694</v>
      </c>
      <c r="BE26" t="s">
        <v>695</v>
      </c>
      <c r="BF26" t="str">
        <f>HYPERLINK("http://dx.doi.org/10.1017/S095410202100016X","http://dx.doi.org/10.1017/S095410202100016X")</f>
        <v>http://dx.doi.org/10.1017/S095410202100016X</v>
      </c>
      <c r="BG26" t="s">
        <v>74</v>
      </c>
      <c r="BH26" t="s">
        <v>74</v>
      </c>
      <c r="BI26">
        <v>5</v>
      </c>
      <c r="BJ26" t="s">
        <v>658</v>
      </c>
      <c r="BK26" t="s">
        <v>128</v>
      </c>
      <c r="BL26" t="s">
        <v>659</v>
      </c>
      <c r="BM26" t="s">
        <v>660</v>
      </c>
      <c r="BN26" t="s">
        <v>74</v>
      </c>
      <c r="BO26" t="s">
        <v>74</v>
      </c>
      <c r="BP26" t="s">
        <v>74</v>
      </c>
      <c r="BQ26" t="s">
        <v>74</v>
      </c>
      <c r="BR26" t="s">
        <v>102</v>
      </c>
      <c r="BS26" t="s">
        <v>696</v>
      </c>
      <c r="BT26" t="str">
        <f>HYPERLINK("https%3A%2F%2Fwww.webofscience.com%2Fwos%2Fwoscc%2Ffull-record%2FWOS:000692212300005","View Full Record in Web of Science")</f>
        <v>View Full Record in Web of Science</v>
      </c>
    </row>
    <row r="27" spans="1:72" x14ac:dyDescent="0.15">
      <c r="A27" t="s">
        <v>72</v>
      </c>
      <c r="B27" t="s">
        <v>697</v>
      </c>
      <c r="C27" t="s">
        <v>74</v>
      </c>
      <c r="D27" t="s">
        <v>74</v>
      </c>
      <c r="E27" t="s">
        <v>74</v>
      </c>
      <c r="F27" t="s">
        <v>698</v>
      </c>
      <c r="G27" t="s">
        <v>74</v>
      </c>
      <c r="H27" t="s">
        <v>74</v>
      </c>
      <c r="I27" t="s">
        <v>699</v>
      </c>
      <c r="J27" t="s">
        <v>643</v>
      </c>
      <c r="K27" t="s">
        <v>74</v>
      </c>
      <c r="L27" t="s">
        <v>74</v>
      </c>
      <c r="M27" t="s">
        <v>78</v>
      </c>
      <c r="N27" t="s">
        <v>700</v>
      </c>
      <c r="O27" t="s">
        <v>74</v>
      </c>
      <c r="P27" t="s">
        <v>74</v>
      </c>
      <c r="Q27" t="s">
        <v>74</v>
      </c>
      <c r="R27" t="s">
        <v>74</v>
      </c>
      <c r="S27" t="s">
        <v>74</v>
      </c>
      <c r="T27" t="s">
        <v>701</v>
      </c>
      <c r="U27" t="s">
        <v>702</v>
      </c>
      <c r="V27" t="s">
        <v>703</v>
      </c>
      <c r="W27" t="s">
        <v>704</v>
      </c>
      <c r="X27" t="s">
        <v>705</v>
      </c>
      <c r="Y27" t="s">
        <v>706</v>
      </c>
      <c r="Z27" t="s">
        <v>707</v>
      </c>
      <c r="AA27" t="s">
        <v>708</v>
      </c>
      <c r="AB27" t="s">
        <v>709</v>
      </c>
      <c r="AC27" t="s">
        <v>710</v>
      </c>
      <c r="AD27" t="s">
        <v>711</v>
      </c>
      <c r="AE27" t="s">
        <v>712</v>
      </c>
      <c r="AF27" t="s">
        <v>74</v>
      </c>
      <c r="AG27">
        <v>292</v>
      </c>
      <c r="AH27">
        <v>6</v>
      </c>
      <c r="AI27">
        <v>6</v>
      </c>
      <c r="AJ27">
        <v>4</v>
      </c>
      <c r="AK27">
        <v>29</v>
      </c>
      <c r="AL27" t="s">
        <v>649</v>
      </c>
      <c r="AM27" t="s">
        <v>650</v>
      </c>
      <c r="AN27" t="s">
        <v>651</v>
      </c>
      <c r="AO27" t="s">
        <v>652</v>
      </c>
      <c r="AP27" t="s">
        <v>653</v>
      </c>
      <c r="AQ27" t="s">
        <v>74</v>
      </c>
      <c r="AR27" t="s">
        <v>654</v>
      </c>
      <c r="AS27" t="s">
        <v>655</v>
      </c>
      <c r="AT27" t="s">
        <v>535</v>
      </c>
      <c r="AU27">
        <v>2021</v>
      </c>
      <c r="AV27">
        <v>33</v>
      </c>
      <c r="AW27">
        <v>4</v>
      </c>
      <c r="AX27" t="s">
        <v>74</v>
      </c>
      <c r="AY27" t="s">
        <v>74</v>
      </c>
      <c r="AZ27" t="s">
        <v>74</v>
      </c>
      <c r="BA27" t="s">
        <v>74</v>
      </c>
      <c r="BB27">
        <v>349</v>
      </c>
      <c r="BC27">
        <v>372</v>
      </c>
      <c r="BD27" t="s">
        <v>713</v>
      </c>
      <c r="BE27" t="s">
        <v>714</v>
      </c>
      <c r="BF27" t="str">
        <f>HYPERLINK("http://dx.doi.org/10.1017/S0954102021000183","http://dx.doi.org/10.1017/S0954102021000183")</f>
        <v>http://dx.doi.org/10.1017/S0954102021000183</v>
      </c>
      <c r="BG27" t="s">
        <v>74</v>
      </c>
      <c r="BH27" t="s">
        <v>74</v>
      </c>
      <c r="BI27">
        <v>24</v>
      </c>
      <c r="BJ27" t="s">
        <v>658</v>
      </c>
      <c r="BK27" t="s">
        <v>128</v>
      </c>
      <c r="BL27" t="s">
        <v>659</v>
      </c>
      <c r="BM27" t="s">
        <v>660</v>
      </c>
      <c r="BN27" t="s">
        <v>74</v>
      </c>
      <c r="BO27" t="s">
        <v>408</v>
      </c>
      <c r="BP27" t="s">
        <v>74</v>
      </c>
      <c r="BQ27" t="s">
        <v>74</v>
      </c>
      <c r="BR27" t="s">
        <v>102</v>
      </c>
      <c r="BS27" t="s">
        <v>715</v>
      </c>
      <c r="BT27" t="str">
        <f>HYPERLINK("https%3A%2F%2Fwww.webofscience.com%2Fwos%2Fwoscc%2Ffull-record%2FWOS:000692212300006","View Full Record in Web of Science")</f>
        <v>View Full Record in Web of Science</v>
      </c>
    </row>
    <row r="28" spans="1:72" x14ac:dyDescent="0.15">
      <c r="A28" t="s">
        <v>72</v>
      </c>
      <c r="B28" t="s">
        <v>716</v>
      </c>
      <c r="C28" t="s">
        <v>74</v>
      </c>
      <c r="D28" t="s">
        <v>74</v>
      </c>
      <c r="E28" t="s">
        <v>74</v>
      </c>
      <c r="F28" t="s">
        <v>717</v>
      </c>
      <c r="G28" t="s">
        <v>74</v>
      </c>
      <c r="H28" t="s">
        <v>74</v>
      </c>
      <c r="I28" t="s">
        <v>718</v>
      </c>
      <c r="J28" t="s">
        <v>643</v>
      </c>
      <c r="K28" t="s">
        <v>74</v>
      </c>
      <c r="L28" t="s">
        <v>74</v>
      </c>
      <c r="M28" t="s">
        <v>78</v>
      </c>
      <c r="N28" t="s">
        <v>79</v>
      </c>
      <c r="O28" t="s">
        <v>74</v>
      </c>
      <c r="P28" t="s">
        <v>74</v>
      </c>
      <c r="Q28" t="s">
        <v>74</v>
      </c>
      <c r="R28" t="s">
        <v>74</v>
      </c>
      <c r="S28" t="s">
        <v>74</v>
      </c>
      <c r="T28" t="s">
        <v>719</v>
      </c>
      <c r="U28" t="s">
        <v>720</v>
      </c>
      <c r="V28" t="s">
        <v>721</v>
      </c>
      <c r="W28" t="s">
        <v>722</v>
      </c>
      <c r="X28" t="s">
        <v>723</v>
      </c>
      <c r="Y28" t="s">
        <v>724</v>
      </c>
      <c r="Z28" t="s">
        <v>725</v>
      </c>
      <c r="AA28" t="s">
        <v>74</v>
      </c>
      <c r="AB28" t="s">
        <v>726</v>
      </c>
      <c r="AC28" t="s">
        <v>727</v>
      </c>
      <c r="AD28" t="s">
        <v>727</v>
      </c>
      <c r="AE28" t="s">
        <v>728</v>
      </c>
      <c r="AF28" t="s">
        <v>74</v>
      </c>
      <c r="AG28">
        <v>54</v>
      </c>
      <c r="AH28">
        <v>8</v>
      </c>
      <c r="AI28">
        <v>8</v>
      </c>
      <c r="AJ28">
        <v>0</v>
      </c>
      <c r="AK28">
        <v>7</v>
      </c>
      <c r="AL28" t="s">
        <v>649</v>
      </c>
      <c r="AM28" t="s">
        <v>650</v>
      </c>
      <c r="AN28" t="s">
        <v>651</v>
      </c>
      <c r="AO28" t="s">
        <v>652</v>
      </c>
      <c r="AP28" t="s">
        <v>653</v>
      </c>
      <c r="AQ28" t="s">
        <v>74</v>
      </c>
      <c r="AR28" t="s">
        <v>654</v>
      </c>
      <c r="AS28" t="s">
        <v>655</v>
      </c>
      <c r="AT28" t="s">
        <v>535</v>
      </c>
      <c r="AU28">
        <v>2021</v>
      </c>
      <c r="AV28">
        <v>33</v>
      </c>
      <c r="AW28">
        <v>4</v>
      </c>
      <c r="AX28" t="s">
        <v>74</v>
      </c>
      <c r="AY28" t="s">
        <v>74</v>
      </c>
      <c r="AZ28" t="s">
        <v>74</v>
      </c>
      <c r="BA28" t="s">
        <v>74</v>
      </c>
      <c r="BB28">
        <v>373</v>
      </c>
      <c r="BC28">
        <v>401</v>
      </c>
      <c r="BD28" t="s">
        <v>729</v>
      </c>
      <c r="BE28" t="s">
        <v>730</v>
      </c>
      <c r="BF28" t="str">
        <f>HYPERLINK("http://dx.doi.org/10.1017/S0954102021000213","http://dx.doi.org/10.1017/S0954102021000213")</f>
        <v>http://dx.doi.org/10.1017/S0954102021000213</v>
      </c>
      <c r="BG28" t="s">
        <v>74</v>
      </c>
      <c r="BH28" t="s">
        <v>74</v>
      </c>
      <c r="BI28">
        <v>29</v>
      </c>
      <c r="BJ28" t="s">
        <v>658</v>
      </c>
      <c r="BK28" t="s">
        <v>128</v>
      </c>
      <c r="BL28" t="s">
        <v>659</v>
      </c>
      <c r="BM28" t="s">
        <v>660</v>
      </c>
      <c r="BN28" t="s">
        <v>74</v>
      </c>
      <c r="BO28" t="s">
        <v>291</v>
      </c>
      <c r="BP28" t="s">
        <v>74</v>
      </c>
      <c r="BQ28" t="s">
        <v>74</v>
      </c>
      <c r="BR28" t="s">
        <v>102</v>
      </c>
      <c r="BS28" t="s">
        <v>731</v>
      </c>
      <c r="BT28" t="str">
        <f>HYPERLINK("https%3A%2F%2Fwww.webofscience.com%2Fwos%2Fwoscc%2Ffull-record%2FWOS:000692212300007","View Full Record in Web of Science")</f>
        <v>View Full Record in Web of Science</v>
      </c>
    </row>
    <row r="29" spans="1:72" x14ac:dyDescent="0.15">
      <c r="A29" t="s">
        <v>72</v>
      </c>
      <c r="B29" t="s">
        <v>732</v>
      </c>
      <c r="C29" t="s">
        <v>74</v>
      </c>
      <c r="D29" t="s">
        <v>74</v>
      </c>
      <c r="E29" t="s">
        <v>74</v>
      </c>
      <c r="F29" t="s">
        <v>733</v>
      </c>
      <c r="G29" t="s">
        <v>74</v>
      </c>
      <c r="H29" t="s">
        <v>74</v>
      </c>
      <c r="I29" t="s">
        <v>734</v>
      </c>
      <c r="J29" t="s">
        <v>643</v>
      </c>
      <c r="K29" t="s">
        <v>74</v>
      </c>
      <c r="L29" t="s">
        <v>74</v>
      </c>
      <c r="M29" t="s">
        <v>78</v>
      </c>
      <c r="N29" t="s">
        <v>79</v>
      </c>
      <c r="O29" t="s">
        <v>74</v>
      </c>
      <c r="P29" t="s">
        <v>74</v>
      </c>
      <c r="Q29" t="s">
        <v>74</v>
      </c>
      <c r="R29" t="s">
        <v>74</v>
      </c>
      <c r="S29" t="s">
        <v>74</v>
      </c>
      <c r="T29" t="s">
        <v>735</v>
      </c>
      <c r="U29" t="s">
        <v>736</v>
      </c>
      <c r="V29" t="s">
        <v>737</v>
      </c>
      <c r="W29" t="s">
        <v>738</v>
      </c>
      <c r="X29" t="s">
        <v>739</v>
      </c>
      <c r="Y29" t="s">
        <v>740</v>
      </c>
      <c r="Z29" t="s">
        <v>741</v>
      </c>
      <c r="AA29" t="s">
        <v>742</v>
      </c>
      <c r="AB29" t="s">
        <v>743</v>
      </c>
      <c r="AC29" t="s">
        <v>744</v>
      </c>
      <c r="AD29" t="s">
        <v>745</v>
      </c>
      <c r="AE29" t="s">
        <v>746</v>
      </c>
      <c r="AF29" t="s">
        <v>74</v>
      </c>
      <c r="AG29">
        <v>43</v>
      </c>
      <c r="AH29">
        <v>3</v>
      </c>
      <c r="AI29">
        <v>3</v>
      </c>
      <c r="AJ29">
        <v>0</v>
      </c>
      <c r="AK29">
        <v>6</v>
      </c>
      <c r="AL29" t="s">
        <v>649</v>
      </c>
      <c r="AM29" t="s">
        <v>650</v>
      </c>
      <c r="AN29" t="s">
        <v>651</v>
      </c>
      <c r="AO29" t="s">
        <v>652</v>
      </c>
      <c r="AP29" t="s">
        <v>653</v>
      </c>
      <c r="AQ29" t="s">
        <v>74</v>
      </c>
      <c r="AR29" t="s">
        <v>654</v>
      </c>
      <c r="AS29" t="s">
        <v>655</v>
      </c>
      <c r="AT29" t="s">
        <v>535</v>
      </c>
      <c r="AU29">
        <v>2021</v>
      </c>
      <c r="AV29">
        <v>33</v>
      </c>
      <c r="AW29">
        <v>4</v>
      </c>
      <c r="AX29" t="s">
        <v>74</v>
      </c>
      <c r="AY29" t="s">
        <v>74</v>
      </c>
      <c r="AZ29" t="s">
        <v>74</v>
      </c>
      <c r="BA29" t="s">
        <v>74</v>
      </c>
      <c r="BB29">
        <v>402</v>
      </c>
      <c r="BC29">
        <v>414</v>
      </c>
      <c r="BD29" t="s">
        <v>747</v>
      </c>
      <c r="BE29" t="s">
        <v>748</v>
      </c>
      <c r="BF29" t="str">
        <f>HYPERLINK("http://dx.doi.org/10.1017/S0954102021000262","http://dx.doi.org/10.1017/S0954102021000262")</f>
        <v>http://dx.doi.org/10.1017/S0954102021000262</v>
      </c>
      <c r="BG29" t="s">
        <v>74</v>
      </c>
      <c r="BH29" t="s">
        <v>74</v>
      </c>
      <c r="BI29">
        <v>13</v>
      </c>
      <c r="BJ29" t="s">
        <v>658</v>
      </c>
      <c r="BK29" t="s">
        <v>128</v>
      </c>
      <c r="BL29" t="s">
        <v>659</v>
      </c>
      <c r="BM29" t="s">
        <v>660</v>
      </c>
      <c r="BN29" t="s">
        <v>74</v>
      </c>
      <c r="BO29" t="s">
        <v>749</v>
      </c>
      <c r="BP29" t="s">
        <v>74</v>
      </c>
      <c r="BQ29" t="s">
        <v>74</v>
      </c>
      <c r="BR29" t="s">
        <v>102</v>
      </c>
      <c r="BS29" t="s">
        <v>750</v>
      </c>
      <c r="BT29" t="str">
        <f>HYPERLINK("https%3A%2F%2Fwww.webofscience.com%2Fwos%2Fwoscc%2Ffull-record%2FWOS:000692212300008","View Full Record in Web of Science")</f>
        <v>View Full Record in Web of Science</v>
      </c>
    </row>
    <row r="30" spans="1:72" x14ac:dyDescent="0.15">
      <c r="A30" t="s">
        <v>72</v>
      </c>
      <c r="B30" t="s">
        <v>751</v>
      </c>
      <c r="C30" t="s">
        <v>74</v>
      </c>
      <c r="D30" t="s">
        <v>74</v>
      </c>
      <c r="E30" t="s">
        <v>74</v>
      </c>
      <c r="F30" t="s">
        <v>752</v>
      </c>
      <c r="G30" t="s">
        <v>74</v>
      </c>
      <c r="H30" t="s">
        <v>74</v>
      </c>
      <c r="I30" t="s">
        <v>753</v>
      </c>
      <c r="J30" t="s">
        <v>643</v>
      </c>
      <c r="K30" t="s">
        <v>74</v>
      </c>
      <c r="L30" t="s">
        <v>74</v>
      </c>
      <c r="M30" t="s">
        <v>78</v>
      </c>
      <c r="N30" t="s">
        <v>79</v>
      </c>
      <c r="O30" t="s">
        <v>74</v>
      </c>
      <c r="P30" t="s">
        <v>74</v>
      </c>
      <c r="Q30" t="s">
        <v>74</v>
      </c>
      <c r="R30" t="s">
        <v>74</v>
      </c>
      <c r="S30" t="s">
        <v>74</v>
      </c>
      <c r="T30" t="s">
        <v>74</v>
      </c>
      <c r="U30" t="s">
        <v>754</v>
      </c>
      <c r="V30" t="s">
        <v>74</v>
      </c>
      <c r="W30" t="s">
        <v>755</v>
      </c>
      <c r="X30" t="s">
        <v>756</v>
      </c>
      <c r="Y30" t="s">
        <v>757</v>
      </c>
      <c r="Z30" t="s">
        <v>758</v>
      </c>
      <c r="AA30" t="s">
        <v>759</v>
      </c>
      <c r="AB30" t="s">
        <v>760</v>
      </c>
      <c r="AC30" t="s">
        <v>761</v>
      </c>
      <c r="AD30" t="s">
        <v>762</v>
      </c>
      <c r="AE30" t="s">
        <v>763</v>
      </c>
      <c r="AF30" t="s">
        <v>74</v>
      </c>
      <c r="AG30">
        <v>11</v>
      </c>
      <c r="AH30">
        <v>2</v>
      </c>
      <c r="AI30">
        <v>2</v>
      </c>
      <c r="AJ30">
        <v>0</v>
      </c>
      <c r="AK30">
        <v>26</v>
      </c>
      <c r="AL30" t="s">
        <v>649</v>
      </c>
      <c r="AM30" t="s">
        <v>650</v>
      </c>
      <c r="AN30" t="s">
        <v>651</v>
      </c>
      <c r="AO30" t="s">
        <v>652</v>
      </c>
      <c r="AP30" t="s">
        <v>653</v>
      </c>
      <c r="AQ30" t="s">
        <v>74</v>
      </c>
      <c r="AR30" t="s">
        <v>654</v>
      </c>
      <c r="AS30" t="s">
        <v>655</v>
      </c>
      <c r="AT30" t="s">
        <v>535</v>
      </c>
      <c r="AU30">
        <v>2021</v>
      </c>
      <c r="AV30">
        <v>33</v>
      </c>
      <c r="AW30">
        <v>4</v>
      </c>
      <c r="AX30" t="s">
        <v>74</v>
      </c>
      <c r="AY30" t="s">
        <v>74</v>
      </c>
      <c r="AZ30" t="s">
        <v>74</v>
      </c>
      <c r="BA30" t="s">
        <v>74</v>
      </c>
      <c r="BB30">
        <v>415</v>
      </c>
      <c r="BC30">
        <v>417</v>
      </c>
      <c r="BD30" t="s">
        <v>764</v>
      </c>
      <c r="BE30" t="s">
        <v>765</v>
      </c>
      <c r="BF30" t="str">
        <f>HYPERLINK("http://dx.doi.org/10.1017/S0954102021000286","http://dx.doi.org/10.1017/S0954102021000286")</f>
        <v>http://dx.doi.org/10.1017/S0954102021000286</v>
      </c>
      <c r="BG30" t="s">
        <v>74</v>
      </c>
      <c r="BH30" t="s">
        <v>74</v>
      </c>
      <c r="BI30">
        <v>3</v>
      </c>
      <c r="BJ30" t="s">
        <v>658</v>
      </c>
      <c r="BK30" t="s">
        <v>128</v>
      </c>
      <c r="BL30" t="s">
        <v>659</v>
      </c>
      <c r="BM30" t="s">
        <v>660</v>
      </c>
      <c r="BN30" t="s">
        <v>74</v>
      </c>
      <c r="BO30" t="s">
        <v>74</v>
      </c>
      <c r="BP30" t="s">
        <v>74</v>
      </c>
      <c r="BQ30" t="s">
        <v>74</v>
      </c>
      <c r="BR30" t="s">
        <v>102</v>
      </c>
      <c r="BS30" t="s">
        <v>766</v>
      </c>
      <c r="BT30" t="str">
        <f>HYPERLINK("https%3A%2F%2Fwww.webofscience.com%2Fwos%2Fwoscc%2Ffull-record%2FWOS:000692212300009","View Full Record in Web of Science")</f>
        <v>View Full Record in Web of Science</v>
      </c>
    </row>
    <row r="31" spans="1:72" x14ac:dyDescent="0.15">
      <c r="A31" t="s">
        <v>72</v>
      </c>
      <c r="B31" t="s">
        <v>767</v>
      </c>
      <c r="C31" t="s">
        <v>74</v>
      </c>
      <c r="D31" t="s">
        <v>74</v>
      </c>
      <c r="E31" t="s">
        <v>74</v>
      </c>
      <c r="F31" t="s">
        <v>768</v>
      </c>
      <c r="G31" t="s">
        <v>74</v>
      </c>
      <c r="H31" t="s">
        <v>74</v>
      </c>
      <c r="I31" t="s">
        <v>769</v>
      </c>
      <c r="J31" t="s">
        <v>643</v>
      </c>
      <c r="K31" t="s">
        <v>74</v>
      </c>
      <c r="L31" t="s">
        <v>74</v>
      </c>
      <c r="M31" t="s">
        <v>78</v>
      </c>
      <c r="N31" t="s">
        <v>79</v>
      </c>
      <c r="O31" t="s">
        <v>74</v>
      </c>
      <c r="P31" t="s">
        <v>74</v>
      </c>
      <c r="Q31" t="s">
        <v>74</v>
      </c>
      <c r="R31" t="s">
        <v>74</v>
      </c>
      <c r="S31" t="s">
        <v>74</v>
      </c>
      <c r="T31" t="s">
        <v>770</v>
      </c>
      <c r="U31" t="s">
        <v>771</v>
      </c>
      <c r="V31" t="s">
        <v>772</v>
      </c>
      <c r="W31" t="s">
        <v>773</v>
      </c>
      <c r="X31" t="s">
        <v>774</v>
      </c>
      <c r="Y31" t="s">
        <v>775</v>
      </c>
      <c r="Z31" t="s">
        <v>776</v>
      </c>
      <c r="AA31" t="s">
        <v>777</v>
      </c>
      <c r="AB31" t="s">
        <v>778</v>
      </c>
      <c r="AC31" t="s">
        <v>779</v>
      </c>
      <c r="AD31" t="s">
        <v>780</v>
      </c>
      <c r="AE31" t="s">
        <v>781</v>
      </c>
      <c r="AF31" t="s">
        <v>74</v>
      </c>
      <c r="AG31">
        <v>39</v>
      </c>
      <c r="AH31">
        <v>4</v>
      </c>
      <c r="AI31">
        <v>4</v>
      </c>
      <c r="AJ31">
        <v>0</v>
      </c>
      <c r="AK31">
        <v>2</v>
      </c>
      <c r="AL31" t="s">
        <v>649</v>
      </c>
      <c r="AM31" t="s">
        <v>650</v>
      </c>
      <c r="AN31" t="s">
        <v>651</v>
      </c>
      <c r="AO31" t="s">
        <v>652</v>
      </c>
      <c r="AP31" t="s">
        <v>653</v>
      </c>
      <c r="AQ31" t="s">
        <v>74</v>
      </c>
      <c r="AR31" t="s">
        <v>654</v>
      </c>
      <c r="AS31" t="s">
        <v>655</v>
      </c>
      <c r="AT31" t="s">
        <v>535</v>
      </c>
      <c r="AU31">
        <v>2021</v>
      </c>
      <c r="AV31">
        <v>33</v>
      </c>
      <c r="AW31">
        <v>4</v>
      </c>
      <c r="AX31" t="s">
        <v>74</v>
      </c>
      <c r="AY31" t="s">
        <v>74</v>
      </c>
      <c r="AZ31" t="s">
        <v>74</v>
      </c>
      <c r="BA31" t="s">
        <v>74</v>
      </c>
      <c r="BB31">
        <v>418</v>
      </c>
      <c r="BC31">
        <v>427</v>
      </c>
      <c r="BD31" t="s">
        <v>782</v>
      </c>
      <c r="BE31" t="s">
        <v>783</v>
      </c>
      <c r="BF31" t="str">
        <f>HYPERLINK("http://dx.doi.org/10.1017/S0954102021000171","http://dx.doi.org/10.1017/S0954102021000171")</f>
        <v>http://dx.doi.org/10.1017/S0954102021000171</v>
      </c>
      <c r="BG31" t="s">
        <v>74</v>
      </c>
      <c r="BH31" t="s">
        <v>74</v>
      </c>
      <c r="BI31">
        <v>10</v>
      </c>
      <c r="BJ31" t="s">
        <v>658</v>
      </c>
      <c r="BK31" t="s">
        <v>128</v>
      </c>
      <c r="BL31" t="s">
        <v>659</v>
      </c>
      <c r="BM31" t="s">
        <v>660</v>
      </c>
      <c r="BN31" t="s">
        <v>74</v>
      </c>
      <c r="BO31" t="s">
        <v>74</v>
      </c>
      <c r="BP31" t="s">
        <v>74</v>
      </c>
      <c r="BQ31" t="s">
        <v>74</v>
      </c>
      <c r="BR31" t="s">
        <v>102</v>
      </c>
      <c r="BS31" t="s">
        <v>784</v>
      </c>
      <c r="BT31" t="str">
        <f>HYPERLINK("https%3A%2F%2Fwww.webofscience.com%2Fwos%2Fwoscc%2Ffull-record%2FWOS:000692212300010","View Full Record in Web of Science")</f>
        <v>View Full Record in Web of Science</v>
      </c>
    </row>
    <row r="32" spans="1:72" x14ac:dyDescent="0.15">
      <c r="A32" t="s">
        <v>72</v>
      </c>
      <c r="B32" t="s">
        <v>785</v>
      </c>
      <c r="C32" t="s">
        <v>74</v>
      </c>
      <c r="D32" t="s">
        <v>74</v>
      </c>
      <c r="E32" t="s">
        <v>74</v>
      </c>
      <c r="F32" t="s">
        <v>786</v>
      </c>
      <c r="G32" t="s">
        <v>74</v>
      </c>
      <c r="H32" t="s">
        <v>74</v>
      </c>
      <c r="I32" t="s">
        <v>787</v>
      </c>
      <c r="J32" t="s">
        <v>643</v>
      </c>
      <c r="K32" t="s">
        <v>74</v>
      </c>
      <c r="L32" t="s">
        <v>74</v>
      </c>
      <c r="M32" t="s">
        <v>78</v>
      </c>
      <c r="N32" t="s">
        <v>79</v>
      </c>
      <c r="O32" t="s">
        <v>74</v>
      </c>
      <c r="P32" t="s">
        <v>74</v>
      </c>
      <c r="Q32" t="s">
        <v>74</v>
      </c>
      <c r="R32" t="s">
        <v>74</v>
      </c>
      <c r="S32" t="s">
        <v>74</v>
      </c>
      <c r="T32" t="s">
        <v>788</v>
      </c>
      <c r="U32" t="s">
        <v>789</v>
      </c>
      <c r="V32" t="s">
        <v>790</v>
      </c>
      <c r="W32" t="s">
        <v>791</v>
      </c>
      <c r="X32" t="s">
        <v>792</v>
      </c>
      <c r="Y32" t="s">
        <v>793</v>
      </c>
      <c r="Z32" t="s">
        <v>794</v>
      </c>
      <c r="AA32" t="s">
        <v>795</v>
      </c>
      <c r="AB32" t="s">
        <v>796</v>
      </c>
      <c r="AC32" t="s">
        <v>797</v>
      </c>
      <c r="AD32" t="s">
        <v>798</v>
      </c>
      <c r="AE32" t="s">
        <v>799</v>
      </c>
      <c r="AF32" t="s">
        <v>74</v>
      </c>
      <c r="AG32">
        <v>52</v>
      </c>
      <c r="AH32">
        <v>1</v>
      </c>
      <c r="AI32">
        <v>1</v>
      </c>
      <c r="AJ32">
        <v>0</v>
      </c>
      <c r="AK32">
        <v>2</v>
      </c>
      <c r="AL32" t="s">
        <v>649</v>
      </c>
      <c r="AM32" t="s">
        <v>650</v>
      </c>
      <c r="AN32" t="s">
        <v>651</v>
      </c>
      <c r="AO32" t="s">
        <v>652</v>
      </c>
      <c r="AP32" t="s">
        <v>653</v>
      </c>
      <c r="AQ32" t="s">
        <v>74</v>
      </c>
      <c r="AR32" t="s">
        <v>654</v>
      </c>
      <c r="AS32" t="s">
        <v>655</v>
      </c>
      <c r="AT32" t="s">
        <v>535</v>
      </c>
      <c r="AU32">
        <v>2021</v>
      </c>
      <c r="AV32">
        <v>33</v>
      </c>
      <c r="AW32">
        <v>4</v>
      </c>
      <c r="AX32" t="s">
        <v>74</v>
      </c>
      <c r="AY32" t="s">
        <v>74</v>
      </c>
      <c r="AZ32" t="s">
        <v>74</v>
      </c>
      <c r="BA32" t="s">
        <v>74</v>
      </c>
      <c r="BB32">
        <v>428</v>
      </c>
      <c r="BC32">
        <v>455</v>
      </c>
      <c r="BD32" t="s">
        <v>800</v>
      </c>
      <c r="BE32" t="s">
        <v>801</v>
      </c>
      <c r="BF32" t="str">
        <f>HYPERLINK("http://dx.doi.org/10.1017/S0954102021000237","http://dx.doi.org/10.1017/S0954102021000237")</f>
        <v>http://dx.doi.org/10.1017/S0954102021000237</v>
      </c>
      <c r="BG32" t="s">
        <v>74</v>
      </c>
      <c r="BH32" t="s">
        <v>74</v>
      </c>
      <c r="BI32">
        <v>28</v>
      </c>
      <c r="BJ32" t="s">
        <v>658</v>
      </c>
      <c r="BK32" t="s">
        <v>128</v>
      </c>
      <c r="BL32" t="s">
        <v>659</v>
      </c>
      <c r="BM32" t="s">
        <v>660</v>
      </c>
      <c r="BN32" t="s">
        <v>74</v>
      </c>
      <c r="BO32" t="s">
        <v>749</v>
      </c>
      <c r="BP32" t="s">
        <v>74</v>
      </c>
      <c r="BQ32" t="s">
        <v>74</v>
      </c>
      <c r="BR32" t="s">
        <v>102</v>
      </c>
      <c r="BS32" t="s">
        <v>802</v>
      </c>
      <c r="BT32" t="str">
        <f>HYPERLINK("https%3A%2F%2Fwww.webofscience.com%2Fwos%2Fwoscc%2Ffull-record%2FWOS:000692212300011","View Full Record in Web of Science")</f>
        <v>View Full Record in Web of Science</v>
      </c>
    </row>
    <row r="33" spans="1:72" x14ac:dyDescent="0.15">
      <c r="A33" t="s">
        <v>72</v>
      </c>
      <c r="B33" t="s">
        <v>803</v>
      </c>
      <c r="C33" t="s">
        <v>74</v>
      </c>
      <c r="D33" t="s">
        <v>74</v>
      </c>
      <c r="E33" t="s">
        <v>74</v>
      </c>
      <c r="F33" t="s">
        <v>804</v>
      </c>
      <c r="G33" t="s">
        <v>74</v>
      </c>
      <c r="H33" t="s">
        <v>74</v>
      </c>
      <c r="I33" t="s">
        <v>805</v>
      </c>
      <c r="J33" t="s">
        <v>806</v>
      </c>
      <c r="K33" t="s">
        <v>74</v>
      </c>
      <c r="L33" t="s">
        <v>74</v>
      </c>
      <c r="M33" t="s">
        <v>78</v>
      </c>
      <c r="N33" t="s">
        <v>79</v>
      </c>
      <c r="O33" t="s">
        <v>74</v>
      </c>
      <c r="P33" t="s">
        <v>74</v>
      </c>
      <c r="Q33" t="s">
        <v>74</v>
      </c>
      <c r="R33" t="s">
        <v>74</v>
      </c>
      <c r="S33" t="s">
        <v>74</v>
      </c>
      <c r="T33" t="s">
        <v>74</v>
      </c>
      <c r="U33" t="s">
        <v>807</v>
      </c>
      <c r="V33" t="s">
        <v>808</v>
      </c>
      <c r="W33" t="s">
        <v>809</v>
      </c>
      <c r="X33" t="s">
        <v>810</v>
      </c>
      <c r="Y33" t="s">
        <v>811</v>
      </c>
      <c r="Z33" t="s">
        <v>812</v>
      </c>
      <c r="AA33" t="s">
        <v>74</v>
      </c>
      <c r="AB33" t="s">
        <v>813</v>
      </c>
      <c r="AC33" t="s">
        <v>74</v>
      </c>
      <c r="AD33" t="s">
        <v>74</v>
      </c>
      <c r="AE33" t="s">
        <v>74</v>
      </c>
      <c r="AF33" t="s">
        <v>74</v>
      </c>
      <c r="AG33">
        <v>51</v>
      </c>
      <c r="AH33">
        <v>7</v>
      </c>
      <c r="AI33">
        <v>7</v>
      </c>
      <c r="AJ33">
        <v>1</v>
      </c>
      <c r="AK33">
        <v>2</v>
      </c>
      <c r="AL33" t="s">
        <v>814</v>
      </c>
      <c r="AM33" t="s">
        <v>815</v>
      </c>
      <c r="AN33" t="s">
        <v>816</v>
      </c>
      <c r="AO33" t="s">
        <v>817</v>
      </c>
      <c r="AP33" t="s">
        <v>818</v>
      </c>
      <c r="AQ33" t="s">
        <v>74</v>
      </c>
      <c r="AR33" t="s">
        <v>819</v>
      </c>
      <c r="AS33" t="s">
        <v>820</v>
      </c>
      <c r="AT33" t="s">
        <v>535</v>
      </c>
      <c r="AU33">
        <v>2021</v>
      </c>
      <c r="AV33">
        <v>168</v>
      </c>
      <c r="AW33">
        <v>8</v>
      </c>
      <c r="AX33" t="s">
        <v>74</v>
      </c>
      <c r="AY33" t="s">
        <v>74</v>
      </c>
      <c r="AZ33" t="s">
        <v>74</v>
      </c>
      <c r="BA33" t="s">
        <v>74</v>
      </c>
      <c r="BB33" t="s">
        <v>74</v>
      </c>
      <c r="BC33" t="s">
        <v>74</v>
      </c>
      <c r="BD33">
        <v>135</v>
      </c>
      <c r="BE33" t="s">
        <v>821</v>
      </c>
      <c r="BF33" t="str">
        <f>HYPERLINK("http://dx.doi.org/10.1007/s00227-021-03937-5","http://dx.doi.org/10.1007/s00227-021-03937-5")</f>
        <v>http://dx.doi.org/10.1007/s00227-021-03937-5</v>
      </c>
      <c r="BG33" t="s">
        <v>74</v>
      </c>
      <c r="BH33" t="s">
        <v>74</v>
      </c>
      <c r="BI33">
        <v>12</v>
      </c>
      <c r="BJ33" t="s">
        <v>822</v>
      </c>
      <c r="BK33" t="s">
        <v>128</v>
      </c>
      <c r="BL33" t="s">
        <v>822</v>
      </c>
      <c r="BM33" t="s">
        <v>823</v>
      </c>
      <c r="BN33" t="s">
        <v>74</v>
      </c>
      <c r="BO33" t="s">
        <v>291</v>
      </c>
      <c r="BP33" t="s">
        <v>74</v>
      </c>
      <c r="BQ33" t="s">
        <v>74</v>
      </c>
      <c r="BR33" t="s">
        <v>102</v>
      </c>
      <c r="BS33" t="s">
        <v>824</v>
      </c>
      <c r="BT33" t="str">
        <f>HYPERLINK("https%3A%2F%2Fwww.webofscience.com%2Fwos%2Fwoscc%2Ffull-record%2FWOS:000691567800011","View Full Record in Web of Science")</f>
        <v>View Full Record in Web of Science</v>
      </c>
    </row>
    <row r="34" spans="1:72" x14ac:dyDescent="0.15">
      <c r="A34" t="s">
        <v>72</v>
      </c>
      <c r="B34" t="s">
        <v>825</v>
      </c>
      <c r="C34" t="s">
        <v>74</v>
      </c>
      <c r="D34" t="s">
        <v>74</v>
      </c>
      <c r="E34" t="s">
        <v>74</v>
      </c>
      <c r="F34" t="s">
        <v>826</v>
      </c>
      <c r="G34" t="s">
        <v>74</v>
      </c>
      <c r="H34" t="s">
        <v>74</v>
      </c>
      <c r="I34" t="s">
        <v>827</v>
      </c>
      <c r="J34" t="s">
        <v>828</v>
      </c>
      <c r="K34" t="s">
        <v>74</v>
      </c>
      <c r="L34" t="s">
        <v>74</v>
      </c>
      <c r="M34" t="s">
        <v>78</v>
      </c>
      <c r="N34" t="s">
        <v>700</v>
      </c>
      <c r="O34" t="s">
        <v>74</v>
      </c>
      <c r="P34" t="s">
        <v>74</v>
      </c>
      <c r="Q34" t="s">
        <v>74</v>
      </c>
      <c r="R34" t="s">
        <v>74</v>
      </c>
      <c r="S34" t="s">
        <v>74</v>
      </c>
      <c r="T34" t="s">
        <v>829</v>
      </c>
      <c r="U34" t="s">
        <v>830</v>
      </c>
      <c r="V34" t="s">
        <v>831</v>
      </c>
      <c r="W34" t="s">
        <v>832</v>
      </c>
      <c r="X34" t="s">
        <v>833</v>
      </c>
      <c r="Y34" t="s">
        <v>834</v>
      </c>
      <c r="Z34" t="s">
        <v>835</v>
      </c>
      <c r="AA34" t="s">
        <v>836</v>
      </c>
      <c r="AB34" t="s">
        <v>837</v>
      </c>
      <c r="AC34" t="s">
        <v>838</v>
      </c>
      <c r="AD34" t="s">
        <v>838</v>
      </c>
      <c r="AE34" t="s">
        <v>839</v>
      </c>
      <c r="AF34" t="s">
        <v>74</v>
      </c>
      <c r="AG34">
        <v>128</v>
      </c>
      <c r="AH34">
        <v>9</v>
      </c>
      <c r="AI34">
        <v>9</v>
      </c>
      <c r="AJ34">
        <v>13</v>
      </c>
      <c r="AK34">
        <v>60</v>
      </c>
      <c r="AL34" t="s">
        <v>814</v>
      </c>
      <c r="AM34" t="s">
        <v>815</v>
      </c>
      <c r="AN34" t="s">
        <v>816</v>
      </c>
      <c r="AO34" t="s">
        <v>840</v>
      </c>
      <c r="AP34" t="s">
        <v>841</v>
      </c>
      <c r="AQ34" t="s">
        <v>74</v>
      </c>
      <c r="AR34" t="s">
        <v>828</v>
      </c>
      <c r="AS34" t="s">
        <v>842</v>
      </c>
      <c r="AT34" t="s">
        <v>535</v>
      </c>
      <c r="AU34">
        <v>2021</v>
      </c>
      <c r="AV34">
        <v>11</v>
      </c>
      <c r="AW34">
        <v>8</v>
      </c>
      <c r="AX34" t="s">
        <v>74</v>
      </c>
      <c r="AY34" t="s">
        <v>74</v>
      </c>
      <c r="AZ34" t="s">
        <v>74</v>
      </c>
      <c r="BA34" t="s">
        <v>74</v>
      </c>
      <c r="BB34" t="s">
        <v>74</v>
      </c>
      <c r="BC34" t="s">
        <v>74</v>
      </c>
      <c r="BD34">
        <v>367</v>
      </c>
      <c r="BE34" t="s">
        <v>843</v>
      </c>
      <c r="BF34" t="str">
        <f>HYPERLINK("http://dx.doi.org/10.1007/s13205-021-02912-7","http://dx.doi.org/10.1007/s13205-021-02912-7")</f>
        <v>http://dx.doi.org/10.1007/s13205-021-02912-7</v>
      </c>
      <c r="BG34" t="s">
        <v>74</v>
      </c>
      <c r="BH34" t="s">
        <v>74</v>
      </c>
      <c r="BI34">
        <v>13</v>
      </c>
      <c r="BJ34" t="s">
        <v>844</v>
      </c>
      <c r="BK34" t="s">
        <v>128</v>
      </c>
      <c r="BL34" t="s">
        <v>844</v>
      </c>
      <c r="BM34" t="s">
        <v>845</v>
      </c>
      <c r="BN34">
        <v>34290950</v>
      </c>
      <c r="BO34" t="s">
        <v>238</v>
      </c>
      <c r="BP34" t="s">
        <v>74</v>
      </c>
      <c r="BQ34" t="s">
        <v>74</v>
      </c>
      <c r="BR34" t="s">
        <v>102</v>
      </c>
      <c r="BS34" t="s">
        <v>846</v>
      </c>
      <c r="BT34" t="str">
        <f>HYPERLINK("https%3A%2F%2Fwww.webofscience.com%2Fwos%2Fwoscc%2Ffull-record%2FWOS:000691835900001","View Full Record in Web of Science")</f>
        <v>View Full Record in Web of Science</v>
      </c>
    </row>
    <row r="35" spans="1:72" x14ac:dyDescent="0.15">
      <c r="A35" t="s">
        <v>72</v>
      </c>
      <c r="B35" t="s">
        <v>847</v>
      </c>
      <c r="C35" t="s">
        <v>74</v>
      </c>
      <c r="D35" t="s">
        <v>74</v>
      </c>
      <c r="E35" t="s">
        <v>74</v>
      </c>
      <c r="F35" t="s">
        <v>848</v>
      </c>
      <c r="G35" t="s">
        <v>74</v>
      </c>
      <c r="H35" t="s">
        <v>849</v>
      </c>
      <c r="I35" t="s">
        <v>850</v>
      </c>
      <c r="J35" t="s">
        <v>851</v>
      </c>
      <c r="K35" t="s">
        <v>74</v>
      </c>
      <c r="L35" t="s">
        <v>74</v>
      </c>
      <c r="M35" t="s">
        <v>78</v>
      </c>
      <c r="N35" t="s">
        <v>79</v>
      </c>
      <c r="O35" t="s">
        <v>74</v>
      </c>
      <c r="P35" t="s">
        <v>74</v>
      </c>
      <c r="Q35" t="s">
        <v>74</v>
      </c>
      <c r="R35" t="s">
        <v>74</v>
      </c>
      <c r="S35" t="s">
        <v>74</v>
      </c>
      <c r="T35" t="s">
        <v>852</v>
      </c>
      <c r="U35" t="s">
        <v>853</v>
      </c>
      <c r="V35" t="s">
        <v>854</v>
      </c>
      <c r="W35" t="s">
        <v>855</v>
      </c>
      <c r="X35" t="s">
        <v>856</v>
      </c>
      <c r="Y35" t="s">
        <v>857</v>
      </c>
      <c r="Z35" t="s">
        <v>858</v>
      </c>
      <c r="AA35" t="s">
        <v>859</v>
      </c>
      <c r="AB35" t="s">
        <v>860</v>
      </c>
      <c r="AC35" t="s">
        <v>861</v>
      </c>
      <c r="AD35" t="s">
        <v>862</v>
      </c>
      <c r="AE35" t="s">
        <v>863</v>
      </c>
      <c r="AF35" t="s">
        <v>74</v>
      </c>
      <c r="AG35">
        <v>106</v>
      </c>
      <c r="AH35">
        <v>4</v>
      </c>
      <c r="AI35">
        <v>4</v>
      </c>
      <c r="AJ35">
        <v>0</v>
      </c>
      <c r="AK35">
        <v>9</v>
      </c>
      <c r="AL35" t="s">
        <v>864</v>
      </c>
      <c r="AM35" t="s">
        <v>865</v>
      </c>
      <c r="AN35" t="s">
        <v>866</v>
      </c>
      <c r="AO35" t="s">
        <v>74</v>
      </c>
      <c r="AP35" t="s">
        <v>867</v>
      </c>
      <c r="AQ35" t="s">
        <v>74</v>
      </c>
      <c r="AR35" t="s">
        <v>868</v>
      </c>
      <c r="AS35" t="s">
        <v>869</v>
      </c>
      <c r="AT35" t="s">
        <v>535</v>
      </c>
      <c r="AU35">
        <v>2021</v>
      </c>
      <c r="AV35">
        <v>22</v>
      </c>
      <c r="AW35">
        <v>8</v>
      </c>
      <c r="AX35" t="s">
        <v>74</v>
      </c>
      <c r="AY35" t="s">
        <v>74</v>
      </c>
      <c r="AZ35" t="s">
        <v>74</v>
      </c>
      <c r="BA35" t="s">
        <v>74</v>
      </c>
      <c r="BB35" t="s">
        <v>74</v>
      </c>
      <c r="BC35" t="s">
        <v>74</v>
      </c>
      <c r="BD35" t="s">
        <v>870</v>
      </c>
      <c r="BE35" t="s">
        <v>871</v>
      </c>
      <c r="BF35" t="str">
        <f>HYPERLINK("http://dx.doi.org/10.1029/2021GC009739","http://dx.doi.org/10.1029/2021GC009739")</f>
        <v>http://dx.doi.org/10.1029/2021GC009739</v>
      </c>
      <c r="BG35" t="s">
        <v>74</v>
      </c>
      <c r="BH35" t="s">
        <v>74</v>
      </c>
      <c r="BI35">
        <v>19</v>
      </c>
      <c r="BJ35" t="s">
        <v>289</v>
      </c>
      <c r="BK35" t="s">
        <v>128</v>
      </c>
      <c r="BL35" t="s">
        <v>289</v>
      </c>
      <c r="BM35" t="s">
        <v>872</v>
      </c>
      <c r="BN35" t="s">
        <v>74</v>
      </c>
      <c r="BO35" t="s">
        <v>291</v>
      </c>
      <c r="BP35" t="s">
        <v>74</v>
      </c>
      <c r="BQ35" t="s">
        <v>74</v>
      </c>
      <c r="BR35" t="s">
        <v>102</v>
      </c>
      <c r="BS35" t="s">
        <v>873</v>
      </c>
      <c r="BT35" t="str">
        <f>HYPERLINK("https%3A%2F%2Fwww.webofscience.com%2Fwos%2Fwoscc%2Ffull-record%2FWOS:000691021600010","View Full Record in Web of Science")</f>
        <v>View Full Record in Web of Science</v>
      </c>
    </row>
    <row r="36" spans="1:72" x14ac:dyDescent="0.15">
      <c r="A36" t="s">
        <v>72</v>
      </c>
      <c r="B36" t="s">
        <v>874</v>
      </c>
      <c r="C36" t="s">
        <v>74</v>
      </c>
      <c r="D36" t="s">
        <v>74</v>
      </c>
      <c r="E36" t="s">
        <v>74</v>
      </c>
      <c r="F36" t="s">
        <v>875</v>
      </c>
      <c r="G36" t="s">
        <v>74</v>
      </c>
      <c r="H36" t="s">
        <v>74</v>
      </c>
      <c r="I36" t="s">
        <v>876</v>
      </c>
      <c r="J36" t="s">
        <v>851</v>
      </c>
      <c r="K36" t="s">
        <v>74</v>
      </c>
      <c r="L36" t="s">
        <v>74</v>
      </c>
      <c r="M36" t="s">
        <v>78</v>
      </c>
      <c r="N36" t="s">
        <v>79</v>
      </c>
      <c r="O36" t="s">
        <v>74</v>
      </c>
      <c r="P36" t="s">
        <v>74</v>
      </c>
      <c r="Q36" t="s">
        <v>74</v>
      </c>
      <c r="R36" t="s">
        <v>74</v>
      </c>
      <c r="S36" t="s">
        <v>74</v>
      </c>
      <c r="T36" t="s">
        <v>877</v>
      </c>
      <c r="U36" t="s">
        <v>878</v>
      </c>
      <c r="V36" t="s">
        <v>879</v>
      </c>
      <c r="W36" t="s">
        <v>880</v>
      </c>
      <c r="X36" t="s">
        <v>881</v>
      </c>
      <c r="Y36" t="s">
        <v>882</v>
      </c>
      <c r="Z36" t="s">
        <v>883</v>
      </c>
      <c r="AA36" t="s">
        <v>884</v>
      </c>
      <c r="AB36" t="s">
        <v>885</v>
      </c>
      <c r="AC36" t="s">
        <v>886</v>
      </c>
      <c r="AD36" t="s">
        <v>887</v>
      </c>
      <c r="AE36" t="s">
        <v>888</v>
      </c>
      <c r="AF36" t="s">
        <v>74</v>
      </c>
      <c r="AG36">
        <v>58</v>
      </c>
      <c r="AH36">
        <v>4</v>
      </c>
      <c r="AI36">
        <v>4</v>
      </c>
      <c r="AJ36">
        <v>2</v>
      </c>
      <c r="AK36">
        <v>10</v>
      </c>
      <c r="AL36" t="s">
        <v>864</v>
      </c>
      <c r="AM36" t="s">
        <v>865</v>
      </c>
      <c r="AN36" t="s">
        <v>866</v>
      </c>
      <c r="AO36" t="s">
        <v>74</v>
      </c>
      <c r="AP36" t="s">
        <v>867</v>
      </c>
      <c r="AQ36" t="s">
        <v>74</v>
      </c>
      <c r="AR36" t="s">
        <v>868</v>
      </c>
      <c r="AS36" t="s">
        <v>869</v>
      </c>
      <c r="AT36" t="s">
        <v>535</v>
      </c>
      <c r="AU36">
        <v>2021</v>
      </c>
      <c r="AV36">
        <v>22</v>
      </c>
      <c r="AW36">
        <v>8</v>
      </c>
      <c r="AX36" t="s">
        <v>74</v>
      </c>
      <c r="AY36" t="s">
        <v>74</v>
      </c>
      <c r="AZ36" t="s">
        <v>74</v>
      </c>
      <c r="BA36" t="s">
        <v>74</v>
      </c>
      <c r="BB36" t="s">
        <v>74</v>
      </c>
      <c r="BC36" t="s">
        <v>74</v>
      </c>
      <c r="BD36" t="s">
        <v>889</v>
      </c>
      <c r="BE36" t="s">
        <v>890</v>
      </c>
      <c r="BF36" t="str">
        <f>HYPERLINK("http://dx.doi.org/10.1029/2021GC009921","http://dx.doi.org/10.1029/2021GC009921")</f>
        <v>http://dx.doi.org/10.1029/2021GC009921</v>
      </c>
      <c r="BG36" t="s">
        <v>74</v>
      </c>
      <c r="BH36" t="s">
        <v>74</v>
      </c>
      <c r="BI36">
        <v>13</v>
      </c>
      <c r="BJ36" t="s">
        <v>289</v>
      </c>
      <c r="BK36" t="s">
        <v>128</v>
      </c>
      <c r="BL36" t="s">
        <v>289</v>
      </c>
      <c r="BM36" t="s">
        <v>872</v>
      </c>
      <c r="BN36" t="s">
        <v>74</v>
      </c>
      <c r="BO36" t="s">
        <v>612</v>
      </c>
      <c r="BP36" t="s">
        <v>74</v>
      </c>
      <c r="BQ36" t="s">
        <v>74</v>
      </c>
      <c r="BR36" t="s">
        <v>102</v>
      </c>
      <c r="BS36" t="s">
        <v>891</v>
      </c>
      <c r="BT36" t="str">
        <f>HYPERLINK("https%3A%2F%2Fwww.webofscience.com%2Fwos%2Fwoscc%2Ffull-record%2FWOS:000691021600025","View Full Record in Web of Science")</f>
        <v>View Full Record in Web of Science</v>
      </c>
    </row>
    <row r="37" spans="1:72" x14ac:dyDescent="0.15">
      <c r="A37" t="s">
        <v>72</v>
      </c>
      <c r="B37" t="s">
        <v>892</v>
      </c>
      <c r="C37" t="s">
        <v>74</v>
      </c>
      <c r="D37" t="s">
        <v>74</v>
      </c>
      <c r="E37" t="s">
        <v>74</v>
      </c>
      <c r="F37" t="s">
        <v>893</v>
      </c>
      <c r="G37" t="s">
        <v>74</v>
      </c>
      <c r="H37" t="s">
        <v>74</v>
      </c>
      <c r="I37" t="s">
        <v>894</v>
      </c>
      <c r="J37" t="s">
        <v>851</v>
      </c>
      <c r="K37" t="s">
        <v>74</v>
      </c>
      <c r="L37" t="s">
        <v>74</v>
      </c>
      <c r="M37" t="s">
        <v>78</v>
      </c>
      <c r="N37" t="s">
        <v>79</v>
      </c>
      <c r="O37" t="s">
        <v>74</v>
      </c>
      <c r="P37" t="s">
        <v>74</v>
      </c>
      <c r="Q37" t="s">
        <v>74</v>
      </c>
      <c r="R37" t="s">
        <v>74</v>
      </c>
      <c r="S37" t="s">
        <v>74</v>
      </c>
      <c r="T37" t="s">
        <v>74</v>
      </c>
      <c r="U37" t="s">
        <v>895</v>
      </c>
      <c r="V37" t="s">
        <v>896</v>
      </c>
      <c r="W37" t="s">
        <v>897</v>
      </c>
      <c r="X37" t="s">
        <v>898</v>
      </c>
      <c r="Y37" t="s">
        <v>899</v>
      </c>
      <c r="Z37" t="s">
        <v>900</v>
      </c>
      <c r="AA37" t="s">
        <v>901</v>
      </c>
      <c r="AB37" t="s">
        <v>902</v>
      </c>
      <c r="AC37" t="s">
        <v>903</v>
      </c>
      <c r="AD37" t="s">
        <v>904</v>
      </c>
      <c r="AE37" t="s">
        <v>905</v>
      </c>
      <c r="AF37" t="s">
        <v>74</v>
      </c>
      <c r="AG37">
        <v>54</v>
      </c>
      <c r="AH37">
        <v>2</v>
      </c>
      <c r="AI37">
        <v>2</v>
      </c>
      <c r="AJ37">
        <v>1</v>
      </c>
      <c r="AK37">
        <v>9</v>
      </c>
      <c r="AL37" t="s">
        <v>864</v>
      </c>
      <c r="AM37" t="s">
        <v>865</v>
      </c>
      <c r="AN37" t="s">
        <v>866</v>
      </c>
      <c r="AO37" t="s">
        <v>74</v>
      </c>
      <c r="AP37" t="s">
        <v>867</v>
      </c>
      <c r="AQ37" t="s">
        <v>74</v>
      </c>
      <c r="AR37" t="s">
        <v>868</v>
      </c>
      <c r="AS37" t="s">
        <v>869</v>
      </c>
      <c r="AT37" t="s">
        <v>535</v>
      </c>
      <c r="AU37">
        <v>2021</v>
      </c>
      <c r="AV37">
        <v>22</v>
      </c>
      <c r="AW37">
        <v>8</v>
      </c>
      <c r="AX37" t="s">
        <v>74</v>
      </c>
      <c r="AY37" t="s">
        <v>74</v>
      </c>
      <c r="AZ37" t="s">
        <v>74</v>
      </c>
      <c r="BA37" t="s">
        <v>74</v>
      </c>
      <c r="BB37" t="s">
        <v>74</v>
      </c>
      <c r="BC37" t="s">
        <v>74</v>
      </c>
      <c r="BD37" t="s">
        <v>906</v>
      </c>
      <c r="BE37" t="s">
        <v>907</v>
      </c>
      <c r="BF37" t="str">
        <f>HYPERLINK("http://dx.doi.org/10.1029/2021GC009983","http://dx.doi.org/10.1029/2021GC009983")</f>
        <v>http://dx.doi.org/10.1029/2021GC009983</v>
      </c>
      <c r="BG37" t="s">
        <v>74</v>
      </c>
      <c r="BH37" t="s">
        <v>74</v>
      </c>
      <c r="BI37">
        <v>15</v>
      </c>
      <c r="BJ37" t="s">
        <v>289</v>
      </c>
      <c r="BK37" t="s">
        <v>128</v>
      </c>
      <c r="BL37" t="s">
        <v>289</v>
      </c>
      <c r="BM37" t="s">
        <v>872</v>
      </c>
      <c r="BN37" t="s">
        <v>74</v>
      </c>
      <c r="BO37" t="s">
        <v>908</v>
      </c>
      <c r="BP37" t="s">
        <v>74</v>
      </c>
      <c r="BQ37" t="s">
        <v>74</v>
      </c>
      <c r="BR37" t="s">
        <v>102</v>
      </c>
      <c r="BS37" t="s">
        <v>909</v>
      </c>
      <c r="BT37" t="str">
        <f>HYPERLINK("https%3A%2F%2Fwww.webofscience.com%2Fwos%2Fwoscc%2Ffull-record%2FWOS:000691021600022","View Full Record in Web of Science")</f>
        <v>View Full Record in Web of Science</v>
      </c>
    </row>
    <row r="38" spans="1:72" x14ac:dyDescent="0.15">
      <c r="A38" t="s">
        <v>72</v>
      </c>
      <c r="B38" t="s">
        <v>910</v>
      </c>
      <c r="C38" t="s">
        <v>74</v>
      </c>
      <c r="D38" t="s">
        <v>74</v>
      </c>
      <c r="E38" t="s">
        <v>74</v>
      </c>
      <c r="F38" t="s">
        <v>911</v>
      </c>
      <c r="G38" t="s">
        <v>74</v>
      </c>
      <c r="H38" t="s">
        <v>74</v>
      </c>
      <c r="I38" t="s">
        <v>912</v>
      </c>
      <c r="J38" t="s">
        <v>913</v>
      </c>
      <c r="K38" t="s">
        <v>74</v>
      </c>
      <c r="L38" t="s">
        <v>74</v>
      </c>
      <c r="M38" t="s">
        <v>78</v>
      </c>
      <c r="N38" t="s">
        <v>79</v>
      </c>
      <c r="O38" t="s">
        <v>74</v>
      </c>
      <c r="P38" t="s">
        <v>74</v>
      </c>
      <c r="Q38" t="s">
        <v>74</v>
      </c>
      <c r="R38" t="s">
        <v>74</v>
      </c>
      <c r="S38" t="s">
        <v>74</v>
      </c>
      <c r="T38" t="s">
        <v>914</v>
      </c>
      <c r="U38" t="s">
        <v>915</v>
      </c>
      <c r="V38" t="s">
        <v>916</v>
      </c>
      <c r="W38" t="s">
        <v>917</v>
      </c>
      <c r="X38" t="s">
        <v>918</v>
      </c>
      <c r="Y38" t="s">
        <v>919</v>
      </c>
      <c r="Z38" t="s">
        <v>920</v>
      </c>
      <c r="AA38" t="s">
        <v>74</v>
      </c>
      <c r="AB38" t="s">
        <v>921</v>
      </c>
      <c r="AC38" t="s">
        <v>922</v>
      </c>
      <c r="AD38" t="s">
        <v>923</v>
      </c>
      <c r="AE38" t="s">
        <v>924</v>
      </c>
      <c r="AF38" t="s">
        <v>74</v>
      </c>
      <c r="AG38">
        <v>111</v>
      </c>
      <c r="AH38">
        <v>2</v>
      </c>
      <c r="AI38">
        <v>3</v>
      </c>
      <c r="AJ38">
        <v>3</v>
      </c>
      <c r="AK38">
        <v>6</v>
      </c>
      <c r="AL38" t="s">
        <v>814</v>
      </c>
      <c r="AM38" t="s">
        <v>815</v>
      </c>
      <c r="AN38" t="s">
        <v>816</v>
      </c>
      <c r="AO38" t="s">
        <v>925</v>
      </c>
      <c r="AP38" t="s">
        <v>926</v>
      </c>
      <c r="AQ38" t="s">
        <v>74</v>
      </c>
      <c r="AR38" t="s">
        <v>927</v>
      </c>
      <c r="AS38" t="s">
        <v>928</v>
      </c>
      <c r="AT38" t="s">
        <v>535</v>
      </c>
      <c r="AU38">
        <v>2021</v>
      </c>
      <c r="AV38">
        <v>51</v>
      </c>
      <c r="AW38">
        <v>4</v>
      </c>
      <c r="AX38" t="s">
        <v>74</v>
      </c>
      <c r="AY38" t="s">
        <v>74</v>
      </c>
      <c r="AZ38" t="s">
        <v>74</v>
      </c>
      <c r="BA38" t="s">
        <v>74</v>
      </c>
      <c r="BB38" t="s">
        <v>74</v>
      </c>
      <c r="BC38" t="s">
        <v>74</v>
      </c>
      <c r="BD38">
        <v>59</v>
      </c>
      <c r="BE38" t="s">
        <v>929</v>
      </c>
      <c r="BF38" t="str">
        <f>HYPERLINK("http://dx.doi.org/10.1007/s12526-021-01194-9","http://dx.doi.org/10.1007/s12526-021-01194-9")</f>
        <v>http://dx.doi.org/10.1007/s12526-021-01194-9</v>
      </c>
      <c r="BG38" t="s">
        <v>74</v>
      </c>
      <c r="BH38" t="s">
        <v>74</v>
      </c>
      <c r="BI38">
        <v>12</v>
      </c>
      <c r="BJ38" t="s">
        <v>930</v>
      </c>
      <c r="BK38" t="s">
        <v>128</v>
      </c>
      <c r="BL38" t="s">
        <v>931</v>
      </c>
      <c r="BM38" t="s">
        <v>932</v>
      </c>
      <c r="BN38" t="s">
        <v>74</v>
      </c>
      <c r="BO38" t="s">
        <v>74</v>
      </c>
      <c r="BP38" t="s">
        <v>74</v>
      </c>
      <c r="BQ38" t="s">
        <v>74</v>
      </c>
      <c r="BR38" t="s">
        <v>102</v>
      </c>
      <c r="BS38" t="s">
        <v>933</v>
      </c>
      <c r="BT38" t="str">
        <f>HYPERLINK("https%3A%2F%2Fwww.webofscience.com%2Fwos%2Fwoscc%2Ffull-record%2FWOS:000692154100001","View Full Record in Web of Science")</f>
        <v>View Full Record in Web of Science</v>
      </c>
    </row>
    <row r="39" spans="1:72" x14ac:dyDescent="0.15">
      <c r="A39" t="s">
        <v>72</v>
      </c>
      <c r="B39" t="s">
        <v>934</v>
      </c>
      <c r="C39" t="s">
        <v>74</v>
      </c>
      <c r="D39" t="s">
        <v>74</v>
      </c>
      <c r="E39" t="s">
        <v>74</v>
      </c>
      <c r="F39" t="s">
        <v>935</v>
      </c>
      <c r="G39" t="s">
        <v>74</v>
      </c>
      <c r="H39" t="s">
        <v>74</v>
      </c>
      <c r="I39" t="s">
        <v>936</v>
      </c>
      <c r="J39" t="s">
        <v>937</v>
      </c>
      <c r="K39" t="s">
        <v>74</v>
      </c>
      <c r="L39" t="s">
        <v>74</v>
      </c>
      <c r="M39" t="s">
        <v>78</v>
      </c>
      <c r="N39" t="s">
        <v>52</v>
      </c>
      <c r="O39" t="s">
        <v>74</v>
      </c>
      <c r="P39" t="s">
        <v>74</v>
      </c>
      <c r="Q39" t="s">
        <v>74</v>
      </c>
      <c r="R39" t="s">
        <v>74</v>
      </c>
      <c r="S39" t="s">
        <v>74</v>
      </c>
      <c r="T39" t="s">
        <v>74</v>
      </c>
      <c r="U39" t="s">
        <v>74</v>
      </c>
      <c r="V39" t="s">
        <v>74</v>
      </c>
      <c r="W39" t="s">
        <v>938</v>
      </c>
      <c r="X39" t="s">
        <v>939</v>
      </c>
      <c r="Y39" t="s">
        <v>74</v>
      </c>
      <c r="Z39" t="s">
        <v>940</v>
      </c>
      <c r="AA39" t="s">
        <v>941</v>
      </c>
      <c r="AB39" t="s">
        <v>74</v>
      </c>
      <c r="AC39" t="s">
        <v>942</v>
      </c>
      <c r="AD39" t="s">
        <v>943</v>
      </c>
      <c r="AE39" t="s">
        <v>944</v>
      </c>
      <c r="AF39" t="s">
        <v>74</v>
      </c>
      <c r="AG39">
        <v>4</v>
      </c>
      <c r="AH39">
        <v>0</v>
      </c>
      <c r="AI39">
        <v>0</v>
      </c>
      <c r="AJ39">
        <v>0</v>
      </c>
      <c r="AK39">
        <v>0</v>
      </c>
      <c r="AL39" t="s">
        <v>197</v>
      </c>
      <c r="AM39" t="s">
        <v>198</v>
      </c>
      <c r="AN39" t="s">
        <v>199</v>
      </c>
      <c r="AO39" t="s">
        <v>945</v>
      </c>
      <c r="AP39" t="s">
        <v>946</v>
      </c>
      <c r="AQ39" t="s">
        <v>74</v>
      </c>
      <c r="AR39" t="s">
        <v>947</v>
      </c>
      <c r="AS39" t="s">
        <v>948</v>
      </c>
      <c r="AT39" t="s">
        <v>535</v>
      </c>
      <c r="AU39">
        <v>2021</v>
      </c>
      <c r="AV39">
        <v>56</v>
      </c>
      <c r="AW39" t="s">
        <v>74</v>
      </c>
      <c r="AX39" t="s">
        <v>74</v>
      </c>
      <c r="AY39">
        <v>1</v>
      </c>
      <c r="AZ39" t="s">
        <v>74</v>
      </c>
      <c r="BA39" t="s">
        <v>74</v>
      </c>
      <c r="BB39" t="s">
        <v>74</v>
      </c>
      <c r="BC39" t="s">
        <v>74</v>
      </c>
      <c r="BD39" t="s">
        <v>74</v>
      </c>
      <c r="BE39" t="s">
        <v>74</v>
      </c>
      <c r="BF39" t="s">
        <v>74</v>
      </c>
      <c r="BG39" t="s">
        <v>74</v>
      </c>
      <c r="BH39" t="s">
        <v>74</v>
      </c>
      <c r="BI39">
        <v>1</v>
      </c>
      <c r="BJ39" t="s">
        <v>289</v>
      </c>
      <c r="BK39" t="s">
        <v>128</v>
      </c>
      <c r="BL39" t="s">
        <v>289</v>
      </c>
      <c r="BM39" t="s">
        <v>949</v>
      </c>
      <c r="BN39" t="s">
        <v>74</v>
      </c>
      <c r="BO39" t="s">
        <v>74</v>
      </c>
      <c r="BP39" t="s">
        <v>74</v>
      </c>
      <c r="BQ39" t="s">
        <v>74</v>
      </c>
      <c r="BR39" t="s">
        <v>102</v>
      </c>
      <c r="BS39" t="s">
        <v>950</v>
      </c>
      <c r="BT39" t="str">
        <f>HYPERLINK("https%3A%2F%2Fwww.webofscience.com%2Fwos%2Fwoscc%2Ffull-record%2FWOS:000684014300003","View Full Record in Web of Science")</f>
        <v>View Full Record in Web of Science</v>
      </c>
    </row>
    <row r="40" spans="1:72" x14ac:dyDescent="0.15">
      <c r="A40" t="s">
        <v>72</v>
      </c>
      <c r="B40" t="s">
        <v>951</v>
      </c>
      <c r="C40" t="s">
        <v>74</v>
      </c>
      <c r="D40" t="s">
        <v>74</v>
      </c>
      <c r="E40" t="s">
        <v>74</v>
      </c>
      <c r="F40" t="s">
        <v>952</v>
      </c>
      <c r="G40" t="s">
        <v>74</v>
      </c>
      <c r="H40" t="s">
        <v>74</v>
      </c>
      <c r="I40" t="s">
        <v>953</v>
      </c>
      <c r="J40" t="s">
        <v>937</v>
      </c>
      <c r="K40" t="s">
        <v>74</v>
      </c>
      <c r="L40" t="s">
        <v>74</v>
      </c>
      <c r="M40" t="s">
        <v>78</v>
      </c>
      <c r="N40" t="s">
        <v>52</v>
      </c>
      <c r="O40" t="s">
        <v>954</v>
      </c>
      <c r="P40" t="s">
        <v>955</v>
      </c>
      <c r="Q40" t="s">
        <v>956</v>
      </c>
      <c r="R40" t="s">
        <v>74</v>
      </c>
      <c r="S40" t="s">
        <v>74</v>
      </c>
      <c r="T40" t="s">
        <v>74</v>
      </c>
      <c r="U40" t="s">
        <v>957</v>
      </c>
      <c r="V40" t="s">
        <v>74</v>
      </c>
      <c r="W40" t="s">
        <v>958</v>
      </c>
      <c r="X40" t="s">
        <v>959</v>
      </c>
      <c r="Y40" t="s">
        <v>74</v>
      </c>
      <c r="Z40" t="s">
        <v>960</v>
      </c>
      <c r="AA40" t="s">
        <v>961</v>
      </c>
      <c r="AB40" t="s">
        <v>74</v>
      </c>
      <c r="AC40" t="s">
        <v>74</v>
      </c>
      <c r="AD40" t="s">
        <v>74</v>
      </c>
      <c r="AE40" t="s">
        <v>74</v>
      </c>
      <c r="AF40" t="s">
        <v>74</v>
      </c>
      <c r="AG40">
        <v>11</v>
      </c>
      <c r="AH40">
        <v>0</v>
      </c>
      <c r="AI40">
        <v>0</v>
      </c>
      <c r="AJ40">
        <v>0</v>
      </c>
      <c r="AK40">
        <v>0</v>
      </c>
      <c r="AL40" t="s">
        <v>197</v>
      </c>
      <c r="AM40" t="s">
        <v>198</v>
      </c>
      <c r="AN40" t="s">
        <v>199</v>
      </c>
      <c r="AO40" t="s">
        <v>945</v>
      </c>
      <c r="AP40" t="s">
        <v>946</v>
      </c>
      <c r="AQ40" t="s">
        <v>74</v>
      </c>
      <c r="AR40" t="s">
        <v>947</v>
      </c>
      <c r="AS40" t="s">
        <v>948</v>
      </c>
      <c r="AT40" t="s">
        <v>535</v>
      </c>
      <c r="AU40">
        <v>2021</v>
      </c>
      <c r="AV40">
        <v>56</v>
      </c>
      <c r="AW40" t="s">
        <v>74</v>
      </c>
      <c r="AX40" t="s">
        <v>74</v>
      </c>
      <c r="AY40">
        <v>1</v>
      </c>
      <c r="AZ40" t="s">
        <v>74</v>
      </c>
      <c r="BA40" t="s">
        <v>74</v>
      </c>
      <c r="BB40" t="s">
        <v>74</v>
      </c>
      <c r="BC40" t="s">
        <v>74</v>
      </c>
      <c r="BD40" t="s">
        <v>74</v>
      </c>
      <c r="BE40" t="s">
        <v>74</v>
      </c>
      <c r="BF40" t="s">
        <v>74</v>
      </c>
      <c r="BG40" t="s">
        <v>74</v>
      </c>
      <c r="BH40" t="s">
        <v>74</v>
      </c>
      <c r="BI40">
        <v>1</v>
      </c>
      <c r="BJ40" t="s">
        <v>289</v>
      </c>
      <c r="BK40" t="s">
        <v>962</v>
      </c>
      <c r="BL40" t="s">
        <v>289</v>
      </c>
      <c r="BM40" t="s">
        <v>949</v>
      </c>
      <c r="BN40" t="s">
        <v>74</v>
      </c>
      <c r="BO40" t="s">
        <v>74</v>
      </c>
      <c r="BP40" t="s">
        <v>74</v>
      </c>
      <c r="BQ40" t="s">
        <v>74</v>
      </c>
      <c r="BR40" t="s">
        <v>102</v>
      </c>
      <c r="BS40" t="s">
        <v>963</v>
      </c>
      <c r="BT40" t="str">
        <f>HYPERLINK("https%3A%2F%2Fwww.webofscience.com%2Fwos%2Fwoscc%2Ffull-record%2FWOS:000684014300029","View Full Record in Web of Science")</f>
        <v>View Full Record in Web of Science</v>
      </c>
    </row>
    <row r="41" spans="1:72" x14ac:dyDescent="0.15">
      <c r="A41" t="s">
        <v>72</v>
      </c>
      <c r="B41" t="s">
        <v>964</v>
      </c>
      <c r="C41" t="s">
        <v>74</v>
      </c>
      <c r="D41" t="s">
        <v>74</v>
      </c>
      <c r="E41" t="s">
        <v>74</v>
      </c>
      <c r="F41" t="s">
        <v>965</v>
      </c>
      <c r="G41" t="s">
        <v>74</v>
      </c>
      <c r="H41" t="s">
        <v>74</v>
      </c>
      <c r="I41" t="s">
        <v>966</v>
      </c>
      <c r="J41" t="s">
        <v>937</v>
      </c>
      <c r="K41" t="s">
        <v>74</v>
      </c>
      <c r="L41" t="s">
        <v>74</v>
      </c>
      <c r="M41" t="s">
        <v>78</v>
      </c>
      <c r="N41" t="s">
        <v>52</v>
      </c>
      <c r="O41" t="s">
        <v>74</v>
      </c>
      <c r="P41" t="s">
        <v>74</v>
      </c>
      <c r="Q41" t="s">
        <v>74</v>
      </c>
      <c r="R41" t="s">
        <v>74</v>
      </c>
      <c r="S41" t="s">
        <v>74</v>
      </c>
      <c r="T41" t="s">
        <v>74</v>
      </c>
      <c r="U41" t="s">
        <v>74</v>
      </c>
      <c r="V41" t="s">
        <v>74</v>
      </c>
      <c r="W41" t="s">
        <v>967</v>
      </c>
      <c r="X41" t="s">
        <v>968</v>
      </c>
      <c r="Y41" t="s">
        <v>74</v>
      </c>
      <c r="Z41" t="s">
        <v>969</v>
      </c>
      <c r="AA41" t="s">
        <v>74</v>
      </c>
      <c r="AB41" t="s">
        <v>74</v>
      </c>
      <c r="AC41" t="s">
        <v>74</v>
      </c>
      <c r="AD41" t="s">
        <v>74</v>
      </c>
      <c r="AE41" t="s">
        <v>74</v>
      </c>
      <c r="AF41" t="s">
        <v>74</v>
      </c>
      <c r="AG41">
        <v>6</v>
      </c>
      <c r="AH41">
        <v>0</v>
      </c>
      <c r="AI41">
        <v>0</v>
      </c>
      <c r="AJ41">
        <v>0</v>
      </c>
      <c r="AK41">
        <v>0</v>
      </c>
      <c r="AL41" t="s">
        <v>197</v>
      </c>
      <c r="AM41" t="s">
        <v>198</v>
      </c>
      <c r="AN41" t="s">
        <v>199</v>
      </c>
      <c r="AO41" t="s">
        <v>945</v>
      </c>
      <c r="AP41" t="s">
        <v>946</v>
      </c>
      <c r="AQ41" t="s">
        <v>74</v>
      </c>
      <c r="AR41" t="s">
        <v>947</v>
      </c>
      <c r="AS41" t="s">
        <v>948</v>
      </c>
      <c r="AT41" t="s">
        <v>535</v>
      </c>
      <c r="AU41">
        <v>2021</v>
      </c>
      <c r="AV41">
        <v>56</v>
      </c>
      <c r="AW41" t="s">
        <v>74</v>
      </c>
      <c r="AX41" t="s">
        <v>74</v>
      </c>
      <c r="AY41">
        <v>1</v>
      </c>
      <c r="AZ41" t="s">
        <v>74</v>
      </c>
      <c r="BA41" t="s">
        <v>74</v>
      </c>
      <c r="BB41" t="s">
        <v>74</v>
      </c>
      <c r="BC41" t="s">
        <v>74</v>
      </c>
      <c r="BD41" t="s">
        <v>74</v>
      </c>
      <c r="BE41" t="s">
        <v>74</v>
      </c>
      <c r="BF41" t="s">
        <v>74</v>
      </c>
      <c r="BG41" t="s">
        <v>74</v>
      </c>
      <c r="BH41" t="s">
        <v>74</v>
      </c>
      <c r="BI41">
        <v>1</v>
      </c>
      <c r="BJ41" t="s">
        <v>289</v>
      </c>
      <c r="BK41" t="s">
        <v>128</v>
      </c>
      <c r="BL41" t="s">
        <v>289</v>
      </c>
      <c r="BM41" t="s">
        <v>949</v>
      </c>
      <c r="BN41" t="s">
        <v>74</v>
      </c>
      <c r="BO41" t="s">
        <v>74</v>
      </c>
      <c r="BP41" t="s">
        <v>74</v>
      </c>
      <c r="BQ41" t="s">
        <v>74</v>
      </c>
      <c r="BR41" t="s">
        <v>102</v>
      </c>
      <c r="BS41" t="s">
        <v>970</v>
      </c>
      <c r="BT41" t="str">
        <f>HYPERLINK("https%3A%2F%2Fwww.webofscience.com%2Fwos%2Fwoscc%2Ffull-record%2FWOS:000684014300067","View Full Record in Web of Science")</f>
        <v>View Full Record in Web of Science</v>
      </c>
    </row>
    <row r="42" spans="1:72" x14ac:dyDescent="0.15">
      <c r="A42" t="s">
        <v>72</v>
      </c>
      <c r="B42" t="s">
        <v>971</v>
      </c>
      <c r="C42" t="s">
        <v>74</v>
      </c>
      <c r="D42" t="s">
        <v>74</v>
      </c>
      <c r="E42" t="s">
        <v>74</v>
      </c>
      <c r="F42" t="s">
        <v>972</v>
      </c>
      <c r="G42" t="s">
        <v>74</v>
      </c>
      <c r="H42" t="s">
        <v>74</v>
      </c>
      <c r="I42" t="s">
        <v>973</v>
      </c>
      <c r="J42" t="s">
        <v>937</v>
      </c>
      <c r="K42" t="s">
        <v>74</v>
      </c>
      <c r="L42" t="s">
        <v>74</v>
      </c>
      <c r="M42" t="s">
        <v>78</v>
      </c>
      <c r="N42" t="s">
        <v>52</v>
      </c>
      <c r="O42" t="s">
        <v>74</v>
      </c>
      <c r="P42" t="s">
        <v>74</v>
      </c>
      <c r="Q42" t="s">
        <v>74</v>
      </c>
      <c r="R42" t="s">
        <v>74</v>
      </c>
      <c r="S42" t="s">
        <v>74</v>
      </c>
      <c r="T42" t="s">
        <v>74</v>
      </c>
      <c r="U42" t="s">
        <v>74</v>
      </c>
      <c r="V42" t="s">
        <v>74</v>
      </c>
      <c r="W42" t="s">
        <v>974</v>
      </c>
      <c r="X42" t="s">
        <v>975</v>
      </c>
      <c r="Y42" t="s">
        <v>74</v>
      </c>
      <c r="Z42" t="s">
        <v>976</v>
      </c>
      <c r="AA42" t="s">
        <v>74</v>
      </c>
      <c r="AB42" t="s">
        <v>74</v>
      </c>
      <c r="AC42" t="s">
        <v>74</v>
      </c>
      <c r="AD42" t="s">
        <v>74</v>
      </c>
      <c r="AE42" t="s">
        <v>74</v>
      </c>
      <c r="AF42" t="s">
        <v>74</v>
      </c>
      <c r="AG42">
        <v>5</v>
      </c>
      <c r="AH42">
        <v>0</v>
      </c>
      <c r="AI42">
        <v>0</v>
      </c>
      <c r="AJ42">
        <v>0</v>
      </c>
      <c r="AK42">
        <v>0</v>
      </c>
      <c r="AL42" t="s">
        <v>197</v>
      </c>
      <c r="AM42" t="s">
        <v>198</v>
      </c>
      <c r="AN42" t="s">
        <v>199</v>
      </c>
      <c r="AO42" t="s">
        <v>945</v>
      </c>
      <c r="AP42" t="s">
        <v>946</v>
      </c>
      <c r="AQ42" t="s">
        <v>74</v>
      </c>
      <c r="AR42" t="s">
        <v>947</v>
      </c>
      <c r="AS42" t="s">
        <v>948</v>
      </c>
      <c r="AT42" t="s">
        <v>535</v>
      </c>
      <c r="AU42">
        <v>2021</v>
      </c>
      <c r="AV42">
        <v>56</v>
      </c>
      <c r="AW42" t="s">
        <v>74</v>
      </c>
      <c r="AX42" t="s">
        <v>74</v>
      </c>
      <c r="AY42">
        <v>1</v>
      </c>
      <c r="AZ42" t="s">
        <v>74</v>
      </c>
      <c r="BA42" t="s">
        <v>74</v>
      </c>
      <c r="BB42" t="s">
        <v>74</v>
      </c>
      <c r="BC42" t="s">
        <v>74</v>
      </c>
      <c r="BD42" t="s">
        <v>74</v>
      </c>
      <c r="BE42" t="s">
        <v>74</v>
      </c>
      <c r="BF42" t="s">
        <v>74</v>
      </c>
      <c r="BG42" t="s">
        <v>74</v>
      </c>
      <c r="BH42" t="s">
        <v>74</v>
      </c>
      <c r="BI42">
        <v>1</v>
      </c>
      <c r="BJ42" t="s">
        <v>289</v>
      </c>
      <c r="BK42" t="s">
        <v>128</v>
      </c>
      <c r="BL42" t="s">
        <v>289</v>
      </c>
      <c r="BM42" t="s">
        <v>949</v>
      </c>
      <c r="BN42" t="s">
        <v>74</v>
      </c>
      <c r="BO42" t="s">
        <v>74</v>
      </c>
      <c r="BP42" t="s">
        <v>74</v>
      </c>
      <c r="BQ42" t="s">
        <v>74</v>
      </c>
      <c r="BR42" t="s">
        <v>102</v>
      </c>
      <c r="BS42" t="s">
        <v>977</v>
      </c>
      <c r="BT42" t="str">
        <f>HYPERLINK("https%3A%2F%2Fwww.webofscience.com%2Fwos%2Fwoscc%2Ffull-record%2FWOS:000684014300124","View Full Record in Web of Science")</f>
        <v>View Full Record in Web of Science</v>
      </c>
    </row>
    <row r="43" spans="1:72" x14ac:dyDescent="0.15">
      <c r="A43" t="s">
        <v>72</v>
      </c>
      <c r="B43" t="s">
        <v>978</v>
      </c>
      <c r="C43" t="s">
        <v>74</v>
      </c>
      <c r="D43" t="s">
        <v>74</v>
      </c>
      <c r="E43" t="s">
        <v>74</v>
      </c>
      <c r="F43" t="s">
        <v>979</v>
      </c>
      <c r="G43" t="s">
        <v>74</v>
      </c>
      <c r="H43" t="s">
        <v>74</v>
      </c>
      <c r="I43" t="s">
        <v>980</v>
      </c>
      <c r="J43" t="s">
        <v>937</v>
      </c>
      <c r="K43" t="s">
        <v>74</v>
      </c>
      <c r="L43" t="s">
        <v>74</v>
      </c>
      <c r="M43" t="s">
        <v>78</v>
      </c>
      <c r="N43" t="s">
        <v>52</v>
      </c>
      <c r="O43" t="s">
        <v>74</v>
      </c>
      <c r="P43" t="s">
        <v>74</v>
      </c>
      <c r="Q43" t="s">
        <v>74</v>
      </c>
      <c r="R43" t="s">
        <v>74</v>
      </c>
      <c r="S43" t="s">
        <v>74</v>
      </c>
      <c r="T43" t="s">
        <v>74</v>
      </c>
      <c r="U43" t="s">
        <v>74</v>
      </c>
      <c r="V43" t="s">
        <v>74</v>
      </c>
      <c r="W43" t="s">
        <v>981</v>
      </c>
      <c r="X43" t="s">
        <v>975</v>
      </c>
      <c r="Y43" t="s">
        <v>74</v>
      </c>
      <c r="Z43" t="s">
        <v>982</v>
      </c>
      <c r="AA43" t="s">
        <v>74</v>
      </c>
      <c r="AB43" t="s">
        <v>74</v>
      </c>
      <c r="AC43" t="s">
        <v>74</v>
      </c>
      <c r="AD43" t="s">
        <v>74</v>
      </c>
      <c r="AE43" t="s">
        <v>74</v>
      </c>
      <c r="AF43" t="s">
        <v>74</v>
      </c>
      <c r="AG43">
        <v>2</v>
      </c>
      <c r="AH43">
        <v>0</v>
      </c>
      <c r="AI43">
        <v>0</v>
      </c>
      <c r="AJ43">
        <v>0</v>
      </c>
      <c r="AK43">
        <v>0</v>
      </c>
      <c r="AL43" t="s">
        <v>197</v>
      </c>
      <c r="AM43" t="s">
        <v>198</v>
      </c>
      <c r="AN43" t="s">
        <v>199</v>
      </c>
      <c r="AO43" t="s">
        <v>945</v>
      </c>
      <c r="AP43" t="s">
        <v>946</v>
      </c>
      <c r="AQ43" t="s">
        <v>74</v>
      </c>
      <c r="AR43" t="s">
        <v>947</v>
      </c>
      <c r="AS43" t="s">
        <v>948</v>
      </c>
      <c r="AT43" t="s">
        <v>535</v>
      </c>
      <c r="AU43">
        <v>2021</v>
      </c>
      <c r="AV43">
        <v>56</v>
      </c>
      <c r="AW43" t="s">
        <v>74</v>
      </c>
      <c r="AX43" t="s">
        <v>74</v>
      </c>
      <c r="AY43">
        <v>1</v>
      </c>
      <c r="AZ43" t="s">
        <v>74</v>
      </c>
      <c r="BA43" t="s">
        <v>74</v>
      </c>
      <c r="BB43" t="s">
        <v>74</v>
      </c>
      <c r="BC43" t="s">
        <v>74</v>
      </c>
      <c r="BD43" t="s">
        <v>74</v>
      </c>
      <c r="BE43" t="s">
        <v>74</v>
      </c>
      <c r="BF43" t="s">
        <v>74</v>
      </c>
      <c r="BG43" t="s">
        <v>74</v>
      </c>
      <c r="BH43" t="s">
        <v>74</v>
      </c>
      <c r="BI43">
        <v>1</v>
      </c>
      <c r="BJ43" t="s">
        <v>289</v>
      </c>
      <c r="BK43" t="s">
        <v>128</v>
      </c>
      <c r="BL43" t="s">
        <v>289</v>
      </c>
      <c r="BM43" t="s">
        <v>949</v>
      </c>
      <c r="BN43" t="s">
        <v>74</v>
      </c>
      <c r="BO43" t="s">
        <v>74</v>
      </c>
      <c r="BP43" t="s">
        <v>74</v>
      </c>
      <c r="BQ43" t="s">
        <v>74</v>
      </c>
      <c r="BR43" t="s">
        <v>102</v>
      </c>
      <c r="BS43" t="s">
        <v>983</v>
      </c>
      <c r="BT43" t="str">
        <f>HYPERLINK("https%3A%2F%2Fwww.webofscience.com%2Fwos%2Fwoscc%2Ffull-record%2FWOS:000684014300126","View Full Record in Web of Science")</f>
        <v>View Full Record in Web of Science</v>
      </c>
    </row>
    <row r="44" spans="1:72" x14ac:dyDescent="0.15">
      <c r="A44" t="s">
        <v>72</v>
      </c>
      <c r="B44" t="s">
        <v>978</v>
      </c>
      <c r="C44" t="s">
        <v>74</v>
      </c>
      <c r="D44" t="s">
        <v>74</v>
      </c>
      <c r="E44" t="s">
        <v>74</v>
      </c>
      <c r="F44" t="s">
        <v>979</v>
      </c>
      <c r="G44" t="s">
        <v>74</v>
      </c>
      <c r="H44" t="s">
        <v>74</v>
      </c>
      <c r="I44" t="s">
        <v>984</v>
      </c>
      <c r="J44" t="s">
        <v>937</v>
      </c>
      <c r="K44" t="s">
        <v>74</v>
      </c>
      <c r="L44" t="s">
        <v>74</v>
      </c>
      <c r="M44" t="s">
        <v>78</v>
      </c>
      <c r="N44" t="s">
        <v>52</v>
      </c>
      <c r="O44" t="s">
        <v>74</v>
      </c>
      <c r="P44" t="s">
        <v>74</v>
      </c>
      <c r="Q44" t="s">
        <v>74</v>
      </c>
      <c r="R44" t="s">
        <v>74</v>
      </c>
      <c r="S44" t="s">
        <v>74</v>
      </c>
      <c r="T44" t="s">
        <v>74</v>
      </c>
      <c r="U44" t="s">
        <v>74</v>
      </c>
      <c r="V44" t="s">
        <v>74</v>
      </c>
      <c r="W44" t="s">
        <v>985</v>
      </c>
      <c r="X44" t="s">
        <v>975</v>
      </c>
      <c r="Y44" t="s">
        <v>74</v>
      </c>
      <c r="Z44" t="s">
        <v>982</v>
      </c>
      <c r="AA44" t="s">
        <v>74</v>
      </c>
      <c r="AB44" t="s">
        <v>74</v>
      </c>
      <c r="AC44" t="s">
        <v>74</v>
      </c>
      <c r="AD44" t="s">
        <v>74</v>
      </c>
      <c r="AE44" t="s">
        <v>74</v>
      </c>
      <c r="AF44" t="s">
        <v>74</v>
      </c>
      <c r="AG44">
        <v>4</v>
      </c>
      <c r="AH44">
        <v>0</v>
      </c>
      <c r="AI44">
        <v>0</v>
      </c>
      <c r="AJ44">
        <v>0</v>
      </c>
      <c r="AK44">
        <v>0</v>
      </c>
      <c r="AL44" t="s">
        <v>197</v>
      </c>
      <c r="AM44" t="s">
        <v>198</v>
      </c>
      <c r="AN44" t="s">
        <v>199</v>
      </c>
      <c r="AO44" t="s">
        <v>945</v>
      </c>
      <c r="AP44" t="s">
        <v>946</v>
      </c>
      <c r="AQ44" t="s">
        <v>74</v>
      </c>
      <c r="AR44" t="s">
        <v>947</v>
      </c>
      <c r="AS44" t="s">
        <v>948</v>
      </c>
      <c r="AT44" t="s">
        <v>535</v>
      </c>
      <c r="AU44">
        <v>2021</v>
      </c>
      <c r="AV44">
        <v>56</v>
      </c>
      <c r="AW44" t="s">
        <v>74</v>
      </c>
      <c r="AX44" t="s">
        <v>74</v>
      </c>
      <c r="AY44">
        <v>1</v>
      </c>
      <c r="AZ44" t="s">
        <v>74</v>
      </c>
      <c r="BA44" t="s">
        <v>74</v>
      </c>
      <c r="BB44" t="s">
        <v>74</v>
      </c>
      <c r="BC44" t="s">
        <v>74</v>
      </c>
      <c r="BD44" t="s">
        <v>74</v>
      </c>
      <c r="BE44" t="s">
        <v>74</v>
      </c>
      <c r="BF44" t="s">
        <v>74</v>
      </c>
      <c r="BG44" t="s">
        <v>74</v>
      </c>
      <c r="BH44" t="s">
        <v>74</v>
      </c>
      <c r="BI44">
        <v>1</v>
      </c>
      <c r="BJ44" t="s">
        <v>289</v>
      </c>
      <c r="BK44" t="s">
        <v>128</v>
      </c>
      <c r="BL44" t="s">
        <v>289</v>
      </c>
      <c r="BM44" t="s">
        <v>949</v>
      </c>
      <c r="BN44" t="s">
        <v>74</v>
      </c>
      <c r="BO44" t="s">
        <v>74</v>
      </c>
      <c r="BP44" t="s">
        <v>74</v>
      </c>
      <c r="BQ44" t="s">
        <v>74</v>
      </c>
      <c r="BR44" t="s">
        <v>102</v>
      </c>
      <c r="BS44" t="s">
        <v>986</v>
      </c>
      <c r="BT44" t="str">
        <f>HYPERLINK("https%3A%2F%2Fwww.webofscience.com%2Fwos%2Fwoscc%2Ffull-record%2FWOS:000684014300125","View Full Record in Web of Science")</f>
        <v>View Full Record in Web of Science</v>
      </c>
    </row>
    <row r="45" spans="1:72" x14ac:dyDescent="0.15">
      <c r="A45" t="s">
        <v>72</v>
      </c>
      <c r="B45" t="s">
        <v>987</v>
      </c>
      <c r="C45" t="s">
        <v>74</v>
      </c>
      <c r="D45" t="s">
        <v>74</v>
      </c>
      <c r="E45" t="s">
        <v>74</v>
      </c>
      <c r="F45" t="s">
        <v>988</v>
      </c>
      <c r="G45" t="s">
        <v>74</v>
      </c>
      <c r="H45" t="s">
        <v>74</v>
      </c>
      <c r="I45" t="s">
        <v>989</v>
      </c>
      <c r="J45" t="s">
        <v>937</v>
      </c>
      <c r="K45" t="s">
        <v>74</v>
      </c>
      <c r="L45" t="s">
        <v>74</v>
      </c>
      <c r="M45" t="s">
        <v>78</v>
      </c>
      <c r="N45" t="s">
        <v>52</v>
      </c>
      <c r="O45" t="s">
        <v>74</v>
      </c>
      <c r="P45" t="s">
        <v>74</v>
      </c>
      <c r="Q45" t="s">
        <v>74</v>
      </c>
      <c r="R45" t="s">
        <v>74</v>
      </c>
      <c r="S45" t="s">
        <v>74</v>
      </c>
      <c r="T45" t="s">
        <v>74</v>
      </c>
      <c r="U45" t="s">
        <v>74</v>
      </c>
      <c r="V45" t="s">
        <v>74</v>
      </c>
      <c r="W45" t="s">
        <v>990</v>
      </c>
      <c r="X45" t="s">
        <v>991</v>
      </c>
      <c r="Y45" t="s">
        <v>74</v>
      </c>
      <c r="Z45" t="s">
        <v>992</v>
      </c>
      <c r="AA45" t="s">
        <v>993</v>
      </c>
      <c r="AB45" t="s">
        <v>74</v>
      </c>
      <c r="AC45" t="s">
        <v>994</v>
      </c>
      <c r="AD45" t="s">
        <v>995</v>
      </c>
      <c r="AE45" t="s">
        <v>996</v>
      </c>
      <c r="AF45" t="s">
        <v>74</v>
      </c>
      <c r="AG45">
        <v>5</v>
      </c>
      <c r="AH45">
        <v>0</v>
      </c>
      <c r="AI45">
        <v>0</v>
      </c>
      <c r="AJ45">
        <v>0</v>
      </c>
      <c r="AK45">
        <v>0</v>
      </c>
      <c r="AL45" t="s">
        <v>197</v>
      </c>
      <c r="AM45" t="s">
        <v>198</v>
      </c>
      <c r="AN45" t="s">
        <v>199</v>
      </c>
      <c r="AO45" t="s">
        <v>945</v>
      </c>
      <c r="AP45" t="s">
        <v>946</v>
      </c>
      <c r="AQ45" t="s">
        <v>74</v>
      </c>
      <c r="AR45" t="s">
        <v>947</v>
      </c>
      <c r="AS45" t="s">
        <v>948</v>
      </c>
      <c r="AT45" t="s">
        <v>535</v>
      </c>
      <c r="AU45">
        <v>2021</v>
      </c>
      <c r="AV45">
        <v>56</v>
      </c>
      <c r="AW45" t="s">
        <v>74</v>
      </c>
      <c r="AX45" t="s">
        <v>74</v>
      </c>
      <c r="AY45">
        <v>1</v>
      </c>
      <c r="AZ45" t="s">
        <v>74</v>
      </c>
      <c r="BA45" t="s">
        <v>74</v>
      </c>
      <c r="BB45" t="s">
        <v>74</v>
      </c>
      <c r="BC45" t="s">
        <v>74</v>
      </c>
      <c r="BD45" t="s">
        <v>74</v>
      </c>
      <c r="BE45" t="s">
        <v>74</v>
      </c>
      <c r="BF45" t="s">
        <v>74</v>
      </c>
      <c r="BG45" t="s">
        <v>74</v>
      </c>
      <c r="BH45" t="s">
        <v>74</v>
      </c>
      <c r="BI45">
        <v>1</v>
      </c>
      <c r="BJ45" t="s">
        <v>289</v>
      </c>
      <c r="BK45" t="s">
        <v>128</v>
      </c>
      <c r="BL45" t="s">
        <v>289</v>
      </c>
      <c r="BM45" t="s">
        <v>949</v>
      </c>
      <c r="BN45" t="s">
        <v>74</v>
      </c>
      <c r="BO45" t="s">
        <v>74</v>
      </c>
      <c r="BP45" t="s">
        <v>74</v>
      </c>
      <c r="BQ45" t="s">
        <v>74</v>
      </c>
      <c r="BR45" t="s">
        <v>102</v>
      </c>
      <c r="BS45" t="s">
        <v>997</v>
      </c>
      <c r="BT45" t="str">
        <f>HYPERLINK("https%3A%2F%2Fwww.webofscience.com%2Fwos%2Fwoscc%2Ffull-record%2FWOS:000684014300158","View Full Record in Web of Science")</f>
        <v>View Full Record in Web of Science</v>
      </c>
    </row>
    <row r="46" spans="1:72" x14ac:dyDescent="0.15">
      <c r="A46" t="s">
        <v>72</v>
      </c>
      <c r="B46" t="s">
        <v>998</v>
      </c>
      <c r="C46" t="s">
        <v>74</v>
      </c>
      <c r="D46" t="s">
        <v>74</v>
      </c>
      <c r="E46" t="s">
        <v>74</v>
      </c>
      <c r="F46" t="s">
        <v>999</v>
      </c>
      <c r="G46" t="s">
        <v>74</v>
      </c>
      <c r="H46" t="s">
        <v>74</v>
      </c>
      <c r="I46" t="s">
        <v>1000</v>
      </c>
      <c r="J46" t="s">
        <v>937</v>
      </c>
      <c r="K46" t="s">
        <v>74</v>
      </c>
      <c r="L46" t="s">
        <v>74</v>
      </c>
      <c r="M46" t="s">
        <v>78</v>
      </c>
      <c r="N46" t="s">
        <v>52</v>
      </c>
      <c r="O46" t="s">
        <v>74</v>
      </c>
      <c r="P46" t="s">
        <v>74</v>
      </c>
      <c r="Q46" t="s">
        <v>74</v>
      </c>
      <c r="R46" t="s">
        <v>74</v>
      </c>
      <c r="S46" t="s">
        <v>74</v>
      </c>
      <c r="T46" t="s">
        <v>74</v>
      </c>
      <c r="U46" t="s">
        <v>74</v>
      </c>
      <c r="V46" t="s">
        <v>74</v>
      </c>
      <c r="W46" t="s">
        <v>1001</v>
      </c>
      <c r="X46" t="s">
        <v>1002</v>
      </c>
      <c r="Y46" t="s">
        <v>74</v>
      </c>
      <c r="Z46" t="s">
        <v>1003</v>
      </c>
      <c r="AA46" t="s">
        <v>74</v>
      </c>
      <c r="AB46" t="s">
        <v>74</v>
      </c>
      <c r="AC46" t="s">
        <v>74</v>
      </c>
      <c r="AD46" t="s">
        <v>74</v>
      </c>
      <c r="AE46" t="s">
        <v>74</v>
      </c>
      <c r="AF46" t="s">
        <v>74</v>
      </c>
      <c r="AG46">
        <v>2</v>
      </c>
      <c r="AH46">
        <v>0</v>
      </c>
      <c r="AI46">
        <v>0</v>
      </c>
      <c r="AJ46">
        <v>0</v>
      </c>
      <c r="AK46">
        <v>0</v>
      </c>
      <c r="AL46" t="s">
        <v>197</v>
      </c>
      <c r="AM46" t="s">
        <v>198</v>
      </c>
      <c r="AN46" t="s">
        <v>199</v>
      </c>
      <c r="AO46" t="s">
        <v>945</v>
      </c>
      <c r="AP46" t="s">
        <v>946</v>
      </c>
      <c r="AQ46" t="s">
        <v>74</v>
      </c>
      <c r="AR46" t="s">
        <v>947</v>
      </c>
      <c r="AS46" t="s">
        <v>948</v>
      </c>
      <c r="AT46" t="s">
        <v>535</v>
      </c>
      <c r="AU46">
        <v>2021</v>
      </c>
      <c r="AV46">
        <v>56</v>
      </c>
      <c r="AW46" t="s">
        <v>74</v>
      </c>
      <c r="AX46" t="s">
        <v>74</v>
      </c>
      <c r="AY46">
        <v>1</v>
      </c>
      <c r="AZ46" t="s">
        <v>74</v>
      </c>
      <c r="BA46" t="s">
        <v>74</v>
      </c>
      <c r="BB46" t="s">
        <v>74</v>
      </c>
      <c r="BC46" t="s">
        <v>74</v>
      </c>
      <c r="BD46" t="s">
        <v>74</v>
      </c>
      <c r="BE46" t="s">
        <v>74</v>
      </c>
      <c r="BF46" t="s">
        <v>74</v>
      </c>
      <c r="BG46" t="s">
        <v>74</v>
      </c>
      <c r="BH46" t="s">
        <v>74</v>
      </c>
      <c r="BI46">
        <v>1</v>
      </c>
      <c r="BJ46" t="s">
        <v>289</v>
      </c>
      <c r="BK46" t="s">
        <v>128</v>
      </c>
      <c r="BL46" t="s">
        <v>289</v>
      </c>
      <c r="BM46" t="s">
        <v>949</v>
      </c>
      <c r="BN46" t="s">
        <v>74</v>
      </c>
      <c r="BO46" t="s">
        <v>74</v>
      </c>
      <c r="BP46" t="s">
        <v>74</v>
      </c>
      <c r="BQ46" t="s">
        <v>74</v>
      </c>
      <c r="BR46" t="s">
        <v>102</v>
      </c>
      <c r="BS46" t="s">
        <v>1004</v>
      </c>
      <c r="BT46" t="str">
        <f>HYPERLINK("https%3A%2F%2Fwww.webofscience.com%2Fwos%2Fwoscc%2Ffull-record%2FWOS:000684014300171","View Full Record in Web of Science")</f>
        <v>View Full Record in Web of Science</v>
      </c>
    </row>
    <row r="47" spans="1:72" x14ac:dyDescent="0.15">
      <c r="A47" t="s">
        <v>72</v>
      </c>
      <c r="B47" t="s">
        <v>1005</v>
      </c>
      <c r="C47" t="s">
        <v>74</v>
      </c>
      <c r="D47" t="s">
        <v>74</v>
      </c>
      <c r="E47" t="s">
        <v>74</v>
      </c>
      <c r="F47" t="s">
        <v>1006</v>
      </c>
      <c r="G47" t="s">
        <v>74</v>
      </c>
      <c r="H47" t="s">
        <v>74</v>
      </c>
      <c r="I47" t="s">
        <v>1007</v>
      </c>
      <c r="J47" t="s">
        <v>828</v>
      </c>
      <c r="K47" t="s">
        <v>74</v>
      </c>
      <c r="L47" t="s">
        <v>74</v>
      </c>
      <c r="M47" t="s">
        <v>78</v>
      </c>
      <c r="N47" t="s">
        <v>79</v>
      </c>
      <c r="O47" t="s">
        <v>74</v>
      </c>
      <c r="P47" t="s">
        <v>74</v>
      </c>
      <c r="Q47" t="s">
        <v>74</v>
      </c>
      <c r="R47" t="s">
        <v>74</v>
      </c>
      <c r="S47" t="s">
        <v>74</v>
      </c>
      <c r="T47" t="s">
        <v>1008</v>
      </c>
      <c r="U47" t="s">
        <v>1009</v>
      </c>
      <c r="V47" t="s">
        <v>1010</v>
      </c>
      <c r="W47" t="s">
        <v>1011</v>
      </c>
      <c r="X47" t="s">
        <v>1012</v>
      </c>
      <c r="Y47" t="s">
        <v>1013</v>
      </c>
      <c r="Z47" t="s">
        <v>1014</v>
      </c>
      <c r="AA47" t="s">
        <v>74</v>
      </c>
      <c r="AB47" t="s">
        <v>1015</v>
      </c>
      <c r="AC47" t="s">
        <v>1016</v>
      </c>
      <c r="AD47" t="s">
        <v>1017</v>
      </c>
      <c r="AE47" t="s">
        <v>1018</v>
      </c>
      <c r="AF47" t="s">
        <v>74</v>
      </c>
      <c r="AG47">
        <v>32</v>
      </c>
      <c r="AH47">
        <v>6</v>
      </c>
      <c r="AI47">
        <v>6</v>
      </c>
      <c r="AJ47">
        <v>2</v>
      </c>
      <c r="AK47">
        <v>8</v>
      </c>
      <c r="AL47" t="s">
        <v>814</v>
      </c>
      <c r="AM47" t="s">
        <v>815</v>
      </c>
      <c r="AN47" t="s">
        <v>816</v>
      </c>
      <c r="AO47" t="s">
        <v>840</v>
      </c>
      <c r="AP47" t="s">
        <v>841</v>
      </c>
      <c r="AQ47" t="s">
        <v>74</v>
      </c>
      <c r="AR47" t="s">
        <v>828</v>
      </c>
      <c r="AS47" t="s">
        <v>842</v>
      </c>
      <c r="AT47" t="s">
        <v>535</v>
      </c>
      <c r="AU47">
        <v>2021</v>
      </c>
      <c r="AV47">
        <v>11</v>
      </c>
      <c r="AW47">
        <v>8</v>
      </c>
      <c r="AX47" t="s">
        <v>74</v>
      </c>
      <c r="AY47" t="s">
        <v>74</v>
      </c>
      <c r="AZ47" t="s">
        <v>74</v>
      </c>
      <c r="BA47" t="s">
        <v>74</v>
      </c>
      <c r="BB47" t="s">
        <v>74</v>
      </c>
      <c r="BC47" t="s">
        <v>74</v>
      </c>
      <c r="BD47">
        <v>377</v>
      </c>
      <c r="BE47" t="s">
        <v>1019</v>
      </c>
      <c r="BF47" t="str">
        <f>HYPERLINK("http://dx.doi.org/10.1007/s13205-021-02927-0","http://dx.doi.org/10.1007/s13205-021-02927-0")</f>
        <v>http://dx.doi.org/10.1007/s13205-021-02927-0</v>
      </c>
      <c r="BG47" t="s">
        <v>74</v>
      </c>
      <c r="BH47" t="s">
        <v>74</v>
      </c>
      <c r="BI47">
        <v>9</v>
      </c>
      <c r="BJ47" t="s">
        <v>844</v>
      </c>
      <c r="BK47" t="s">
        <v>128</v>
      </c>
      <c r="BL47" t="s">
        <v>844</v>
      </c>
      <c r="BM47" t="s">
        <v>1020</v>
      </c>
      <c r="BN47">
        <v>34367869</v>
      </c>
      <c r="BO47" t="s">
        <v>238</v>
      </c>
      <c r="BP47" t="s">
        <v>74</v>
      </c>
      <c r="BQ47" t="s">
        <v>74</v>
      </c>
      <c r="BR47" t="s">
        <v>102</v>
      </c>
      <c r="BS47" t="s">
        <v>1021</v>
      </c>
      <c r="BT47" t="str">
        <f>HYPERLINK("https%3A%2F%2Fwww.webofscience.com%2Fwos%2Fwoscc%2Ffull-record%2FWOS:000691837000002","View Full Record in Web of Science")</f>
        <v>View Full Record in Web of Science</v>
      </c>
    </row>
    <row r="48" spans="1:72" x14ac:dyDescent="0.15">
      <c r="A48" t="s">
        <v>72</v>
      </c>
      <c r="B48" t="s">
        <v>1022</v>
      </c>
      <c r="C48" t="s">
        <v>74</v>
      </c>
      <c r="D48" t="s">
        <v>74</v>
      </c>
      <c r="E48" t="s">
        <v>74</v>
      </c>
      <c r="F48" t="s">
        <v>1023</v>
      </c>
      <c r="G48" t="s">
        <v>74</v>
      </c>
      <c r="H48" t="s">
        <v>74</v>
      </c>
      <c r="I48" t="s">
        <v>1024</v>
      </c>
      <c r="J48" t="s">
        <v>1025</v>
      </c>
      <c r="K48" t="s">
        <v>74</v>
      </c>
      <c r="L48" t="s">
        <v>74</v>
      </c>
      <c r="M48" t="s">
        <v>78</v>
      </c>
      <c r="N48" t="s">
        <v>79</v>
      </c>
      <c r="O48" t="s">
        <v>74</v>
      </c>
      <c r="P48" t="s">
        <v>74</v>
      </c>
      <c r="Q48" t="s">
        <v>74</v>
      </c>
      <c r="R48" t="s">
        <v>74</v>
      </c>
      <c r="S48" t="s">
        <v>74</v>
      </c>
      <c r="T48" t="s">
        <v>1026</v>
      </c>
      <c r="U48" t="s">
        <v>1027</v>
      </c>
      <c r="V48" t="s">
        <v>1028</v>
      </c>
      <c r="W48" t="s">
        <v>1029</v>
      </c>
      <c r="X48" t="s">
        <v>1030</v>
      </c>
      <c r="Y48" t="s">
        <v>1031</v>
      </c>
      <c r="Z48" t="s">
        <v>1032</v>
      </c>
      <c r="AA48" t="s">
        <v>1033</v>
      </c>
      <c r="AB48" t="s">
        <v>1034</v>
      </c>
      <c r="AC48" t="s">
        <v>1035</v>
      </c>
      <c r="AD48" t="s">
        <v>1036</v>
      </c>
      <c r="AE48" t="s">
        <v>1037</v>
      </c>
      <c r="AF48" t="s">
        <v>74</v>
      </c>
      <c r="AG48">
        <v>90</v>
      </c>
      <c r="AH48">
        <v>19</v>
      </c>
      <c r="AI48">
        <v>19</v>
      </c>
      <c r="AJ48">
        <v>3</v>
      </c>
      <c r="AK48">
        <v>24</v>
      </c>
      <c r="AL48" t="s">
        <v>864</v>
      </c>
      <c r="AM48" t="s">
        <v>865</v>
      </c>
      <c r="AN48" t="s">
        <v>866</v>
      </c>
      <c r="AO48" t="s">
        <v>1038</v>
      </c>
      <c r="AP48" t="s">
        <v>1039</v>
      </c>
      <c r="AQ48" t="s">
        <v>74</v>
      </c>
      <c r="AR48" t="s">
        <v>1040</v>
      </c>
      <c r="AS48" t="s">
        <v>1041</v>
      </c>
      <c r="AT48" t="s">
        <v>535</v>
      </c>
      <c r="AU48">
        <v>2021</v>
      </c>
      <c r="AV48">
        <v>35</v>
      </c>
      <c r="AW48">
        <v>8</v>
      </c>
      <c r="AX48" t="s">
        <v>74</v>
      </c>
      <c r="AY48" t="s">
        <v>74</v>
      </c>
      <c r="AZ48" t="s">
        <v>74</v>
      </c>
      <c r="BA48" t="s">
        <v>74</v>
      </c>
      <c r="BB48" t="s">
        <v>74</v>
      </c>
      <c r="BC48" t="s">
        <v>74</v>
      </c>
      <c r="BD48" t="s">
        <v>1042</v>
      </c>
      <c r="BE48" t="s">
        <v>1043</v>
      </c>
      <c r="BF48" t="str">
        <f>HYPERLINK("http://dx.doi.org/10.1029/2021GB006976","http://dx.doi.org/10.1029/2021GB006976")</f>
        <v>http://dx.doi.org/10.1029/2021GB006976</v>
      </c>
      <c r="BG48" t="s">
        <v>74</v>
      </c>
      <c r="BH48" t="s">
        <v>74</v>
      </c>
      <c r="BI48">
        <v>24</v>
      </c>
      <c r="BJ48" t="s">
        <v>1044</v>
      </c>
      <c r="BK48" t="s">
        <v>128</v>
      </c>
      <c r="BL48" t="s">
        <v>1045</v>
      </c>
      <c r="BM48" t="s">
        <v>1046</v>
      </c>
      <c r="BN48" t="s">
        <v>74</v>
      </c>
      <c r="BO48" t="s">
        <v>74</v>
      </c>
      <c r="BP48" t="s">
        <v>74</v>
      </c>
      <c r="BQ48" t="s">
        <v>74</v>
      </c>
      <c r="BR48" t="s">
        <v>102</v>
      </c>
      <c r="BS48" t="s">
        <v>1047</v>
      </c>
      <c r="BT48" t="str">
        <f>HYPERLINK("https%3A%2F%2Fwww.webofscience.com%2Fwos%2Fwoscc%2Ffull-record%2FWOS:000690773700002","View Full Record in Web of Science")</f>
        <v>View Full Record in Web of Science</v>
      </c>
    </row>
    <row r="49" spans="1:72" x14ac:dyDescent="0.15">
      <c r="A49" t="s">
        <v>72</v>
      </c>
      <c r="B49" t="s">
        <v>1048</v>
      </c>
      <c r="C49" t="s">
        <v>74</v>
      </c>
      <c r="D49" t="s">
        <v>74</v>
      </c>
      <c r="E49" t="s">
        <v>74</v>
      </c>
      <c r="F49" t="s">
        <v>1049</v>
      </c>
      <c r="G49" t="s">
        <v>74</v>
      </c>
      <c r="H49" t="s">
        <v>74</v>
      </c>
      <c r="I49" t="s">
        <v>1050</v>
      </c>
      <c r="J49" t="s">
        <v>1025</v>
      </c>
      <c r="K49" t="s">
        <v>74</v>
      </c>
      <c r="L49" t="s">
        <v>74</v>
      </c>
      <c r="M49" t="s">
        <v>78</v>
      </c>
      <c r="N49" t="s">
        <v>79</v>
      </c>
      <c r="O49" t="s">
        <v>74</v>
      </c>
      <c r="P49" t="s">
        <v>74</v>
      </c>
      <c r="Q49" t="s">
        <v>74</v>
      </c>
      <c r="R49" t="s">
        <v>74</v>
      </c>
      <c r="S49" t="s">
        <v>74</v>
      </c>
      <c r="T49" t="s">
        <v>1051</v>
      </c>
      <c r="U49" t="s">
        <v>1052</v>
      </c>
      <c r="V49" t="s">
        <v>1053</v>
      </c>
      <c r="W49" t="s">
        <v>1054</v>
      </c>
      <c r="X49" t="s">
        <v>1055</v>
      </c>
      <c r="Y49" t="s">
        <v>1056</v>
      </c>
      <c r="Z49" t="s">
        <v>1057</v>
      </c>
      <c r="AA49" t="s">
        <v>1058</v>
      </c>
      <c r="AB49" t="s">
        <v>1059</v>
      </c>
      <c r="AC49" t="s">
        <v>1060</v>
      </c>
      <c r="AD49" t="s">
        <v>1061</v>
      </c>
      <c r="AE49" t="s">
        <v>1062</v>
      </c>
      <c r="AF49" t="s">
        <v>74</v>
      </c>
      <c r="AG49">
        <v>98</v>
      </c>
      <c r="AH49">
        <v>6</v>
      </c>
      <c r="AI49">
        <v>7</v>
      </c>
      <c r="AJ49">
        <v>3</v>
      </c>
      <c r="AK49">
        <v>33</v>
      </c>
      <c r="AL49" t="s">
        <v>864</v>
      </c>
      <c r="AM49" t="s">
        <v>865</v>
      </c>
      <c r="AN49" t="s">
        <v>866</v>
      </c>
      <c r="AO49" t="s">
        <v>1038</v>
      </c>
      <c r="AP49" t="s">
        <v>1039</v>
      </c>
      <c r="AQ49" t="s">
        <v>74</v>
      </c>
      <c r="AR49" t="s">
        <v>1040</v>
      </c>
      <c r="AS49" t="s">
        <v>1041</v>
      </c>
      <c r="AT49" t="s">
        <v>535</v>
      </c>
      <c r="AU49">
        <v>2021</v>
      </c>
      <c r="AV49">
        <v>35</v>
      </c>
      <c r="AW49">
        <v>8</v>
      </c>
      <c r="AX49" t="s">
        <v>74</v>
      </c>
      <c r="AY49" t="s">
        <v>74</v>
      </c>
      <c r="AZ49" t="s">
        <v>74</v>
      </c>
      <c r="BA49" t="s">
        <v>74</v>
      </c>
      <c r="BB49" t="s">
        <v>74</v>
      </c>
      <c r="BC49" t="s">
        <v>74</v>
      </c>
      <c r="BD49" t="s">
        <v>1063</v>
      </c>
      <c r="BE49" t="s">
        <v>1064</v>
      </c>
      <c r="BF49" t="str">
        <f>HYPERLINK("http://dx.doi.org/10.1029/2021GB006991","http://dx.doi.org/10.1029/2021GB006991")</f>
        <v>http://dx.doi.org/10.1029/2021GB006991</v>
      </c>
      <c r="BG49" t="s">
        <v>74</v>
      </c>
      <c r="BH49" t="s">
        <v>74</v>
      </c>
      <c r="BI49">
        <v>23</v>
      </c>
      <c r="BJ49" t="s">
        <v>1044</v>
      </c>
      <c r="BK49" t="s">
        <v>128</v>
      </c>
      <c r="BL49" t="s">
        <v>1045</v>
      </c>
      <c r="BM49" t="s">
        <v>1046</v>
      </c>
      <c r="BN49" t="s">
        <v>74</v>
      </c>
      <c r="BO49" t="s">
        <v>74</v>
      </c>
      <c r="BP49" t="s">
        <v>74</v>
      </c>
      <c r="BQ49" t="s">
        <v>74</v>
      </c>
      <c r="BR49" t="s">
        <v>102</v>
      </c>
      <c r="BS49" t="s">
        <v>1065</v>
      </c>
      <c r="BT49" t="str">
        <f>HYPERLINK("https%3A%2F%2Fwww.webofscience.com%2Fwos%2Fwoscc%2Ffull-record%2FWOS:000690773700007","View Full Record in Web of Science")</f>
        <v>View Full Record in Web of Science</v>
      </c>
    </row>
    <row r="50" spans="1:72" x14ac:dyDescent="0.15">
      <c r="A50" t="s">
        <v>72</v>
      </c>
      <c r="B50" t="s">
        <v>1066</v>
      </c>
      <c r="C50" t="s">
        <v>74</v>
      </c>
      <c r="D50" t="s">
        <v>74</v>
      </c>
      <c r="E50" t="s">
        <v>74</v>
      </c>
      <c r="F50" t="s">
        <v>1067</v>
      </c>
      <c r="G50" t="s">
        <v>74</v>
      </c>
      <c r="H50" t="s">
        <v>74</v>
      </c>
      <c r="I50" t="s">
        <v>1068</v>
      </c>
      <c r="J50" t="s">
        <v>1025</v>
      </c>
      <c r="K50" t="s">
        <v>74</v>
      </c>
      <c r="L50" t="s">
        <v>74</v>
      </c>
      <c r="M50" t="s">
        <v>78</v>
      </c>
      <c r="N50" t="s">
        <v>79</v>
      </c>
      <c r="O50" t="s">
        <v>74</v>
      </c>
      <c r="P50" t="s">
        <v>74</v>
      </c>
      <c r="Q50" t="s">
        <v>74</v>
      </c>
      <c r="R50" t="s">
        <v>74</v>
      </c>
      <c r="S50" t="s">
        <v>74</v>
      </c>
      <c r="T50" t="s">
        <v>1069</v>
      </c>
      <c r="U50" t="s">
        <v>1070</v>
      </c>
      <c r="V50" t="s">
        <v>1071</v>
      </c>
      <c r="W50" t="s">
        <v>1072</v>
      </c>
      <c r="X50" t="s">
        <v>1073</v>
      </c>
      <c r="Y50" t="s">
        <v>1074</v>
      </c>
      <c r="Z50" t="s">
        <v>1075</v>
      </c>
      <c r="AA50" t="s">
        <v>1076</v>
      </c>
      <c r="AB50" t="s">
        <v>1077</v>
      </c>
      <c r="AC50" t="s">
        <v>1078</v>
      </c>
      <c r="AD50" t="s">
        <v>1079</v>
      </c>
      <c r="AE50" t="s">
        <v>1080</v>
      </c>
      <c r="AF50" t="s">
        <v>74</v>
      </c>
      <c r="AG50">
        <v>44</v>
      </c>
      <c r="AH50">
        <v>10</v>
      </c>
      <c r="AI50">
        <v>10</v>
      </c>
      <c r="AJ50">
        <v>1</v>
      </c>
      <c r="AK50">
        <v>22</v>
      </c>
      <c r="AL50" t="s">
        <v>864</v>
      </c>
      <c r="AM50" t="s">
        <v>865</v>
      </c>
      <c r="AN50" t="s">
        <v>866</v>
      </c>
      <c r="AO50" t="s">
        <v>1038</v>
      </c>
      <c r="AP50" t="s">
        <v>1039</v>
      </c>
      <c r="AQ50" t="s">
        <v>74</v>
      </c>
      <c r="AR50" t="s">
        <v>1040</v>
      </c>
      <c r="AS50" t="s">
        <v>1041</v>
      </c>
      <c r="AT50" t="s">
        <v>535</v>
      </c>
      <c r="AU50">
        <v>2021</v>
      </c>
      <c r="AV50">
        <v>35</v>
      </c>
      <c r="AW50">
        <v>8</v>
      </c>
      <c r="AX50" t="s">
        <v>74</v>
      </c>
      <c r="AY50" t="s">
        <v>74</v>
      </c>
      <c r="AZ50" t="s">
        <v>74</v>
      </c>
      <c r="BA50" t="s">
        <v>74</v>
      </c>
      <c r="BB50" t="s">
        <v>74</v>
      </c>
      <c r="BC50" t="s">
        <v>74</v>
      </c>
      <c r="BD50" t="s">
        <v>1081</v>
      </c>
      <c r="BE50" t="s">
        <v>1082</v>
      </c>
      <c r="BF50" t="str">
        <f>HYPERLINK("http://dx.doi.org/10.1029/2020GB006880","http://dx.doi.org/10.1029/2020GB006880")</f>
        <v>http://dx.doi.org/10.1029/2020GB006880</v>
      </c>
      <c r="BG50" t="s">
        <v>74</v>
      </c>
      <c r="BH50" t="s">
        <v>74</v>
      </c>
      <c r="BI50">
        <v>16</v>
      </c>
      <c r="BJ50" t="s">
        <v>1044</v>
      </c>
      <c r="BK50" t="s">
        <v>128</v>
      </c>
      <c r="BL50" t="s">
        <v>1045</v>
      </c>
      <c r="BM50" t="s">
        <v>1046</v>
      </c>
      <c r="BN50" t="s">
        <v>74</v>
      </c>
      <c r="BO50" t="s">
        <v>1083</v>
      </c>
      <c r="BP50" t="s">
        <v>74</v>
      </c>
      <c r="BQ50" t="s">
        <v>74</v>
      </c>
      <c r="BR50" t="s">
        <v>102</v>
      </c>
      <c r="BS50" t="s">
        <v>1084</v>
      </c>
      <c r="BT50" t="str">
        <f>HYPERLINK("https%3A%2F%2Fwww.webofscience.com%2Fwos%2Fwoscc%2Ffull-record%2FWOS:000690773700011","View Full Record in Web of Science")</f>
        <v>View Full Record in Web of Science</v>
      </c>
    </row>
    <row r="51" spans="1:72" x14ac:dyDescent="0.15">
      <c r="A51" t="s">
        <v>72</v>
      </c>
      <c r="B51" t="s">
        <v>1085</v>
      </c>
      <c r="C51" t="s">
        <v>74</v>
      </c>
      <c r="D51" t="s">
        <v>74</v>
      </c>
      <c r="E51" t="s">
        <v>74</v>
      </c>
      <c r="F51" t="s">
        <v>1086</v>
      </c>
      <c r="G51" t="s">
        <v>74</v>
      </c>
      <c r="H51" t="s">
        <v>74</v>
      </c>
      <c r="I51" t="s">
        <v>1087</v>
      </c>
      <c r="J51" t="s">
        <v>1088</v>
      </c>
      <c r="K51" t="s">
        <v>74</v>
      </c>
      <c r="L51" t="s">
        <v>74</v>
      </c>
      <c r="M51" t="s">
        <v>78</v>
      </c>
      <c r="N51" t="s">
        <v>79</v>
      </c>
      <c r="O51" t="s">
        <v>74</v>
      </c>
      <c r="P51" t="s">
        <v>74</v>
      </c>
      <c r="Q51" t="s">
        <v>74</v>
      </c>
      <c r="R51" t="s">
        <v>74</v>
      </c>
      <c r="S51" t="s">
        <v>74</v>
      </c>
      <c r="T51" t="s">
        <v>1089</v>
      </c>
      <c r="U51" t="s">
        <v>1090</v>
      </c>
      <c r="V51" t="s">
        <v>1091</v>
      </c>
      <c r="W51" t="s">
        <v>1092</v>
      </c>
      <c r="X51" t="s">
        <v>1093</v>
      </c>
      <c r="Y51" t="s">
        <v>1094</v>
      </c>
      <c r="Z51" t="s">
        <v>1095</v>
      </c>
      <c r="AA51" t="s">
        <v>1096</v>
      </c>
      <c r="AB51" t="s">
        <v>1097</v>
      </c>
      <c r="AC51" t="s">
        <v>1098</v>
      </c>
      <c r="AD51" t="s">
        <v>1099</v>
      </c>
      <c r="AE51" t="s">
        <v>1100</v>
      </c>
      <c r="AF51" t="s">
        <v>74</v>
      </c>
      <c r="AG51">
        <v>50</v>
      </c>
      <c r="AH51">
        <v>6</v>
      </c>
      <c r="AI51">
        <v>8</v>
      </c>
      <c r="AJ51">
        <v>1</v>
      </c>
      <c r="AK51">
        <v>22</v>
      </c>
      <c r="AL51" t="s">
        <v>1101</v>
      </c>
      <c r="AM51" t="s">
        <v>1102</v>
      </c>
      <c r="AN51" t="s">
        <v>1103</v>
      </c>
      <c r="AO51" t="s">
        <v>74</v>
      </c>
      <c r="AP51" t="s">
        <v>1104</v>
      </c>
      <c r="AQ51" t="s">
        <v>74</v>
      </c>
      <c r="AR51" t="s">
        <v>1105</v>
      </c>
      <c r="AS51" t="s">
        <v>1106</v>
      </c>
      <c r="AT51" t="s">
        <v>535</v>
      </c>
      <c r="AU51">
        <v>2021</v>
      </c>
      <c r="AV51">
        <v>19</v>
      </c>
      <c r="AW51">
        <v>8</v>
      </c>
      <c r="AX51" t="s">
        <v>74</v>
      </c>
      <c r="AY51" t="s">
        <v>74</v>
      </c>
      <c r="AZ51" t="s">
        <v>74</v>
      </c>
      <c r="BA51" t="s">
        <v>74</v>
      </c>
      <c r="BB51" t="s">
        <v>74</v>
      </c>
      <c r="BC51" t="s">
        <v>74</v>
      </c>
      <c r="BD51">
        <v>458</v>
      </c>
      <c r="BE51" t="s">
        <v>1107</v>
      </c>
      <c r="BF51" t="str">
        <f>HYPERLINK("http://dx.doi.org/10.3390/md19080458","http://dx.doi.org/10.3390/md19080458")</f>
        <v>http://dx.doi.org/10.3390/md19080458</v>
      </c>
      <c r="BG51" t="s">
        <v>74</v>
      </c>
      <c r="BH51" t="s">
        <v>74</v>
      </c>
      <c r="BI51">
        <v>14</v>
      </c>
      <c r="BJ51" t="s">
        <v>1108</v>
      </c>
      <c r="BK51" t="s">
        <v>128</v>
      </c>
      <c r="BL51" t="s">
        <v>1109</v>
      </c>
      <c r="BM51" t="s">
        <v>1110</v>
      </c>
      <c r="BN51">
        <v>34436297</v>
      </c>
      <c r="BO51" t="s">
        <v>311</v>
      </c>
      <c r="BP51" t="s">
        <v>74</v>
      </c>
      <c r="BQ51" t="s">
        <v>74</v>
      </c>
      <c r="BR51" t="s">
        <v>102</v>
      </c>
      <c r="BS51" t="s">
        <v>1111</v>
      </c>
      <c r="BT51" t="str">
        <f>HYPERLINK("https%3A%2F%2Fwww.webofscience.com%2Fwos%2Fwoscc%2Ffull-record%2FWOS:000689443200001","View Full Record in Web of Science")</f>
        <v>View Full Record in Web of Science</v>
      </c>
    </row>
    <row r="52" spans="1:72" x14ac:dyDescent="0.15">
      <c r="A52" t="s">
        <v>72</v>
      </c>
      <c r="B52" t="s">
        <v>1112</v>
      </c>
      <c r="C52" t="s">
        <v>74</v>
      </c>
      <c r="D52" t="s">
        <v>74</v>
      </c>
      <c r="E52" t="s">
        <v>74</v>
      </c>
      <c r="F52" t="s">
        <v>1113</v>
      </c>
      <c r="G52" t="s">
        <v>74</v>
      </c>
      <c r="H52" t="s">
        <v>74</v>
      </c>
      <c r="I52" t="s">
        <v>1114</v>
      </c>
      <c r="J52" t="s">
        <v>1115</v>
      </c>
      <c r="K52" t="s">
        <v>74</v>
      </c>
      <c r="L52" t="s">
        <v>74</v>
      </c>
      <c r="M52" t="s">
        <v>78</v>
      </c>
      <c r="N52" t="s">
        <v>79</v>
      </c>
      <c r="O52" t="s">
        <v>74</v>
      </c>
      <c r="P52" t="s">
        <v>74</v>
      </c>
      <c r="Q52" t="s">
        <v>74</v>
      </c>
      <c r="R52" t="s">
        <v>74</v>
      </c>
      <c r="S52" t="s">
        <v>74</v>
      </c>
      <c r="T52" t="s">
        <v>1116</v>
      </c>
      <c r="U52" t="s">
        <v>1117</v>
      </c>
      <c r="V52" t="s">
        <v>1118</v>
      </c>
      <c r="W52" t="s">
        <v>1119</v>
      </c>
      <c r="X52" t="s">
        <v>1120</v>
      </c>
      <c r="Y52" t="s">
        <v>1121</v>
      </c>
      <c r="Z52" t="s">
        <v>1122</v>
      </c>
      <c r="AA52" t="s">
        <v>1123</v>
      </c>
      <c r="AB52" t="s">
        <v>1124</v>
      </c>
      <c r="AC52" t="s">
        <v>1125</v>
      </c>
      <c r="AD52" t="s">
        <v>1126</v>
      </c>
      <c r="AE52" t="s">
        <v>1127</v>
      </c>
      <c r="AF52" t="s">
        <v>74</v>
      </c>
      <c r="AG52">
        <v>34</v>
      </c>
      <c r="AH52">
        <v>4</v>
      </c>
      <c r="AI52">
        <v>4</v>
      </c>
      <c r="AJ52">
        <v>0</v>
      </c>
      <c r="AK52">
        <v>1</v>
      </c>
      <c r="AL52" t="s">
        <v>864</v>
      </c>
      <c r="AM52" t="s">
        <v>865</v>
      </c>
      <c r="AN52" t="s">
        <v>866</v>
      </c>
      <c r="AO52" t="s">
        <v>1128</v>
      </c>
      <c r="AP52" t="s">
        <v>1129</v>
      </c>
      <c r="AQ52" t="s">
        <v>74</v>
      </c>
      <c r="AR52" t="s">
        <v>1130</v>
      </c>
      <c r="AS52" t="s">
        <v>1131</v>
      </c>
      <c r="AT52" t="s">
        <v>535</v>
      </c>
      <c r="AU52">
        <v>2021</v>
      </c>
      <c r="AV52">
        <v>126</v>
      </c>
      <c r="AW52">
        <v>8</v>
      </c>
      <c r="AX52" t="s">
        <v>74</v>
      </c>
      <c r="AY52" t="s">
        <v>74</v>
      </c>
      <c r="AZ52" t="s">
        <v>74</v>
      </c>
      <c r="BA52" t="s">
        <v>74</v>
      </c>
      <c r="BB52" t="s">
        <v>74</v>
      </c>
      <c r="BC52" t="s">
        <v>74</v>
      </c>
      <c r="BD52" t="s">
        <v>1132</v>
      </c>
      <c r="BE52" t="s">
        <v>1133</v>
      </c>
      <c r="BF52" t="str">
        <f>HYPERLINK("http://dx.doi.org/10.1029/2021JC017330","http://dx.doi.org/10.1029/2021JC017330")</f>
        <v>http://dx.doi.org/10.1029/2021JC017330</v>
      </c>
      <c r="BG52" t="s">
        <v>74</v>
      </c>
      <c r="BH52" t="s">
        <v>74</v>
      </c>
      <c r="BI52">
        <v>13</v>
      </c>
      <c r="BJ52" t="s">
        <v>1134</v>
      </c>
      <c r="BK52" t="s">
        <v>128</v>
      </c>
      <c r="BL52" t="s">
        <v>1134</v>
      </c>
      <c r="BM52" t="s">
        <v>1135</v>
      </c>
      <c r="BN52" t="s">
        <v>74</v>
      </c>
      <c r="BO52" t="s">
        <v>291</v>
      </c>
      <c r="BP52" t="s">
        <v>74</v>
      </c>
      <c r="BQ52" t="s">
        <v>74</v>
      </c>
      <c r="BR52" t="s">
        <v>102</v>
      </c>
      <c r="BS52" t="s">
        <v>1136</v>
      </c>
      <c r="BT52" t="str">
        <f>HYPERLINK("https%3A%2F%2Fwww.webofscience.com%2Fwos%2Fwoscc%2Ffull-record%2FWOS:000690758000034","View Full Record in Web of Science")</f>
        <v>View Full Record in Web of Science</v>
      </c>
    </row>
    <row r="53" spans="1:72" x14ac:dyDescent="0.15">
      <c r="A53" t="s">
        <v>72</v>
      </c>
      <c r="B53" t="s">
        <v>1137</v>
      </c>
      <c r="C53" t="s">
        <v>74</v>
      </c>
      <c r="D53" t="s">
        <v>74</v>
      </c>
      <c r="E53" t="s">
        <v>74</v>
      </c>
      <c r="F53" t="s">
        <v>1138</v>
      </c>
      <c r="G53" t="s">
        <v>74</v>
      </c>
      <c r="H53" t="s">
        <v>74</v>
      </c>
      <c r="I53" t="s">
        <v>1139</v>
      </c>
      <c r="J53" t="s">
        <v>1115</v>
      </c>
      <c r="K53" t="s">
        <v>74</v>
      </c>
      <c r="L53" t="s">
        <v>74</v>
      </c>
      <c r="M53" t="s">
        <v>78</v>
      </c>
      <c r="N53" t="s">
        <v>79</v>
      </c>
      <c r="O53" t="s">
        <v>74</v>
      </c>
      <c r="P53" t="s">
        <v>74</v>
      </c>
      <c r="Q53" t="s">
        <v>74</v>
      </c>
      <c r="R53" t="s">
        <v>74</v>
      </c>
      <c r="S53" t="s">
        <v>74</v>
      </c>
      <c r="T53" t="s">
        <v>1140</v>
      </c>
      <c r="U53" t="s">
        <v>1141</v>
      </c>
      <c r="V53" t="s">
        <v>1142</v>
      </c>
      <c r="W53" t="s">
        <v>1143</v>
      </c>
      <c r="X53" t="s">
        <v>1144</v>
      </c>
      <c r="Y53" t="s">
        <v>1145</v>
      </c>
      <c r="Z53" t="s">
        <v>1146</v>
      </c>
      <c r="AA53" t="s">
        <v>1147</v>
      </c>
      <c r="AB53" t="s">
        <v>1148</v>
      </c>
      <c r="AC53" t="s">
        <v>1149</v>
      </c>
      <c r="AD53" t="s">
        <v>1150</v>
      </c>
      <c r="AE53" t="s">
        <v>1151</v>
      </c>
      <c r="AF53" t="s">
        <v>74</v>
      </c>
      <c r="AG53">
        <v>70</v>
      </c>
      <c r="AH53">
        <v>11</v>
      </c>
      <c r="AI53">
        <v>12</v>
      </c>
      <c r="AJ53">
        <v>2</v>
      </c>
      <c r="AK53">
        <v>9</v>
      </c>
      <c r="AL53" t="s">
        <v>864</v>
      </c>
      <c r="AM53" t="s">
        <v>865</v>
      </c>
      <c r="AN53" t="s">
        <v>866</v>
      </c>
      <c r="AO53" t="s">
        <v>1128</v>
      </c>
      <c r="AP53" t="s">
        <v>1129</v>
      </c>
      <c r="AQ53" t="s">
        <v>74</v>
      </c>
      <c r="AR53" t="s">
        <v>1130</v>
      </c>
      <c r="AS53" t="s">
        <v>1131</v>
      </c>
      <c r="AT53" t="s">
        <v>535</v>
      </c>
      <c r="AU53">
        <v>2021</v>
      </c>
      <c r="AV53">
        <v>126</v>
      </c>
      <c r="AW53">
        <v>8</v>
      </c>
      <c r="AX53" t="s">
        <v>74</v>
      </c>
      <c r="AY53" t="s">
        <v>74</v>
      </c>
      <c r="AZ53" t="s">
        <v>74</v>
      </c>
      <c r="BA53" t="s">
        <v>74</v>
      </c>
      <c r="BB53" t="s">
        <v>74</v>
      </c>
      <c r="BC53" t="s">
        <v>74</v>
      </c>
      <c r="BD53" t="s">
        <v>1152</v>
      </c>
      <c r="BE53" t="s">
        <v>1153</v>
      </c>
      <c r="BF53" t="str">
        <f>HYPERLINK("http://dx.doi.org/10.1029/2021JC017413","http://dx.doi.org/10.1029/2021JC017413")</f>
        <v>http://dx.doi.org/10.1029/2021JC017413</v>
      </c>
      <c r="BG53" t="s">
        <v>74</v>
      </c>
      <c r="BH53" t="s">
        <v>74</v>
      </c>
      <c r="BI53">
        <v>23</v>
      </c>
      <c r="BJ53" t="s">
        <v>1134</v>
      </c>
      <c r="BK53" t="s">
        <v>128</v>
      </c>
      <c r="BL53" t="s">
        <v>1134</v>
      </c>
      <c r="BM53" t="s">
        <v>1135</v>
      </c>
      <c r="BN53" t="s">
        <v>74</v>
      </c>
      <c r="BO53" t="s">
        <v>1154</v>
      </c>
      <c r="BP53" t="s">
        <v>74</v>
      </c>
      <c r="BQ53" t="s">
        <v>74</v>
      </c>
      <c r="BR53" t="s">
        <v>102</v>
      </c>
      <c r="BS53" t="s">
        <v>1155</v>
      </c>
      <c r="BT53" t="str">
        <f>HYPERLINK("https%3A%2F%2Fwww.webofscience.com%2Fwos%2Fwoscc%2Ffull-record%2FWOS:000690758000008","View Full Record in Web of Science")</f>
        <v>View Full Record in Web of Science</v>
      </c>
    </row>
    <row r="54" spans="1:72" x14ac:dyDescent="0.15">
      <c r="A54" t="s">
        <v>72</v>
      </c>
      <c r="B54" t="s">
        <v>1156</v>
      </c>
      <c r="C54" t="s">
        <v>74</v>
      </c>
      <c r="D54" t="s">
        <v>74</v>
      </c>
      <c r="E54" t="s">
        <v>74</v>
      </c>
      <c r="F54" t="s">
        <v>1157</v>
      </c>
      <c r="G54" t="s">
        <v>74</v>
      </c>
      <c r="H54" t="s">
        <v>74</v>
      </c>
      <c r="I54" t="s">
        <v>1158</v>
      </c>
      <c r="J54" t="s">
        <v>1115</v>
      </c>
      <c r="K54" t="s">
        <v>74</v>
      </c>
      <c r="L54" t="s">
        <v>74</v>
      </c>
      <c r="M54" t="s">
        <v>78</v>
      </c>
      <c r="N54" t="s">
        <v>79</v>
      </c>
      <c r="O54" t="s">
        <v>74</v>
      </c>
      <c r="P54" t="s">
        <v>74</v>
      </c>
      <c r="Q54" t="s">
        <v>74</v>
      </c>
      <c r="R54" t="s">
        <v>74</v>
      </c>
      <c r="S54" t="s">
        <v>74</v>
      </c>
      <c r="T54" t="s">
        <v>1159</v>
      </c>
      <c r="U54" t="s">
        <v>1160</v>
      </c>
      <c r="V54" t="s">
        <v>1161</v>
      </c>
      <c r="W54" t="s">
        <v>1162</v>
      </c>
      <c r="X54" t="s">
        <v>1163</v>
      </c>
      <c r="Y54" t="s">
        <v>1164</v>
      </c>
      <c r="Z54" t="s">
        <v>1165</v>
      </c>
      <c r="AA54" t="s">
        <v>1166</v>
      </c>
      <c r="AB54" t="s">
        <v>1167</v>
      </c>
      <c r="AC54" t="s">
        <v>1168</v>
      </c>
      <c r="AD54" t="s">
        <v>1169</v>
      </c>
      <c r="AE54" t="s">
        <v>1170</v>
      </c>
      <c r="AF54" t="s">
        <v>74</v>
      </c>
      <c r="AG54">
        <v>79</v>
      </c>
      <c r="AH54">
        <v>4</v>
      </c>
      <c r="AI54">
        <v>5</v>
      </c>
      <c r="AJ54">
        <v>1</v>
      </c>
      <c r="AK54">
        <v>12</v>
      </c>
      <c r="AL54" t="s">
        <v>864</v>
      </c>
      <c r="AM54" t="s">
        <v>865</v>
      </c>
      <c r="AN54" t="s">
        <v>866</v>
      </c>
      <c r="AO54" t="s">
        <v>1128</v>
      </c>
      <c r="AP54" t="s">
        <v>1129</v>
      </c>
      <c r="AQ54" t="s">
        <v>74</v>
      </c>
      <c r="AR54" t="s">
        <v>1130</v>
      </c>
      <c r="AS54" t="s">
        <v>1131</v>
      </c>
      <c r="AT54" t="s">
        <v>535</v>
      </c>
      <c r="AU54">
        <v>2021</v>
      </c>
      <c r="AV54">
        <v>126</v>
      </c>
      <c r="AW54">
        <v>8</v>
      </c>
      <c r="AX54" t="s">
        <v>74</v>
      </c>
      <c r="AY54" t="s">
        <v>74</v>
      </c>
      <c r="AZ54" t="s">
        <v>74</v>
      </c>
      <c r="BA54" t="s">
        <v>74</v>
      </c>
      <c r="BB54" t="s">
        <v>74</v>
      </c>
      <c r="BC54" t="s">
        <v>74</v>
      </c>
      <c r="BD54" t="s">
        <v>1171</v>
      </c>
      <c r="BE54" t="s">
        <v>1172</v>
      </c>
      <c r="BF54" t="str">
        <f>HYPERLINK("http://dx.doi.org/10.1029/2021JC017274","http://dx.doi.org/10.1029/2021JC017274")</f>
        <v>http://dx.doi.org/10.1029/2021JC017274</v>
      </c>
      <c r="BG54" t="s">
        <v>74</v>
      </c>
      <c r="BH54" t="s">
        <v>74</v>
      </c>
      <c r="BI54">
        <v>17</v>
      </c>
      <c r="BJ54" t="s">
        <v>1134</v>
      </c>
      <c r="BK54" t="s">
        <v>128</v>
      </c>
      <c r="BL54" t="s">
        <v>1134</v>
      </c>
      <c r="BM54" t="s">
        <v>1135</v>
      </c>
      <c r="BN54" t="s">
        <v>74</v>
      </c>
      <c r="BO54" t="s">
        <v>569</v>
      </c>
      <c r="BP54" t="s">
        <v>74</v>
      </c>
      <c r="BQ54" t="s">
        <v>74</v>
      </c>
      <c r="BR54" t="s">
        <v>102</v>
      </c>
      <c r="BS54" t="s">
        <v>1173</v>
      </c>
      <c r="BT54" t="str">
        <f>HYPERLINK("https%3A%2F%2Fwww.webofscience.com%2Fwos%2Fwoscc%2Ffull-record%2FWOS:000690758000028","View Full Record in Web of Science")</f>
        <v>View Full Record in Web of Science</v>
      </c>
    </row>
    <row r="55" spans="1:72" x14ac:dyDescent="0.15">
      <c r="A55" t="s">
        <v>72</v>
      </c>
      <c r="B55" t="s">
        <v>1174</v>
      </c>
      <c r="C55" t="s">
        <v>74</v>
      </c>
      <c r="D55" t="s">
        <v>74</v>
      </c>
      <c r="E55" t="s">
        <v>74</v>
      </c>
      <c r="F55" t="s">
        <v>1175</v>
      </c>
      <c r="G55" t="s">
        <v>74</v>
      </c>
      <c r="H55" t="s">
        <v>74</v>
      </c>
      <c r="I55" t="s">
        <v>1176</v>
      </c>
      <c r="J55" t="s">
        <v>1115</v>
      </c>
      <c r="K55" t="s">
        <v>74</v>
      </c>
      <c r="L55" t="s">
        <v>74</v>
      </c>
      <c r="M55" t="s">
        <v>78</v>
      </c>
      <c r="N55" t="s">
        <v>79</v>
      </c>
      <c r="O55" t="s">
        <v>74</v>
      </c>
      <c r="P55" t="s">
        <v>74</v>
      </c>
      <c r="Q55" t="s">
        <v>74</v>
      </c>
      <c r="R55" t="s">
        <v>74</v>
      </c>
      <c r="S55" t="s">
        <v>74</v>
      </c>
      <c r="T55" t="s">
        <v>74</v>
      </c>
      <c r="U55" t="s">
        <v>1177</v>
      </c>
      <c r="V55" t="s">
        <v>1178</v>
      </c>
      <c r="W55" t="s">
        <v>1179</v>
      </c>
      <c r="X55" t="s">
        <v>1180</v>
      </c>
      <c r="Y55" t="s">
        <v>1181</v>
      </c>
      <c r="Z55" t="s">
        <v>1182</v>
      </c>
      <c r="AA55" t="s">
        <v>1183</v>
      </c>
      <c r="AB55" t="s">
        <v>1184</v>
      </c>
      <c r="AC55" t="s">
        <v>1185</v>
      </c>
      <c r="AD55" t="s">
        <v>1186</v>
      </c>
      <c r="AE55" t="s">
        <v>1187</v>
      </c>
      <c r="AF55" t="s">
        <v>74</v>
      </c>
      <c r="AG55">
        <v>73</v>
      </c>
      <c r="AH55">
        <v>2</v>
      </c>
      <c r="AI55">
        <v>3</v>
      </c>
      <c r="AJ55">
        <v>1</v>
      </c>
      <c r="AK55">
        <v>12</v>
      </c>
      <c r="AL55" t="s">
        <v>864</v>
      </c>
      <c r="AM55" t="s">
        <v>865</v>
      </c>
      <c r="AN55" t="s">
        <v>866</v>
      </c>
      <c r="AO55" t="s">
        <v>1128</v>
      </c>
      <c r="AP55" t="s">
        <v>1129</v>
      </c>
      <c r="AQ55" t="s">
        <v>74</v>
      </c>
      <c r="AR55" t="s">
        <v>1130</v>
      </c>
      <c r="AS55" t="s">
        <v>1131</v>
      </c>
      <c r="AT55" t="s">
        <v>535</v>
      </c>
      <c r="AU55">
        <v>2021</v>
      </c>
      <c r="AV55">
        <v>126</v>
      </c>
      <c r="AW55">
        <v>8</v>
      </c>
      <c r="AX55" t="s">
        <v>74</v>
      </c>
      <c r="AY55" t="s">
        <v>74</v>
      </c>
      <c r="AZ55" t="s">
        <v>74</v>
      </c>
      <c r="BA55" t="s">
        <v>74</v>
      </c>
      <c r="BB55" t="s">
        <v>74</v>
      </c>
      <c r="BC55" t="s">
        <v>74</v>
      </c>
      <c r="BD55" t="s">
        <v>1188</v>
      </c>
      <c r="BE55" t="s">
        <v>1189</v>
      </c>
      <c r="BF55" t="str">
        <f>HYPERLINK("http://dx.doi.org/10.1029/2021JC017510","http://dx.doi.org/10.1029/2021JC017510")</f>
        <v>http://dx.doi.org/10.1029/2021JC017510</v>
      </c>
      <c r="BG55" t="s">
        <v>74</v>
      </c>
      <c r="BH55" t="s">
        <v>74</v>
      </c>
      <c r="BI55">
        <v>20</v>
      </c>
      <c r="BJ55" t="s">
        <v>1134</v>
      </c>
      <c r="BK55" t="s">
        <v>128</v>
      </c>
      <c r="BL55" t="s">
        <v>1134</v>
      </c>
      <c r="BM55" t="s">
        <v>1135</v>
      </c>
      <c r="BN55" t="s">
        <v>74</v>
      </c>
      <c r="BO55" t="s">
        <v>238</v>
      </c>
      <c r="BP55" t="s">
        <v>74</v>
      </c>
      <c r="BQ55" t="s">
        <v>74</v>
      </c>
      <c r="BR55" t="s">
        <v>102</v>
      </c>
      <c r="BS55" t="s">
        <v>1190</v>
      </c>
      <c r="BT55" t="str">
        <f>HYPERLINK("https%3A%2F%2Fwww.webofscience.com%2Fwos%2Fwoscc%2Ffull-record%2FWOS:000690758000007","View Full Record in Web of Science")</f>
        <v>View Full Record in Web of Science</v>
      </c>
    </row>
    <row r="56" spans="1:72" x14ac:dyDescent="0.15">
      <c r="A56" t="s">
        <v>72</v>
      </c>
      <c r="B56" t="s">
        <v>1191</v>
      </c>
      <c r="C56" t="s">
        <v>74</v>
      </c>
      <c r="D56" t="s">
        <v>74</v>
      </c>
      <c r="E56" t="s">
        <v>74</v>
      </c>
      <c r="F56" t="s">
        <v>1192</v>
      </c>
      <c r="G56" t="s">
        <v>74</v>
      </c>
      <c r="H56" t="s">
        <v>74</v>
      </c>
      <c r="I56" t="s">
        <v>1193</v>
      </c>
      <c r="J56" t="s">
        <v>1115</v>
      </c>
      <c r="K56" t="s">
        <v>74</v>
      </c>
      <c r="L56" t="s">
        <v>74</v>
      </c>
      <c r="M56" t="s">
        <v>78</v>
      </c>
      <c r="N56" t="s">
        <v>79</v>
      </c>
      <c r="O56" t="s">
        <v>74</v>
      </c>
      <c r="P56" t="s">
        <v>74</v>
      </c>
      <c r="Q56" t="s">
        <v>74</v>
      </c>
      <c r="R56" t="s">
        <v>74</v>
      </c>
      <c r="S56" t="s">
        <v>74</v>
      </c>
      <c r="T56" t="s">
        <v>1194</v>
      </c>
      <c r="U56" t="s">
        <v>1195</v>
      </c>
      <c r="V56" t="s">
        <v>1196</v>
      </c>
      <c r="W56" t="s">
        <v>1197</v>
      </c>
      <c r="X56" t="s">
        <v>1198</v>
      </c>
      <c r="Y56" t="s">
        <v>1199</v>
      </c>
      <c r="Z56" t="s">
        <v>1200</v>
      </c>
      <c r="AA56" t="s">
        <v>1201</v>
      </c>
      <c r="AB56" t="s">
        <v>1202</v>
      </c>
      <c r="AC56" t="s">
        <v>1203</v>
      </c>
      <c r="AD56" t="s">
        <v>1204</v>
      </c>
      <c r="AE56" t="s">
        <v>1205</v>
      </c>
      <c r="AF56" t="s">
        <v>74</v>
      </c>
      <c r="AG56">
        <v>69</v>
      </c>
      <c r="AH56">
        <v>9</v>
      </c>
      <c r="AI56">
        <v>9</v>
      </c>
      <c r="AJ56">
        <v>1</v>
      </c>
      <c r="AK56">
        <v>20</v>
      </c>
      <c r="AL56" t="s">
        <v>864</v>
      </c>
      <c r="AM56" t="s">
        <v>865</v>
      </c>
      <c r="AN56" t="s">
        <v>866</v>
      </c>
      <c r="AO56" t="s">
        <v>1128</v>
      </c>
      <c r="AP56" t="s">
        <v>1129</v>
      </c>
      <c r="AQ56" t="s">
        <v>74</v>
      </c>
      <c r="AR56" t="s">
        <v>1130</v>
      </c>
      <c r="AS56" t="s">
        <v>1131</v>
      </c>
      <c r="AT56" t="s">
        <v>535</v>
      </c>
      <c r="AU56">
        <v>2021</v>
      </c>
      <c r="AV56">
        <v>126</v>
      </c>
      <c r="AW56">
        <v>8</v>
      </c>
      <c r="AX56" t="s">
        <v>74</v>
      </c>
      <c r="AY56" t="s">
        <v>74</v>
      </c>
      <c r="AZ56" t="s">
        <v>74</v>
      </c>
      <c r="BA56" t="s">
        <v>74</v>
      </c>
      <c r="BB56" t="s">
        <v>74</v>
      </c>
      <c r="BC56" t="s">
        <v>74</v>
      </c>
      <c r="BD56" t="s">
        <v>1206</v>
      </c>
      <c r="BE56" t="s">
        <v>1207</v>
      </c>
      <c r="BF56" t="str">
        <f>HYPERLINK("http://dx.doi.org/10.1029/2020JC017036","http://dx.doi.org/10.1029/2020JC017036")</f>
        <v>http://dx.doi.org/10.1029/2020JC017036</v>
      </c>
      <c r="BG56" t="s">
        <v>74</v>
      </c>
      <c r="BH56" t="s">
        <v>74</v>
      </c>
      <c r="BI56">
        <v>20</v>
      </c>
      <c r="BJ56" t="s">
        <v>1134</v>
      </c>
      <c r="BK56" t="s">
        <v>128</v>
      </c>
      <c r="BL56" t="s">
        <v>1134</v>
      </c>
      <c r="BM56" t="s">
        <v>1135</v>
      </c>
      <c r="BN56" t="s">
        <v>74</v>
      </c>
      <c r="BO56" t="s">
        <v>74</v>
      </c>
      <c r="BP56" t="s">
        <v>74</v>
      </c>
      <c r="BQ56" t="s">
        <v>74</v>
      </c>
      <c r="BR56" t="s">
        <v>102</v>
      </c>
      <c r="BS56" t="s">
        <v>1208</v>
      </c>
      <c r="BT56" t="str">
        <f>HYPERLINK("https%3A%2F%2Fwww.webofscience.com%2Fwos%2Fwoscc%2Ffull-record%2FWOS:000690758000032","View Full Record in Web of Science")</f>
        <v>View Full Record in Web of Science</v>
      </c>
    </row>
    <row r="57" spans="1:72" x14ac:dyDescent="0.15">
      <c r="A57" t="s">
        <v>72</v>
      </c>
      <c r="B57" t="s">
        <v>1209</v>
      </c>
      <c r="C57" t="s">
        <v>74</v>
      </c>
      <c r="D57" t="s">
        <v>74</v>
      </c>
      <c r="E57" t="s">
        <v>74</v>
      </c>
      <c r="F57" t="s">
        <v>1210</v>
      </c>
      <c r="G57" t="s">
        <v>74</v>
      </c>
      <c r="H57" t="s">
        <v>74</v>
      </c>
      <c r="I57" t="s">
        <v>1211</v>
      </c>
      <c r="J57" t="s">
        <v>1115</v>
      </c>
      <c r="K57" t="s">
        <v>74</v>
      </c>
      <c r="L57" t="s">
        <v>74</v>
      </c>
      <c r="M57" t="s">
        <v>78</v>
      </c>
      <c r="N57" t="s">
        <v>79</v>
      </c>
      <c r="O57" t="s">
        <v>74</v>
      </c>
      <c r="P57" t="s">
        <v>74</v>
      </c>
      <c r="Q57" t="s">
        <v>74</v>
      </c>
      <c r="R57" t="s">
        <v>74</v>
      </c>
      <c r="S57" t="s">
        <v>74</v>
      </c>
      <c r="T57" t="s">
        <v>1212</v>
      </c>
      <c r="U57" t="s">
        <v>1213</v>
      </c>
      <c r="V57" t="s">
        <v>1214</v>
      </c>
      <c r="W57" t="s">
        <v>1215</v>
      </c>
      <c r="X57" t="s">
        <v>1216</v>
      </c>
      <c r="Y57" t="s">
        <v>1217</v>
      </c>
      <c r="Z57" t="s">
        <v>1218</v>
      </c>
      <c r="AA57" t="s">
        <v>1219</v>
      </c>
      <c r="AB57" t="s">
        <v>1220</v>
      </c>
      <c r="AC57" t="s">
        <v>1221</v>
      </c>
      <c r="AD57" t="s">
        <v>1222</v>
      </c>
      <c r="AE57" t="s">
        <v>1223</v>
      </c>
      <c r="AF57" t="s">
        <v>74</v>
      </c>
      <c r="AG57">
        <v>49</v>
      </c>
      <c r="AH57">
        <v>15</v>
      </c>
      <c r="AI57">
        <v>15</v>
      </c>
      <c r="AJ57">
        <v>1</v>
      </c>
      <c r="AK57">
        <v>11</v>
      </c>
      <c r="AL57" t="s">
        <v>864</v>
      </c>
      <c r="AM57" t="s">
        <v>865</v>
      </c>
      <c r="AN57" t="s">
        <v>866</v>
      </c>
      <c r="AO57" t="s">
        <v>1128</v>
      </c>
      <c r="AP57" t="s">
        <v>1129</v>
      </c>
      <c r="AQ57" t="s">
        <v>74</v>
      </c>
      <c r="AR57" t="s">
        <v>1130</v>
      </c>
      <c r="AS57" t="s">
        <v>1131</v>
      </c>
      <c r="AT57" t="s">
        <v>535</v>
      </c>
      <c r="AU57">
        <v>2021</v>
      </c>
      <c r="AV57">
        <v>126</v>
      </c>
      <c r="AW57">
        <v>8</v>
      </c>
      <c r="AX57" t="s">
        <v>74</v>
      </c>
      <c r="AY57" t="s">
        <v>74</v>
      </c>
      <c r="AZ57" t="s">
        <v>74</v>
      </c>
      <c r="BA57" t="s">
        <v>74</v>
      </c>
      <c r="BB57" t="s">
        <v>74</v>
      </c>
      <c r="BC57" t="s">
        <v>74</v>
      </c>
      <c r="BD57" t="s">
        <v>1224</v>
      </c>
      <c r="BE57" t="s">
        <v>1225</v>
      </c>
      <c r="BF57" t="str">
        <f>HYPERLINK("http://dx.doi.org/10.1029/2020JC016998","http://dx.doi.org/10.1029/2020JC016998")</f>
        <v>http://dx.doi.org/10.1029/2020JC016998</v>
      </c>
      <c r="BG57" t="s">
        <v>74</v>
      </c>
      <c r="BH57" t="s">
        <v>74</v>
      </c>
      <c r="BI57">
        <v>17</v>
      </c>
      <c r="BJ57" t="s">
        <v>1134</v>
      </c>
      <c r="BK57" t="s">
        <v>128</v>
      </c>
      <c r="BL57" t="s">
        <v>1134</v>
      </c>
      <c r="BM57" t="s">
        <v>1135</v>
      </c>
      <c r="BN57" t="s">
        <v>74</v>
      </c>
      <c r="BO57" t="s">
        <v>74</v>
      </c>
      <c r="BP57" t="s">
        <v>74</v>
      </c>
      <c r="BQ57" t="s">
        <v>74</v>
      </c>
      <c r="BR57" t="s">
        <v>102</v>
      </c>
      <c r="BS57" t="s">
        <v>1226</v>
      </c>
      <c r="BT57" t="str">
        <f>HYPERLINK("https%3A%2F%2Fwww.webofscience.com%2Fwos%2Fwoscc%2Ffull-record%2FWOS:000690758000044","View Full Record in Web of Science")</f>
        <v>View Full Record in Web of Science</v>
      </c>
    </row>
    <row r="58" spans="1:72" x14ac:dyDescent="0.15">
      <c r="A58" t="s">
        <v>72</v>
      </c>
      <c r="B58" t="s">
        <v>1227</v>
      </c>
      <c r="C58" t="s">
        <v>74</v>
      </c>
      <c r="D58" t="s">
        <v>74</v>
      </c>
      <c r="E58" t="s">
        <v>74</v>
      </c>
      <c r="F58" t="s">
        <v>1228</v>
      </c>
      <c r="G58" t="s">
        <v>74</v>
      </c>
      <c r="H58" t="s">
        <v>74</v>
      </c>
      <c r="I58" t="s">
        <v>1229</v>
      </c>
      <c r="J58" t="s">
        <v>1115</v>
      </c>
      <c r="K58" t="s">
        <v>74</v>
      </c>
      <c r="L58" t="s">
        <v>74</v>
      </c>
      <c r="M58" t="s">
        <v>78</v>
      </c>
      <c r="N58" t="s">
        <v>79</v>
      </c>
      <c r="O58" t="s">
        <v>74</v>
      </c>
      <c r="P58" t="s">
        <v>74</v>
      </c>
      <c r="Q58" t="s">
        <v>74</v>
      </c>
      <c r="R58" t="s">
        <v>74</v>
      </c>
      <c r="S58" t="s">
        <v>74</v>
      </c>
      <c r="T58" t="s">
        <v>1230</v>
      </c>
      <c r="U58" t="s">
        <v>1231</v>
      </c>
      <c r="V58" t="s">
        <v>1232</v>
      </c>
      <c r="W58" t="s">
        <v>1233</v>
      </c>
      <c r="X58" t="s">
        <v>1234</v>
      </c>
      <c r="Y58" t="s">
        <v>1235</v>
      </c>
      <c r="Z58" t="s">
        <v>1236</v>
      </c>
      <c r="AA58" t="s">
        <v>1237</v>
      </c>
      <c r="AB58" t="s">
        <v>1238</v>
      </c>
      <c r="AC58" t="s">
        <v>1239</v>
      </c>
      <c r="AD58" t="s">
        <v>1240</v>
      </c>
      <c r="AE58" t="s">
        <v>1241</v>
      </c>
      <c r="AF58" t="s">
        <v>74</v>
      </c>
      <c r="AG58">
        <v>67</v>
      </c>
      <c r="AH58">
        <v>8</v>
      </c>
      <c r="AI58">
        <v>9</v>
      </c>
      <c r="AJ58">
        <v>5</v>
      </c>
      <c r="AK58">
        <v>34</v>
      </c>
      <c r="AL58" t="s">
        <v>864</v>
      </c>
      <c r="AM58" t="s">
        <v>865</v>
      </c>
      <c r="AN58" t="s">
        <v>866</v>
      </c>
      <c r="AO58" t="s">
        <v>1128</v>
      </c>
      <c r="AP58" t="s">
        <v>1129</v>
      </c>
      <c r="AQ58" t="s">
        <v>74</v>
      </c>
      <c r="AR58" t="s">
        <v>1130</v>
      </c>
      <c r="AS58" t="s">
        <v>1131</v>
      </c>
      <c r="AT58" t="s">
        <v>535</v>
      </c>
      <c r="AU58">
        <v>2021</v>
      </c>
      <c r="AV58">
        <v>126</v>
      </c>
      <c r="AW58">
        <v>8</v>
      </c>
      <c r="AX58" t="s">
        <v>74</v>
      </c>
      <c r="AY58" t="s">
        <v>74</v>
      </c>
      <c r="AZ58" t="s">
        <v>74</v>
      </c>
      <c r="BA58" t="s">
        <v>74</v>
      </c>
      <c r="BB58" t="s">
        <v>74</v>
      </c>
      <c r="BC58" t="s">
        <v>74</v>
      </c>
      <c r="BD58" t="s">
        <v>1242</v>
      </c>
      <c r="BE58" t="s">
        <v>1243</v>
      </c>
      <c r="BF58" t="str">
        <f>HYPERLINK("http://dx.doi.org/10.1029/2021JC017550","http://dx.doi.org/10.1029/2021JC017550")</f>
        <v>http://dx.doi.org/10.1029/2021JC017550</v>
      </c>
      <c r="BG58" t="s">
        <v>74</v>
      </c>
      <c r="BH58" t="s">
        <v>74</v>
      </c>
      <c r="BI58">
        <v>18</v>
      </c>
      <c r="BJ58" t="s">
        <v>1134</v>
      </c>
      <c r="BK58" t="s">
        <v>128</v>
      </c>
      <c r="BL58" t="s">
        <v>1134</v>
      </c>
      <c r="BM58" t="s">
        <v>1135</v>
      </c>
      <c r="BN58" t="s">
        <v>74</v>
      </c>
      <c r="BO58" t="s">
        <v>74</v>
      </c>
      <c r="BP58" t="s">
        <v>74</v>
      </c>
      <c r="BQ58" t="s">
        <v>74</v>
      </c>
      <c r="BR58" t="s">
        <v>102</v>
      </c>
      <c r="BS58" t="s">
        <v>1244</v>
      </c>
      <c r="BT58" t="str">
        <f>HYPERLINK("https%3A%2F%2Fwww.webofscience.com%2Fwos%2Fwoscc%2Ffull-record%2FWOS:000690758000013","View Full Record in Web of Science")</f>
        <v>View Full Record in Web of Science</v>
      </c>
    </row>
    <row r="59" spans="1:72" x14ac:dyDescent="0.15">
      <c r="A59" t="s">
        <v>72</v>
      </c>
      <c r="B59" t="s">
        <v>1245</v>
      </c>
      <c r="C59" t="s">
        <v>74</v>
      </c>
      <c r="D59" t="s">
        <v>74</v>
      </c>
      <c r="E59" t="s">
        <v>74</v>
      </c>
      <c r="F59" t="s">
        <v>1246</v>
      </c>
      <c r="G59" t="s">
        <v>74</v>
      </c>
      <c r="H59" t="s">
        <v>74</v>
      </c>
      <c r="I59" t="s">
        <v>1247</v>
      </c>
      <c r="J59" t="s">
        <v>1248</v>
      </c>
      <c r="K59" t="s">
        <v>74</v>
      </c>
      <c r="L59" t="s">
        <v>74</v>
      </c>
      <c r="M59" t="s">
        <v>78</v>
      </c>
      <c r="N59" t="s">
        <v>79</v>
      </c>
      <c r="O59" t="s">
        <v>74</v>
      </c>
      <c r="P59" t="s">
        <v>74</v>
      </c>
      <c r="Q59" t="s">
        <v>74</v>
      </c>
      <c r="R59" t="s">
        <v>74</v>
      </c>
      <c r="S59" t="s">
        <v>74</v>
      </c>
      <c r="T59" t="s">
        <v>1249</v>
      </c>
      <c r="U59" t="s">
        <v>1250</v>
      </c>
      <c r="V59" t="s">
        <v>1251</v>
      </c>
      <c r="W59" t="s">
        <v>1252</v>
      </c>
      <c r="X59" t="s">
        <v>1253</v>
      </c>
      <c r="Y59" t="s">
        <v>1254</v>
      </c>
      <c r="Z59" t="s">
        <v>1255</v>
      </c>
      <c r="AA59" t="s">
        <v>1256</v>
      </c>
      <c r="AB59" t="s">
        <v>1257</v>
      </c>
      <c r="AC59" t="s">
        <v>1258</v>
      </c>
      <c r="AD59" t="s">
        <v>1259</v>
      </c>
      <c r="AE59" t="s">
        <v>1260</v>
      </c>
      <c r="AF59" t="s">
        <v>74</v>
      </c>
      <c r="AG59">
        <v>46</v>
      </c>
      <c r="AH59">
        <v>5</v>
      </c>
      <c r="AI59">
        <v>5</v>
      </c>
      <c r="AJ59">
        <v>0</v>
      </c>
      <c r="AK59">
        <v>3</v>
      </c>
      <c r="AL59" t="s">
        <v>864</v>
      </c>
      <c r="AM59" t="s">
        <v>865</v>
      </c>
      <c r="AN59" t="s">
        <v>866</v>
      </c>
      <c r="AO59" t="s">
        <v>1261</v>
      </c>
      <c r="AP59" t="s">
        <v>1262</v>
      </c>
      <c r="AQ59" t="s">
        <v>74</v>
      </c>
      <c r="AR59" t="s">
        <v>1263</v>
      </c>
      <c r="AS59" t="s">
        <v>1264</v>
      </c>
      <c r="AT59" t="s">
        <v>535</v>
      </c>
      <c r="AU59">
        <v>2021</v>
      </c>
      <c r="AV59">
        <v>126</v>
      </c>
      <c r="AW59">
        <v>8</v>
      </c>
      <c r="AX59" t="s">
        <v>74</v>
      </c>
      <c r="AY59" t="s">
        <v>74</v>
      </c>
      <c r="AZ59" t="s">
        <v>74</v>
      </c>
      <c r="BA59" t="s">
        <v>74</v>
      </c>
      <c r="BB59" t="s">
        <v>74</v>
      </c>
      <c r="BC59" t="s">
        <v>74</v>
      </c>
      <c r="BD59" t="s">
        <v>1265</v>
      </c>
      <c r="BE59" t="s">
        <v>1266</v>
      </c>
      <c r="BF59" t="str">
        <f>HYPERLINK("http://dx.doi.org/10.1029/2020JA028989","http://dx.doi.org/10.1029/2020JA028989")</f>
        <v>http://dx.doi.org/10.1029/2020JA028989</v>
      </c>
      <c r="BG59" t="s">
        <v>74</v>
      </c>
      <c r="BH59" t="s">
        <v>74</v>
      </c>
      <c r="BI59">
        <v>22</v>
      </c>
      <c r="BJ59" t="s">
        <v>1267</v>
      </c>
      <c r="BK59" t="s">
        <v>128</v>
      </c>
      <c r="BL59" t="s">
        <v>1267</v>
      </c>
      <c r="BM59" t="s">
        <v>1268</v>
      </c>
      <c r="BN59" t="s">
        <v>74</v>
      </c>
      <c r="BO59" t="s">
        <v>238</v>
      </c>
      <c r="BP59" t="s">
        <v>74</v>
      </c>
      <c r="BQ59" t="s">
        <v>74</v>
      </c>
      <c r="BR59" t="s">
        <v>102</v>
      </c>
      <c r="BS59" t="s">
        <v>1269</v>
      </c>
      <c r="BT59" t="str">
        <f>HYPERLINK("https%3A%2F%2Fwww.webofscience.com%2Fwos%2Fwoscc%2Ffull-record%2FWOS:000691018000066","View Full Record in Web of Science")</f>
        <v>View Full Record in Web of Science</v>
      </c>
    </row>
    <row r="60" spans="1:72" x14ac:dyDescent="0.15">
      <c r="A60" t="s">
        <v>72</v>
      </c>
      <c r="B60" t="s">
        <v>1270</v>
      </c>
      <c r="C60" t="s">
        <v>74</v>
      </c>
      <c r="D60" t="s">
        <v>74</v>
      </c>
      <c r="E60" t="s">
        <v>74</v>
      </c>
      <c r="F60" t="s">
        <v>1271</v>
      </c>
      <c r="G60" t="s">
        <v>74</v>
      </c>
      <c r="H60" t="s">
        <v>74</v>
      </c>
      <c r="I60" t="s">
        <v>1272</v>
      </c>
      <c r="J60" t="s">
        <v>1248</v>
      </c>
      <c r="K60" t="s">
        <v>74</v>
      </c>
      <c r="L60" t="s">
        <v>74</v>
      </c>
      <c r="M60" t="s">
        <v>78</v>
      </c>
      <c r="N60" t="s">
        <v>79</v>
      </c>
      <c r="O60" t="s">
        <v>74</v>
      </c>
      <c r="P60" t="s">
        <v>74</v>
      </c>
      <c r="Q60" t="s">
        <v>74</v>
      </c>
      <c r="R60" t="s">
        <v>74</v>
      </c>
      <c r="S60" t="s">
        <v>74</v>
      </c>
      <c r="T60" t="s">
        <v>74</v>
      </c>
      <c r="U60" t="s">
        <v>1273</v>
      </c>
      <c r="V60" t="s">
        <v>1274</v>
      </c>
      <c r="W60" t="s">
        <v>1275</v>
      </c>
      <c r="X60" t="s">
        <v>1276</v>
      </c>
      <c r="Y60" t="s">
        <v>1277</v>
      </c>
      <c r="Z60" t="s">
        <v>1278</v>
      </c>
      <c r="AA60" t="s">
        <v>1279</v>
      </c>
      <c r="AB60" t="s">
        <v>1280</v>
      </c>
      <c r="AC60" t="s">
        <v>1281</v>
      </c>
      <c r="AD60" t="s">
        <v>1282</v>
      </c>
      <c r="AE60" t="s">
        <v>1283</v>
      </c>
      <c r="AF60" t="s">
        <v>74</v>
      </c>
      <c r="AG60">
        <v>51</v>
      </c>
      <c r="AH60">
        <v>4</v>
      </c>
      <c r="AI60">
        <v>4</v>
      </c>
      <c r="AJ60">
        <v>1</v>
      </c>
      <c r="AK60">
        <v>5</v>
      </c>
      <c r="AL60" t="s">
        <v>864</v>
      </c>
      <c r="AM60" t="s">
        <v>865</v>
      </c>
      <c r="AN60" t="s">
        <v>866</v>
      </c>
      <c r="AO60" t="s">
        <v>1261</v>
      </c>
      <c r="AP60" t="s">
        <v>1262</v>
      </c>
      <c r="AQ60" t="s">
        <v>74</v>
      </c>
      <c r="AR60" t="s">
        <v>1263</v>
      </c>
      <c r="AS60" t="s">
        <v>1264</v>
      </c>
      <c r="AT60" t="s">
        <v>535</v>
      </c>
      <c r="AU60">
        <v>2021</v>
      </c>
      <c r="AV60">
        <v>126</v>
      </c>
      <c r="AW60">
        <v>8</v>
      </c>
      <c r="AX60" t="s">
        <v>74</v>
      </c>
      <c r="AY60" t="s">
        <v>74</v>
      </c>
      <c r="AZ60" t="s">
        <v>74</v>
      </c>
      <c r="BA60" t="s">
        <v>74</v>
      </c>
      <c r="BB60" t="s">
        <v>74</v>
      </c>
      <c r="BC60" t="s">
        <v>74</v>
      </c>
      <c r="BD60" t="s">
        <v>1284</v>
      </c>
      <c r="BE60" t="s">
        <v>1285</v>
      </c>
      <c r="BF60" t="str">
        <f>HYPERLINK("http://dx.doi.org/10.1029/2021JA029218","http://dx.doi.org/10.1029/2021JA029218")</f>
        <v>http://dx.doi.org/10.1029/2021JA029218</v>
      </c>
      <c r="BG60" t="s">
        <v>74</v>
      </c>
      <c r="BH60" t="s">
        <v>74</v>
      </c>
      <c r="BI60">
        <v>15</v>
      </c>
      <c r="BJ60" t="s">
        <v>1267</v>
      </c>
      <c r="BK60" t="s">
        <v>128</v>
      </c>
      <c r="BL60" t="s">
        <v>1267</v>
      </c>
      <c r="BM60" t="s">
        <v>1268</v>
      </c>
      <c r="BN60" t="s">
        <v>74</v>
      </c>
      <c r="BO60" t="s">
        <v>291</v>
      </c>
      <c r="BP60" t="s">
        <v>74</v>
      </c>
      <c r="BQ60" t="s">
        <v>74</v>
      </c>
      <c r="BR60" t="s">
        <v>102</v>
      </c>
      <c r="BS60" t="s">
        <v>1286</v>
      </c>
      <c r="BT60" t="str">
        <f>HYPERLINK("https%3A%2F%2Fwww.webofscience.com%2Fwos%2Fwoscc%2Ffull-record%2FWOS:000691018000042","View Full Record in Web of Science")</f>
        <v>View Full Record in Web of Science</v>
      </c>
    </row>
    <row r="61" spans="1:72" x14ac:dyDescent="0.15">
      <c r="A61" t="s">
        <v>72</v>
      </c>
      <c r="B61" t="s">
        <v>1287</v>
      </c>
      <c r="C61" t="s">
        <v>74</v>
      </c>
      <c r="D61" t="s">
        <v>74</v>
      </c>
      <c r="E61" t="s">
        <v>74</v>
      </c>
      <c r="F61" t="s">
        <v>1288</v>
      </c>
      <c r="G61" t="s">
        <v>74</v>
      </c>
      <c r="H61" t="s">
        <v>74</v>
      </c>
      <c r="I61" t="s">
        <v>1289</v>
      </c>
      <c r="J61" t="s">
        <v>1290</v>
      </c>
      <c r="K61" t="s">
        <v>74</v>
      </c>
      <c r="L61" t="s">
        <v>74</v>
      </c>
      <c r="M61" t="s">
        <v>78</v>
      </c>
      <c r="N61" t="s">
        <v>79</v>
      </c>
      <c r="O61" t="s">
        <v>74</v>
      </c>
      <c r="P61" t="s">
        <v>74</v>
      </c>
      <c r="Q61" t="s">
        <v>74</v>
      </c>
      <c r="R61" t="s">
        <v>74</v>
      </c>
      <c r="S61" t="s">
        <v>74</v>
      </c>
      <c r="T61" t="s">
        <v>1291</v>
      </c>
      <c r="U61" t="s">
        <v>1292</v>
      </c>
      <c r="V61" t="s">
        <v>1293</v>
      </c>
      <c r="W61" t="s">
        <v>1294</v>
      </c>
      <c r="X61" t="s">
        <v>1295</v>
      </c>
      <c r="Y61" t="s">
        <v>1296</v>
      </c>
      <c r="Z61" t="s">
        <v>1297</v>
      </c>
      <c r="AA61" t="s">
        <v>74</v>
      </c>
      <c r="AB61" t="s">
        <v>74</v>
      </c>
      <c r="AC61" t="s">
        <v>74</v>
      </c>
      <c r="AD61" t="s">
        <v>74</v>
      </c>
      <c r="AE61" t="s">
        <v>74</v>
      </c>
      <c r="AF61" t="s">
        <v>74</v>
      </c>
      <c r="AG61">
        <v>24</v>
      </c>
      <c r="AH61">
        <v>0</v>
      </c>
      <c r="AI61">
        <v>0</v>
      </c>
      <c r="AJ61">
        <v>0</v>
      </c>
      <c r="AK61">
        <v>1</v>
      </c>
      <c r="AL61" t="s">
        <v>1298</v>
      </c>
      <c r="AM61" t="s">
        <v>368</v>
      </c>
      <c r="AN61" t="s">
        <v>1299</v>
      </c>
      <c r="AO61" t="s">
        <v>1300</v>
      </c>
      <c r="AP61" t="s">
        <v>1301</v>
      </c>
      <c r="AQ61" t="s">
        <v>74</v>
      </c>
      <c r="AR61" t="s">
        <v>1302</v>
      </c>
      <c r="AS61" t="s">
        <v>1303</v>
      </c>
      <c r="AT61" t="s">
        <v>535</v>
      </c>
      <c r="AU61">
        <v>2021</v>
      </c>
      <c r="AV61">
        <v>12</v>
      </c>
      <c r="AW61">
        <v>5</v>
      </c>
      <c r="AX61" t="s">
        <v>74</v>
      </c>
      <c r="AY61" t="s">
        <v>74</v>
      </c>
      <c r="AZ61" t="s">
        <v>74</v>
      </c>
      <c r="BA61" t="s">
        <v>74</v>
      </c>
      <c r="BB61">
        <v>1501</v>
      </c>
      <c r="BC61">
        <v>1514</v>
      </c>
      <c r="BD61" t="s">
        <v>74</v>
      </c>
      <c r="BE61" t="s">
        <v>1304</v>
      </c>
      <c r="BF61" t="str">
        <f>HYPERLINK("http://dx.doi.org/10.2166/wcc.2020.001","http://dx.doi.org/10.2166/wcc.2020.001")</f>
        <v>http://dx.doi.org/10.2166/wcc.2020.001</v>
      </c>
      <c r="BG61" t="s">
        <v>74</v>
      </c>
      <c r="BH61" t="s">
        <v>74</v>
      </c>
      <c r="BI61">
        <v>14</v>
      </c>
      <c r="BJ61" t="s">
        <v>1305</v>
      </c>
      <c r="BK61" t="s">
        <v>128</v>
      </c>
      <c r="BL61" t="s">
        <v>1305</v>
      </c>
      <c r="BM61" t="s">
        <v>1306</v>
      </c>
      <c r="BN61" t="s">
        <v>74</v>
      </c>
      <c r="BO61" t="s">
        <v>291</v>
      </c>
      <c r="BP61" t="s">
        <v>74</v>
      </c>
      <c r="BQ61" t="s">
        <v>74</v>
      </c>
      <c r="BR61" t="s">
        <v>102</v>
      </c>
      <c r="BS61" t="s">
        <v>1307</v>
      </c>
      <c r="BT61" t="str">
        <f>HYPERLINK("https%3A%2F%2Fwww.webofscience.com%2Fwos%2Fwoscc%2Ffull-record%2FWOS:000691092100011","View Full Record in Web of Science")</f>
        <v>View Full Record in Web of Science</v>
      </c>
    </row>
    <row r="62" spans="1:72" x14ac:dyDescent="0.15">
      <c r="A62" t="s">
        <v>72</v>
      </c>
      <c r="B62" t="s">
        <v>1308</v>
      </c>
      <c r="C62" t="s">
        <v>74</v>
      </c>
      <c r="D62" t="s">
        <v>74</v>
      </c>
      <c r="E62" t="s">
        <v>74</v>
      </c>
      <c r="F62" t="s">
        <v>1309</v>
      </c>
      <c r="G62" t="s">
        <v>74</v>
      </c>
      <c r="H62" t="s">
        <v>74</v>
      </c>
      <c r="I62" t="s">
        <v>1310</v>
      </c>
      <c r="J62" t="s">
        <v>1311</v>
      </c>
      <c r="K62" t="s">
        <v>74</v>
      </c>
      <c r="L62" t="s">
        <v>74</v>
      </c>
      <c r="M62" t="s">
        <v>78</v>
      </c>
      <c r="N62" t="s">
        <v>79</v>
      </c>
      <c r="O62" t="s">
        <v>74</v>
      </c>
      <c r="P62" t="s">
        <v>74</v>
      </c>
      <c r="Q62" t="s">
        <v>74</v>
      </c>
      <c r="R62" t="s">
        <v>74</v>
      </c>
      <c r="S62" t="s">
        <v>74</v>
      </c>
      <c r="T62" t="s">
        <v>74</v>
      </c>
      <c r="U62" t="s">
        <v>1312</v>
      </c>
      <c r="V62" t="s">
        <v>1313</v>
      </c>
      <c r="W62" t="s">
        <v>1314</v>
      </c>
      <c r="X62" t="s">
        <v>1315</v>
      </c>
      <c r="Y62" t="s">
        <v>1316</v>
      </c>
      <c r="Z62" t="s">
        <v>1317</v>
      </c>
      <c r="AA62" t="s">
        <v>74</v>
      </c>
      <c r="AB62" t="s">
        <v>1318</v>
      </c>
      <c r="AC62" t="s">
        <v>1319</v>
      </c>
      <c r="AD62" t="s">
        <v>1320</v>
      </c>
      <c r="AE62" t="s">
        <v>1321</v>
      </c>
      <c r="AF62" t="s">
        <v>74</v>
      </c>
      <c r="AG62">
        <v>68</v>
      </c>
      <c r="AH62">
        <v>2</v>
      </c>
      <c r="AI62">
        <v>2</v>
      </c>
      <c r="AJ62">
        <v>1</v>
      </c>
      <c r="AK62">
        <v>13</v>
      </c>
      <c r="AL62" t="s">
        <v>864</v>
      </c>
      <c r="AM62" t="s">
        <v>865</v>
      </c>
      <c r="AN62" t="s">
        <v>866</v>
      </c>
      <c r="AO62" t="s">
        <v>1322</v>
      </c>
      <c r="AP62" t="s">
        <v>1323</v>
      </c>
      <c r="AQ62" t="s">
        <v>74</v>
      </c>
      <c r="AR62" t="s">
        <v>1324</v>
      </c>
      <c r="AS62" t="s">
        <v>1325</v>
      </c>
      <c r="AT62" t="s">
        <v>535</v>
      </c>
      <c r="AU62">
        <v>2021</v>
      </c>
      <c r="AV62">
        <v>36</v>
      </c>
      <c r="AW62">
        <v>8</v>
      </c>
      <c r="AX62" t="s">
        <v>74</v>
      </c>
      <c r="AY62" t="s">
        <v>74</v>
      </c>
      <c r="AZ62" t="s">
        <v>74</v>
      </c>
      <c r="BA62" t="s">
        <v>74</v>
      </c>
      <c r="BB62" t="s">
        <v>74</v>
      </c>
      <c r="BC62" t="s">
        <v>74</v>
      </c>
      <c r="BD62" t="s">
        <v>1326</v>
      </c>
      <c r="BE62" t="s">
        <v>1327</v>
      </c>
      <c r="BF62" t="str">
        <f>HYPERLINK("http://dx.doi.org/10.1029/2020PA004187","http://dx.doi.org/10.1029/2020PA004187")</f>
        <v>http://dx.doi.org/10.1029/2020PA004187</v>
      </c>
      <c r="BG62" t="s">
        <v>74</v>
      </c>
      <c r="BH62" t="s">
        <v>74</v>
      </c>
      <c r="BI62">
        <v>13</v>
      </c>
      <c r="BJ62" t="s">
        <v>1328</v>
      </c>
      <c r="BK62" t="s">
        <v>128</v>
      </c>
      <c r="BL62" t="s">
        <v>1329</v>
      </c>
      <c r="BM62" t="s">
        <v>1330</v>
      </c>
      <c r="BN62" t="s">
        <v>74</v>
      </c>
      <c r="BO62" t="s">
        <v>408</v>
      </c>
      <c r="BP62" t="s">
        <v>74</v>
      </c>
      <c r="BQ62" t="s">
        <v>74</v>
      </c>
      <c r="BR62" t="s">
        <v>102</v>
      </c>
      <c r="BS62" t="s">
        <v>1331</v>
      </c>
      <c r="BT62" t="str">
        <f>HYPERLINK("https%3A%2F%2Fwww.webofscience.com%2Fwos%2Fwoscc%2Ffull-record%2FWOS:000690772300005","View Full Record in Web of Science")</f>
        <v>View Full Record in Web of Science</v>
      </c>
    </row>
    <row r="63" spans="1:72" x14ac:dyDescent="0.15">
      <c r="A63" t="s">
        <v>72</v>
      </c>
      <c r="B63" t="s">
        <v>1332</v>
      </c>
      <c r="C63" t="s">
        <v>74</v>
      </c>
      <c r="D63" t="s">
        <v>74</v>
      </c>
      <c r="E63" t="s">
        <v>74</v>
      </c>
      <c r="F63" t="s">
        <v>1333</v>
      </c>
      <c r="G63" t="s">
        <v>74</v>
      </c>
      <c r="H63" t="s">
        <v>74</v>
      </c>
      <c r="I63" t="s">
        <v>1334</v>
      </c>
      <c r="J63" t="s">
        <v>1335</v>
      </c>
      <c r="K63" t="s">
        <v>74</v>
      </c>
      <c r="L63" t="s">
        <v>74</v>
      </c>
      <c r="M63" t="s">
        <v>78</v>
      </c>
      <c r="N63" t="s">
        <v>79</v>
      </c>
      <c r="O63" t="s">
        <v>74</v>
      </c>
      <c r="P63" t="s">
        <v>74</v>
      </c>
      <c r="Q63" t="s">
        <v>74</v>
      </c>
      <c r="R63" t="s">
        <v>74</v>
      </c>
      <c r="S63" t="s">
        <v>74</v>
      </c>
      <c r="T63" t="s">
        <v>1336</v>
      </c>
      <c r="U63" t="s">
        <v>1337</v>
      </c>
      <c r="V63" t="s">
        <v>1338</v>
      </c>
      <c r="W63" t="s">
        <v>1339</v>
      </c>
      <c r="X63" t="s">
        <v>1340</v>
      </c>
      <c r="Y63" t="s">
        <v>1341</v>
      </c>
      <c r="Z63" t="s">
        <v>1342</v>
      </c>
      <c r="AA63" t="s">
        <v>1343</v>
      </c>
      <c r="AB63" t="s">
        <v>1344</v>
      </c>
      <c r="AC63" t="s">
        <v>1345</v>
      </c>
      <c r="AD63" t="s">
        <v>1346</v>
      </c>
      <c r="AE63" t="s">
        <v>1347</v>
      </c>
      <c r="AF63" t="s">
        <v>74</v>
      </c>
      <c r="AG63">
        <v>56</v>
      </c>
      <c r="AH63">
        <v>3</v>
      </c>
      <c r="AI63">
        <v>3</v>
      </c>
      <c r="AJ63">
        <v>0</v>
      </c>
      <c r="AK63">
        <v>5</v>
      </c>
      <c r="AL63" t="s">
        <v>1101</v>
      </c>
      <c r="AM63" t="s">
        <v>1102</v>
      </c>
      <c r="AN63" t="s">
        <v>1103</v>
      </c>
      <c r="AO63" t="s">
        <v>74</v>
      </c>
      <c r="AP63" t="s">
        <v>1348</v>
      </c>
      <c r="AQ63" t="s">
        <v>74</v>
      </c>
      <c r="AR63" t="s">
        <v>1349</v>
      </c>
      <c r="AS63" t="s">
        <v>1350</v>
      </c>
      <c r="AT63" t="s">
        <v>535</v>
      </c>
      <c r="AU63">
        <v>2021</v>
      </c>
      <c r="AV63">
        <v>12</v>
      </c>
      <c r="AW63">
        <v>8</v>
      </c>
      <c r="AX63" t="s">
        <v>74</v>
      </c>
      <c r="AY63" t="s">
        <v>74</v>
      </c>
      <c r="AZ63" t="s">
        <v>74</v>
      </c>
      <c r="BA63" t="s">
        <v>74</v>
      </c>
      <c r="BB63" t="s">
        <v>74</v>
      </c>
      <c r="BC63" t="s">
        <v>74</v>
      </c>
      <c r="BD63">
        <v>1029</v>
      </c>
      <c r="BE63" t="s">
        <v>1351</v>
      </c>
      <c r="BF63" t="str">
        <f>HYPERLINK("http://dx.doi.org/10.3390/atmos12081029","http://dx.doi.org/10.3390/atmos12081029")</f>
        <v>http://dx.doi.org/10.3390/atmos12081029</v>
      </c>
      <c r="BG63" t="s">
        <v>74</v>
      </c>
      <c r="BH63" t="s">
        <v>74</v>
      </c>
      <c r="BI63">
        <v>21</v>
      </c>
      <c r="BJ63" t="s">
        <v>635</v>
      </c>
      <c r="BK63" t="s">
        <v>128</v>
      </c>
      <c r="BL63" t="s">
        <v>636</v>
      </c>
      <c r="BM63" t="s">
        <v>1352</v>
      </c>
      <c r="BN63" t="s">
        <v>74</v>
      </c>
      <c r="BO63" t="s">
        <v>1353</v>
      </c>
      <c r="BP63" t="s">
        <v>74</v>
      </c>
      <c r="BQ63" t="s">
        <v>74</v>
      </c>
      <c r="BR63" t="s">
        <v>102</v>
      </c>
      <c r="BS63" t="s">
        <v>1354</v>
      </c>
      <c r="BT63" t="str">
        <f>HYPERLINK("https%3A%2F%2Fwww.webofscience.com%2Fwos%2Fwoscc%2Ffull-record%2FWOS:000689941900001","View Full Record in Web of Science")</f>
        <v>View Full Record in Web of Science</v>
      </c>
    </row>
    <row r="64" spans="1:72" x14ac:dyDescent="0.15">
      <c r="A64" t="s">
        <v>72</v>
      </c>
      <c r="B64" t="s">
        <v>1355</v>
      </c>
      <c r="C64" t="s">
        <v>74</v>
      </c>
      <c r="D64" t="s">
        <v>74</v>
      </c>
      <c r="E64" t="s">
        <v>74</v>
      </c>
      <c r="F64" t="s">
        <v>1356</v>
      </c>
      <c r="G64" t="s">
        <v>74</v>
      </c>
      <c r="H64" t="s">
        <v>74</v>
      </c>
      <c r="I64" t="s">
        <v>1357</v>
      </c>
      <c r="J64" t="s">
        <v>1358</v>
      </c>
      <c r="K64" t="s">
        <v>74</v>
      </c>
      <c r="L64" t="s">
        <v>74</v>
      </c>
      <c r="M64" t="s">
        <v>78</v>
      </c>
      <c r="N64" t="s">
        <v>79</v>
      </c>
      <c r="O64" t="s">
        <v>74</v>
      </c>
      <c r="P64" t="s">
        <v>74</v>
      </c>
      <c r="Q64" t="s">
        <v>74</v>
      </c>
      <c r="R64" t="s">
        <v>74</v>
      </c>
      <c r="S64" t="s">
        <v>74</v>
      </c>
      <c r="T64" t="s">
        <v>1359</v>
      </c>
      <c r="U64" t="s">
        <v>1360</v>
      </c>
      <c r="V64" t="s">
        <v>1361</v>
      </c>
      <c r="W64" t="s">
        <v>1362</v>
      </c>
      <c r="X64" t="s">
        <v>1363</v>
      </c>
      <c r="Y64" t="s">
        <v>1364</v>
      </c>
      <c r="Z64" t="s">
        <v>1365</v>
      </c>
      <c r="AA64" t="s">
        <v>1366</v>
      </c>
      <c r="AB64" t="s">
        <v>1367</v>
      </c>
      <c r="AC64" t="s">
        <v>1368</v>
      </c>
      <c r="AD64" t="s">
        <v>1369</v>
      </c>
      <c r="AE64" t="s">
        <v>1370</v>
      </c>
      <c r="AF64" t="s">
        <v>74</v>
      </c>
      <c r="AG64">
        <v>111</v>
      </c>
      <c r="AH64">
        <v>3</v>
      </c>
      <c r="AI64">
        <v>3</v>
      </c>
      <c r="AJ64">
        <v>1</v>
      </c>
      <c r="AK64">
        <v>15</v>
      </c>
      <c r="AL64" t="s">
        <v>1101</v>
      </c>
      <c r="AM64" t="s">
        <v>1102</v>
      </c>
      <c r="AN64" t="s">
        <v>1103</v>
      </c>
      <c r="AO64" t="s">
        <v>74</v>
      </c>
      <c r="AP64" t="s">
        <v>1371</v>
      </c>
      <c r="AQ64" t="s">
        <v>74</v>
      </c>
      <c r="AR64" t="s">
        <v>1372</v>
      </c>
      <c r="AS64" t="s">
        <v>1373</v>
      </c>
      <c r="AT64" t="s">
        <v>535</v>
      </c>
      <c r="AU64">
        <v>2021</v>
      </c>
      <c r="AV64">
        <v>11</v>
      </c>
      <c r="AW64">
        <v>8</v>
      </c>
      <c r="AX64" t="s">
        <v>74</v>
      </c>
      <c r="AY64" t="s">
        <v>74</v>
      </c>
      <c r="AZ64" t="s">
        <v>74</v>
      </c>
      <c r="BA64" t="s">
        <v>74</v>
      </c>
      <c r="BB64" t="s">
        <v>74</v>
      </c>
      <c r="BC64" t="s">
        <v>74</v>
      </c>
      <c r="BD64">
        <v>833</v>
      </c>
      <c r="BE64" t="s">
        <v>1374</v>
      </c>
      <c r="BF64" t="str">
        <f>HYPERLINK("http://dx.doi.org/10.3390/min11080833","http://dx.doi.org/10.3390/min11080833")</f>
        <v>http://dx.doi.org/10.3390/min11080833</v>
      </c>
      <c r="BG64" t="s">
        <v>74</v>
      </c>
      <c r="BH64" t="s">
        <v>74</v>
      </c>
      <c r="BI64">
        <v>21</v>
      </c>
      <c r="BJ64" t="s">
        <v>1375</v>
      </c>
      <c r="BK64" t="s">
        <v>128</v>
      </c>
      <c r="BL64" t="s">
        <v>1375</v>
      </c>
      <c r="BM64" t="s">
        <v>1376</v>
      </c>
      <c r="BN64" t="s">
        <v>74</v>
      </c>
      <c r="BO64" t="s">
        <v>1377</v>
      </c>
      <c r="BP64" t="s">
        <v>74</v>
      </c>
      <c r="BQ64" t="s">
        <v>74</v>
      </c>
      <c r="BR64" t="s">
        <v>102</v>
      </c>
      <c r="BS64" t="s">
        <v>1378</v>
      </c>
      <c r="BT64" t="str">
        <f>HYPERLINK("https%3A%2F%2Fwww.webofscience.com%2Fwos%2Fwoscc%2Ffull-record%2FWOS:000690649100001","View Full Record in Web of Science")</f>
        <v>View Full Record in Web of Science</v>
      </c>
    </row>
    <row r="65" spans="1:72" x14ac:dyDescent="0.15">
      <c r="A65" t="s">
        <v>72</v>
      </c>
      <c r="B65" t="s">
        <v>1379</v>
      </c>
      <c r="C65" t="s">
        <v>74</v>
      </c>
      <c r="D65" t="s">
        <v>74</v>
      </c>
      <c r="E65" t="s">
        <v>74</v>
      </c>
      <c r="F65" t="s">
        <v>1380</v>
      </c>
      <c r="G65" t="s">
        <v>74</v>
      </c>
      <c r="H65" t="s">
        <v>74</v>
      </c>
      <c r="I65" t="s">
        <v>1381</v>
      </c>
      <c r="J65" t="s">
        <v>1382</v>
      </c>
      <c r="K65" t="s">
        <v>74</v>
      </c>
      <c r="L65" t="s">
        <v>74</v>
      </c>
      <c r="M65" t="s">
        <v>78</v>
      </c>
      <c r="N65" t="s">
        <v>79</v>
      </c>
      <c r="O65" t="s">
        <v>74</v>
      </c>
      <c r="P65" t="s">
        <v>74</v>
      </c>
      <c r="Q65" t="s">
        <v>74</v>
      </c>
      <c r="R65" t="s">
        <v>74</v>
      </c>
      <c r="S65" t="s">
        <v>74</v>
      </c>
      <c r="T65" t="s">
        <v>1383</v>
      </c>
      <c r="U65" t="s">
        <v>1384</v>
      </c>
      <c r="V65" t="s">
        <v>1385</v>
      </c>
      <c r="W65" t="s">
        <v>1386</v>
      </c>
      <c r="X65" t="s">
        <v>1387</v>
      </c>
      <c r="Y65" t="s">
        <v>1388</v>
      </c>
      <c r="Z65" t="s">
        <v>1389</v>
      </c>
      <c r="AA65" t="s">
        <v>1390</v>
      </c>
      <c r="AB65" t="s">
        <v>1391</v>
      </c>
      <c r="AC65" t="s">
        <v>1392</v>
      </c>
      <c r="AD65" t="s">
        <v>1393</v>
      </c>
      <c r="AE65" t="s">
        <v>1394</v>
      </c>
      <c r="AF65" t="s">
        <v>74</v>
      </c>
      <c r="AG65">
        <v>79</v>
      </c>
      <c r="AH65">
        <v>11</v>
      </c>
      <c r="AI65">
        <v>11</v>
      </c>
      <c r="AJ65">
        <v>3</v>
      </c>
      <c r="AK65">
        <v>10</v>
      </c>
      <c r="AL65" t="s">
        <v>1101</v>
      </c>
      <c r="AM65" t="s">
        <v>1102</v>
      </c>
      <c r="AN65" t="s">
        <v>1103</v>
      </c>
      <c r="AO65" t="s">
        <v>74</v>
      </c>
      <c r="AP65" t="s">
        <v>1395</v>
      </c>
      <c r="AQ65" t="s">
        <v>74</v>
      </c>
      <c r="AR65" t="s">
        <v>1382</v>
      </c>
      <c r="AS65" t="s">
        <v>1396</v>
      </c>
      <c r="AT65" t="s">
        <v>535</v>
      </c>
      <c r="AU65">
        <v>2021</v>
      </c>
      <c r="AV65">
        <v>10</v>
      </c>
      <c r="AW65">
        <v>8</v>
      </c>
      <c r="AX65" t="s">
        <v>74</v>
      </c>
      <c r="AY65" t="s">
        <v>74</v>
      </c>
      <c r="AZ65" t="s">
        <v>74</v>
      </c>
      <c r="BA65" t="s">
        <v>74</v>
      </c>
      <c r="BB65" t="s">
        <v>74</v>
      </c>
      <c r="BC65" t="s">
        <v>74</v>
      </c>
      <c r="BD65">
        <v>1740</v>
      </c>
      <c r="BE65" t="s">
        <v>1397</v>
      </c>
      <c r="BF65" t="str">
        <f>HYPERLINK("http://dx.doi.org/10.3390/plants10081740","http://dx.doi.org/10.3390/plants10081740")</f>
        <v>http://dx.doi.org/10.3390/plants10081740</v>
      </c>
      <c r="BG65" t="s">
        <v>74</v>
      </c>
      <c r="BH65" t="s">
        <v>74</v>
      </c>
      <c r="BI65">
        <v>21</v>
      </c>
      <c r="BJ65" t="s">
        <v>1398</v>
      </c>
      <c r="BK65" t="s">
        <v>128</v>
      </c>
      <c r="BL65" t="s">
        <v>1398</v>
      </c>
      <c r="BM65" t="s">
        <v>1399</v>
      </c>
      <c r="BN65">
        <v>34451785</v>
      </c>
      <c r="BO65" t="s">
        <v>311</v>
      </c>
      <c r="BP65" t="s">
        <v>74</v>
      </c>
      <c r="BQ65" t="s">
        <v>74</v>
      </c>
      <c r="BR65" t="s">
        <v>102</v>
      </c>
      <c r="BS65" t="s">
        <v>1400</v>
      </c>
      <c r="BT65" t="str">
        <f>HYPERLINK("https%3A%2F%2Fwww.webofscience.com%2Fwos%2Fwoscc%2Ffull-record%2FWOS:000690004800001","View Full Record in Web of Science")</f>
        <v>View Full Record in Web of Science</v>
      </c>
    </row>
    <row r="66" spans="1:72" x14ac:dyDescent="0.15">
      <c r="A66" t="s">
        <v>72</v>
      </c>
      <c r="B66" t="s">
        <v>1401</v>
      </c>
      <c r="C66" t="s">
        <v>74</v>
      </c>
      <c r="D66" t="s">
        <v>74</v>
      </c>
      <c r="E66" t="s">
        <v>74</v>
      </c>
      <c r="F66" t="s">
        <v>1402</v>
      </c>
      <c r="G66" t="s">
        <v>74</v>
      </c>
      <c r="H66" t="s">
        <v>74</v>
      </c>
      <c r="I66" t="s">
        <v>1403</v>
      </c>
      <c r="J66" t="s">
        <v>1404</v>
      </c>
      <c r="K66" t="s">
        <v>74</v>
      </c>
      <c r="L66" t="s">
        <v>74</v>
      </c>
      <c r="M66" t="s">
        <v>78</v>
      </c>
      <c r="N66" t="s">
        <v>79</v>
      </c>
      <c r="O66" t="s">
        <v>74</v>
      </c>
      <c r="P66" t="s">
        <v>74</v>
      </c>
      <c r="Q66" t="s">
        <v>74</v>
      </c>
      <c r="R66" t="s">
        <v>74</v>
      </c>
      <c r="S66" t="s">
        <v>74</v>
      </c>
      <c r="T66" t="s">
        <v>1405</v>
      </c>
      <c r="U66" t="s">
        <v>1406</v>
      </c>
      <c r="V66" t="s">
        <v>1407</v>
      </c>
      <c r="W66" t="s">
        <v>1408</v>
      </c>
      <c r="X66" t="s">
        <v>1409</v>
      </c>
      <c r="Y66" t="s">
        <v>1410</v>
      </c>
      <c r="Z66" t="s">
        <v>1411</v>
      </c>
      <c r="AA66" t="s">
        <v>1412</v>
      </c>
      <c r="AB66" t="s">
        <v>1413</v>
      </c>
      <c r="AC66" t="s">
        <v>1414</v>
      </c>
      <c r="AD66" t="s">
        <v>1415</v>
      </c>
      <c r="AE66" t="s">
        <v>1416</v>
      </c>
      <c r="AF66" t="s">
        <v>74</v>
      </c>
      <c r="AG66">
        <v>53</v>
      </c>
      <c r="AH66">
        <v>15</v>
      </c>
      <c r="AI66">
        <v>15</v>
      </c>
      <c r="AJ66">
        <v>3</v>
      </c>
      <c r="AK66">
        <v>32</v>
      </c>
      <c r="AL66" t="s">
        <v>1101</v>
      </c>
      <c r="AM66" t="s">
        <v>1102</v>
      </c>
      <c r="AN66" t="s">
        <v>1103</v>
      </c>
      <c r="AO66" t="s">
        <v>74</v>
      </c>
      <c r="AP66" t="s">
        <v>1417</v>
      </c>
      <c r="AQ66" t="s">
        <v>74</v>
      </c>
      <c r="AR66" t="s">
        <v>1418</v>
      </c>
      <c r="AS66" t="s">
        <v>1419</v>
      </c>
      <c r="AT66" t="s">
        <v>535</v>
      </c>
      <c r="AU66">
        <v>2021</v>
      </c>
      <c r="AV66">
        <v>13</v>
      </c>
      <c r="AW66">
        <v>16</v>
      </c>
      <c r="AX66" t="s">
        <v>74</v>
      </c>
      <c r="AY66" t="s">
        <v>74</v>
      </c>
      <c r="AZ66" t="s">
        <v>74</v>
      </c>
      <c r="BA66" t="s">
        <v>74</v>
      </c>
      <c r="BB66" t="s">
        <v>74</v>
      </c>
      <c r="BC66" t="s">
        <v>74</v>
      </c>
      <c r="BD66">
        <v>3224</v>
      </c>
      <c r="BE66" t="s">
        <v>1420</v>
      </c>
      <c r="BF66" t="str">
        <f>HYPERLINK("http://dx.doi.org/10.3390/rs13163224","http://dx.doi.org/10.3390/rs13163224")</f>
        <v>http://dx.doi.org/10.3390/rs13163224</v>
      </c>
      <c r="BG66" t="s">
        <v>74</v>
      </c>
      <c r="BH66" t="s">
        <v>74</v>
      </c>
      <c r="BI66">
        <v>20</v>
      </c>
      <c r="BJ66" t="s">
        <v>1421</v>
      </c>
      <c r="BK66" t="s">
        <v>128</v>
      </c>
      <c r="BL66" t="s">
        <v>1422</v>
      </c>
      <c r="BM66" t="s">
        <v>1423</v>
      </c>
      <c r="BN66" t="s">
        <v>74</v>
      </c>
      <c r="BO66" t="s">
        <v>1377</v>
      </c>
      <c r="BP66" t="s">
        <v>74</v>
      </c>
      <c r="BQ66" t="s">
        <v>74</v>
      </c>
      <c r="BR66" t="s">
        <v>102</v>
      </c>
      <c r="BS66" t="s">
        <v>1424</v>
      </c>
      <c r="BT66" t="str">
        <f>HYPERLINK("https%3A%2F%2Fwww.webofscience.com%2Fwos%2Fwoscc%2Ffull-record%2FWOS:000689831500001","View Full Record in Web of Science")</f>
        <v>View Full Record in Web of Science</v>
      </c>
    </row>
    <row r="67" spans="1:72" x14ac:dyDescent="0.15">
      <c r="A67" t="s">
        <v>72</v>
      </c>
      <c r="B67" t="s">
        <v>1425</v>
      </c>
      <c r="C67" t="s">
        <v>74</v>
      </c>
      <c r="D67" t="s">
        <v>74</v>
      </c>
      <c r="E67" t="s">
        <v>74</v>
      </c>
      <c r="F67" t="s">
        <v>1426</v>
      </c>
      <c r="G67" t="s">
        <v>74</v>
      </c>
      <c r="H67" t="s">
        <v>74</v>
      </c>
      <c r="I67" t="s">
        <v>1427</v>
      </c>
      <c r="J67" t="s">
        <v>1404</v>
      </c>
      <c r="K67" t="s">
        <v>74</v>
      </c>
      <c r="L67" t="s">
        <v>74</v>
      </c>
      <c r="M67" t="s">
        <v>78</v>
      </c>
      <c r="N67" t="s">
        <v>79</v>
      </c>
      <c r="O67" t="s">
        <v>74</v>
      </c>
      <c r="P67" t="s">
        <v>74</v>
      </c>
      <c r="Q67" t="s">
        <v>74</v>
      </c>
      <c r="R67" t="s">
        <v>74</v>
      </c>
      <c r="S67" t="s">
        <v>74</v>
      </c>
      <c r="T67" t="s">
        <v>1428</v>
      </c>
      <c r="U67" t="s">
        <v>1429</v>
      </c>
      <c r="V67" t="s">
        <v>1430</v>
      </c>
      <c r="W67" t="s">
        <v>1431</v>
      </c>
      <c r="X67" t="s">
        <v>1432</v>
      </c>
      <c r="Y67" t="s">
        <v>1433</v>
      </c>
      <c r="Z67" t="s">
        <v>1434</v>
      </c>
      <c r="AA67" t="s">
        <v>74</v>
      </c>
      <c r="AB67" t="s">
        <v>1435</v>
      </c>
      <c r="AC67" t="s">
        <v>1436</v>
      </c>
      <c r="AD67" t="s">
        <v>1437</v>
      </c>
      <c r="AE67" t="s">
        <v>1438</v>
      </c>
      <c r="AF67" t="s">
        <v>74</v>
      </c>
      <c r="AG67">
        <v>70</v>
      </c>
      <c r="AH67">
        <v>2</v>
      </c>
      <c r="AI67">
        <v>2</v>
      </c>
      <c r="AJ67">
        <v>8</v>
      </c>
      <c r="AK67">
        <v>43</v>
      </c>
      <c r="AL67" t="s">
        <v>1101</v>
      </c>
      <c r="AM67" t="s">
        <v>1102</v>
      </c>
      <c r="AN67" t="s">
        <v>1103</v>
      </c>
      <c r="AO67" t="s">
        <v>74</v>
      </c>
      <c r="AP67" t="s">
        <v>1417</v>
      </c>
      <c r="AQ67" t="s">
        <v>74</v>
      </c>
      <c r="AR67" t="s">
        <v>1418</v>
      </c>
      <c r="AS67" t="s">
        <v>1419</v>
      </c>
      <c r="AT67" t="s">
        <v>535</v>
      </c>
      <c r="AU67">
        <v>2021</v>
      </c>
      <c r="AV67">
        <v>13</v>
      </c>
      <c r="AW67">
        <v>16</v>
      </c>
      <c r="AX67" t="s">
        <v>74</v>
      </c>
      <c r="AY67" t="s">
        <v>74</v>
      </c>
      <c r="AZ67" t="s">
        <v>74</v>
      </c>
      <c r="BA67" t="s">
        <v>74</v>
      </c>
      <c r="BB67" t="s">
        <v>74</v>
      </c>
      <c r="BC67" t="s">
        <v>74</v>
      </c>
      <c r="BD67">
        <v>3085</v>
      </c>
      <c r="BE67" t="s">
        <v>1439</v>
      </c>
      <c r="BF67" t="str">
        <f>HYPERLINK("http://dx.doi.org/10.3390/rs13163085","http://dx.doi.org/10.3390/rs13163085")</f>
        <v>http://dx.doi.org/10.3390/rs13163085</v>
      </c>
      <c r="BG67" t="s">
        <v>74</v>
      </c>
      <c r="BH67" t="s">
        <v>74</v>
      </c>
      <c r="BI67">
        <v>16</v>
      </c>
      <c r="BJ67" t="s">
        <v>1421</v>
      </c>
      <c r="BK67" t="s">
        <v>128</v>
      </c>
      <c r="BL67" t="s">
        <v>1422</v>
      </c>
      <c r="BM67" t="s">
        <v>1440</v>
      </c>
      <c r="BN67" t="s">
        <v>74</v>
      </c>
      <c r="BO67" t="s">
        <v>638</v>
      </c>
      <c r="BP67" t="s">
        <v>74</v>
      </c>
      <c r="BQ67" t="s">
        <v>74</v>
      </c>
      <c r="BR67" t="s">
        <v>102</v>
      </c>
      <c r="BS67" t="s">
        <v>1441</v>
      </c>
      <c r="BT67" t="str">
        <f>HYPERLINK("https%3A%2F%2Fwww.webofscience.com%2Fwos%2Fwoscc%2Ffull-record%2FWOS:000690056700001","View Full Record in Web of Science")</f>
        <v>View Full Record in Web of Science</v>
      </c>
    </row>
    <row r="68" spans="1:72" x14ac:dyDescent="0.15">
      <c r="A68" t="s">
        <v>72</v>
      </c>
      <c r="B68" t="s">
        <v>1442</v>
      </c>
      <c r="C68" t="s">
        <v>74</v>
      </c>
      <c r="D68" t="s">
        <v>74</v>
      </c>
      <c r="E68" t="s">
        <v>74</v>
      </c>
      <c r="F68" t="s">
        <v>1443</v>
      </c>
      <c r="G68" t="s">
        <v>74</v>
      </c>
      <c r="H68" t="s">
        <v>74</v>
      </c>
      <c r="I68" t="s">
        <v>1444</v>
      </c>
      <c r="J68" t="s">
        <v>1445</v>
      </c>
      <c r="K68" t="s">
        <v>74</v>
      </c>
      <c r="L68" t="s">
        <v>74</v>
      </c>
      <c r="M68" t="s">
        <v>78</v>
      </c>
      <c r="N68" t="s">
        <v>79</v>
      </c>
      <c r="O68" t="s">
        <v>74</v>
      </c>
      <c r="P68" t="s">
        <v>74</v>
      </c>
      <c r="Q68" t="s">
        <v>74</v>
      </c>
      <c r="R68" t="s">
        <v>74</v>
      </c>
      <c r="S68" t="s">
        <v>74</v>
      </c>
      <c r="T68" t="s">
        <v>1446</v>
      </c>
      <c r="U68" t="s">
        <v>1447</v>
      </c>
      <c r="V68" t="s">
        <v>1448</v>
      </c>
      <c r="W68" t="s">
        <v>1449</v>
      </c>
      <c r="X68" t="s">
        <v>1450</v>
      </c>
      <c r="Y68" t="s">
        <v>1451</v>
      </c>
      <c r="Z68" t="s">
        <v>1452</v>
      </c>
      <c r="AA68" t="s">
        <v>1453</v>
      </c>
      <c r="AB68" t="s">
        <v>1454</v>
      </c>
      <c r="AC68" t="s">
        <v>1455</v>
      </c>
      <c r="AD68" t="s">
        <v>1456</v>
      </c>
      <c r="AE68" t="s">
        <v>1457</v>
      </c>
      <c r="AF68" t="s">
        <v>74</v>
      </c>
      <c r="AG68">
        <v>29</v>
      </c>
      <c r="AH68">
        <v>2</v>
      </c>
      <c r="AI68">
        <v>3</v>
      </c>
      <c r="AJ68">
        <v>0</v>
      </c>
      <c r="AK68">
        <v>11</v>
      </c>
      <c r="AL68" t="s">
        <v>197</v>
      </c>
      <c r="AM68" t="s">
        <v>198</v>
      </c>
      <c r="AN68" t="s">
        <v>199</v>
      </c>
      <c r="AO68" t="s">
        <v>1458</v>
      </c>
      <c r="AP68" t="s">
        <v>74</v>
      </c>
      <c r="AQ68" t="s">
        <v>74</v>
      </c>
      <c r="AR68" t="s">
        <v>1445</v>
      </c>
      <c r="AS68" t="s">
        <v>1459</v>
      </c>
      <c r="AT68" t="s">
        <v>535</v>
      </c>
      <c r="AU68">
        <v>2021</v>
      </c>
      <c r="AV68">
        <v>12</v>
      </c>
      <c r="AW68">
        <v>8</v>
      </c>
      <c r="AX68" t="s">
        <v>74</v>
      </c>
      <c r="AY68" t="s">
        <v>74</v>
      </c>
      <c r="AZ68" t="s">
        <v>74</v>
      </c>
      <c r="BA68" t="s">
        <v>74</v>
      </c>
      <c r="BB68" t="s">
        <v>74</v>
      </c>
      <c r="BC68" t="s">
        <v>74</v>
      </c>
      <c r="BD68" t="s">
        <v>1460</v>
      </c>
      <c r="BE68" t="s">
        <v>1461</v>
      </c>
      <c r="BF68" t="str">
        <f>HYPERLINK("http://dx.doi.org/10.1002/ecs2.3698","http://dx.doi.org/10.1002/ecs2.3698")</f>
        <v>http://dx.doi.org/10.1002/ecs2.3698</v>
      </c>
      <c r="BG68" t="s">
        <v>74</v>
      </c>
      <c r="BH68" t="s">
        <v>74</v>
      </c>
      <c r="BI68">
        <v>7</v>
      </c>
      <c r="BJ68" t="s">
        <v>1462</v>
      </c>
      <c r="BK68" t="s">
        <v>128</v>
      </c>
      <c r="BL68" t="s">
        <v>263</v>
      </c>
      <c r="BM68" t="s">
        <v>1463</v>
      </c>
      <c r="BN68" t="s">
        <v>74</v>
      </c>
      <c r="BO68" t="s">
        <v>638</v>
      </c>
      <c r="BP68" t="s">
        <v>74</v>
      </c>
      <c r="BQ68" t="s">
        <v>74</v>
      </c>
      <c r="BR68" t="s">
        <v>102</v>
      </c>
      <c r="BS68" t="s">
        <v>1464</v>
      </c>
      <c r="BT68" t="str">
        <f>HYPERLINK("https%3A%2F%2Fwww.webofscience.com%2Fwos%2Fwoscc%2Ffull-record%2FWOS:000689453800044","View Full Record in Web of Science")</f>
        <v>View Full Record in Web of Science</v>
      </c>
    </row>
    <row r="69" spans="1:72" x14ac:dyDescent="0.15">
      <c r="A69" t="s">
        <v>72</v>
      </c>
      <c r="B69" t="s">
        <v>1465</v>
      </c>
      <c r="C69" t="s">
        <v>74</v>
      </c>
      <c r="D69" t="s">
        <v>74</v>
      </c>
      <c r="E69" t="s">
        <v>74</v>
      </c>
      <c r="F69" t="s">
        <v>1466</v>
      </c>
      <c r="G69" t="s">
        <v>74</v>
      </c>
      <c r="H69" t="s">
        <v>74</v>
      </c>
      <c r="I69" t="s">
        <v>1467</v>
      </c>
      <c r="J69" t="s">
        <v>1088</v>
      </c>
      <c r="K69" t="s">
        <v>74</v>
      </c>
      <c r="L69" t="s">
        <v>74</v>
      </c>
      <c r="M69" t="s">
        <v>78</v>
      </c>
      <c r="N69" t="s">
        <v>700</v>
      </c>
      <c r="O69" t="s">
        <v>74</v>
      </c>
      <c r="P69" t="s">
        <v>74</v>
      </c>
      <c r="Q69" t="s">
        <v>74</v>
      </c>
      <c r="R69" t="s">
        <v>74</v>
      </c>
      <c r="S69" t="s">
        <v>74</v>
      </c>
      <c r="T69" t="s">
        <v>1468</v>
      </c>
      <c r="U69" t="s">
        <v>1469</v>
      </c>
      <c r="V69" t="s">
        <v>1470</v>
      </c>
      <c r="W69" t="s">
        <v>1471</v>
      </c>
      <c r="X69" t="s">
        <v>1472</v>
      </c>
      <c r="Y69" t="s">
        <v>1473</v>
      </c>
      <c r="Z69" t="s">
        <v>1474</v>
      </c>
      <c r="AA69" t="s">
        <v>1475</v>
      </c>
      <c r="AB69" t="s">
        <v>1476</v>
      </c>
      <c r="AC69" t="s">
        <v>1477</v>
      </c>
      <c r="AD69" t="s">
        <v>1478</v>
      </c>
      <c r="AE69" t="s">
        <v>1479</v>
      </c>
      <c r="AF69" t="s">
        <v>74</v>
      </c>
      <c r="AG69">
        <v>140</v>
      </c>
      <c r="AH69">
        <v>12</v>
      </c>
      <c r="AI69">
        <v>12</v>
      </c>
      <c r="AJ69">
        <v>5</v>
      </c>
      <c r="AK69">
        <v>23</v>
      </c>
      <c r="AL69" t="s">
        <v>1101</v>
      </c>
      <c r="AM69" t="s">
        <v>1102</v>
      </c>
      <c r="AN69" t="s">
        <v>1103</v>
      </c>
      <c r="AO69" t="s">
        <v>74</v>
      </c>
      <c r="AP69" t="s">
        <v>1104</v>
      </c>
      <c r="AQ69" t="s">
        <v>74</v>
      </c>
      <c r="AR69" t="s">
        <v>1105</v>
      </c>
      <c r="AS69" t="s">
        <v>1106</v>
      </c>
      <c r="AT69" t="s">
        <v>535</v>
      </c>
      <c r="AU69">
        <v>2021</v>
      </c>
      <c r="AV69">
        <v>19</v>
      </c>
      <c r="AW69">
        <v>8</v>
      </c>
      <c r="AX69" t="s">
        <v>74</v>
      </c>
      <c r="AY69" t="s">
        <v>74</v>
      </c>
      <c r="AZ69" t="s">
        <v>74</v>
      </c>
      <c r="BA69" t="s">
        <v>74</v>
      </c>
      <c r="BB69" t="s">
        <v>74</v>
      </c>
      <c r="BC69" t="s">
        <v>74</v>
      </c>
      <c r="BD69">
        <v>444</v>
      </c>
      <c r="BE69" t="s">
        <v>1480</v>
      </c>
      <c r="BF69" t="str">
        <f>HYPERLINK("http://dx.doi.org/10.3390/md19080444","http://dx.doi.org/10.3390/md19080444")</f>
        <v>http://dx.doi.org/10.3390/md19080444</v>
      </c>
      <c r="BG69" t="s">
        <v>74</v>
      </c>
      <c r="BH69" t="s">
        <v>74</v>
      </c>
      <c r="BI69">
        <v>19</v>
      </c>
      <c r="BJ69" t="s">
        <v>1108</v>
      </c>
      <c r="BK69" t="s">
        <v>128</v>
      </c>
      <c r="BL69" t="s">
        <v>1109</v>
      </c>
      <c r="BM69" t="s">
        <v>1481</v>
      </c>
      <c r="BN69">
        <v>34436283</v>
      </c>
      <c r="BO69" t="s">
        <v>311</v>
      </c>
      <c r="BP69" t="s">
        <v>74</v>
      </c>
      <c r="BQ69" t="s">
        <v>74</v>
      </c>
      <c r="BR69" t="s">
        <v>102</v>
      </c>
      <c r="BS69" t="s">
        <v>1482</v>
      </c>
      <c r="BT69" t="str">
        <f>HYPERLINK("https%3A%2F%2Fwww.webofscience.com%2Fwos%2Fwoscc%2Ffull-record%2FWOS:000690564000001","View Full Record in Web of Science")</f>
        <v>View Full Record in Web of Science</v>
      </c>
    </row>
    <row r="70" spans="1:72" x14ac:dyDescent="0.15">
      <c r="A70" t="s">
        <v>72</v>
      </c>
      <c r="B70" t="s">
        <v>1483</v>
      </c>
      <c r="C70" t="s">
        <v>74</v>
      </c>
      <c r="D70" t="s">
        <v>74</v>
      </c>
      <c r="E70" t="s">
        <v>74</v>
      </c>
      <c r="F70" t="s">
        <v>1484</v>
      </c>
      <c r="G70" t="s">
        <v>74</v>
      </c>
      <c r="H70" t="s">
        <v>74</v>
      </c>
      <c r="I70" t="s">
        <v>1485</v>
      </c>
      <c r="J70" t="s">
        <v>1486</v>
      </c>
      <c r="K70" t="s">
        <v>74</v>
      </c>
      <c r="L70" t="s">
        <v>74</v>
      </c>
      <c r="M70" t="s">
        <v>78</v>
      </c>
      <c r="N70" t="s">
        <v>79</v>
      </c>
      <c r="O70" t="s">
        <v>74</v>
      </c>
      <c r="P70" t="s">
        <v>74</v>
      </c>
      <c r="Q70" t="s">
        <v>74</v>
      </c>
      <c r="R70" t="s">
        <v>74</v>
      </c>
      <c r="S70" t="s">
        <v>74</v>
      </c>
      <c r="T70" t="s">
        <v>1487</v>
      </c>
      <c r="U70" t="s">
        <v>1488</v>
      </c>
      <c r="V70" t="s">
        <v>1489</v>
      </c>
      <c r="W70" t="s">
        <v>1490</v>
      </c>
      <c r="X70" t="s">
        <v>1491</v>
      </c>
      <c r="Y70" t="s">
        <v>1492</v>
      </c>
      <c r="Z70" t="s">
        <v>1493</v>
      </c>
      <c r="AA70" t="s">
        <v>1494</v>
      </c>
      <c r="AB70" t="s">
        <v>1495</v>
      </c>
      <c r="AC70" t="s">
        <v>74</v>
      </c>
      <c r="AD70" t="s">
        <v>74</v>
      </c>
      <c r="AE70" t="s">
        <v>74</v>
      </c>
      <c r="AF70" t="s">
        <v>74</v>
      </c>
      <c r="AG70">
        <v>52</v>
      </c>
      <c r="AH70">
        <v>3</v>
      </c>
      <c r="AI70">
        <v>3</v>
      </c>
      <c r="AJ70">
        <v>0</v>
      </c>
      <c r="AK70">
        <v>7</v>
      </c>
      <c r="AL70" t="s">
        <v>1101</v>
      </c>
      <c r="AM70" t="s">
        <v>1102</v>
      </c>
      <c r="AN70" t="s">
        <v>1103</v>
      </c>
      <c r="AO70" t="s">
        <v>74</v>
      </c>
      <c r="AP70" t="s">
        <v>1496</v>
      </c>
      <c r="AQ70" t="s">
        <v>74</v>
      </c>
      <c r="AR70" t="s">
        <v>1486</v>
      </c>
      <c r="AS70" t="s">
        <v>1497</v>
      </c>
      <c r="AT70" t="s">
        <v>535</v>
      </c>
      <c r="AU70">
        <v>2021</v>
      </c>
      <c r="AV70">
        <v>9</v>
      </c>
      <c r="AW70">
        <v>8</v>
      </c>
      <c r="AX70" t="s">
        <v>74</v>
      </c>
      <c r="AY70" t="s">
        <v>74</v>
      </c>
      <c r="AZ70" t="s">
        <v>74</v>
      </c>
      <c r="BA70" t="s">
        <v>74</v>
      </c>
      <c r="BB70" t="s">
        <v>74</v>
      </c>
      <c r="BC70" t="s">
        <v>74</v>
      </c>
      <c r="BD70">
        <v>1631</v>
      </c>
      <c r="BE70" t="s">
        <v>1498</v>
      </c>
      <c r="BF70" t="str">
        <f>HYPERLINK("http://dx.doi.org/10.3390/microorganisms9081631","http://dx.doi.org/10.3390/microorganisms9081631")</f>
        <v>http://dx.doi.org/10.3390/microorganisms9081631</v>
      </c>
      <c r="BG70" t="s">
        <v>74</v>
      </c>
      <c r="BH70" t="s">
        <v>74</v>
      </c>
      <c r="BI70">
        <v>14</v>
      </c>
      <c r="BJ70" t="s">
        <v>1499</v>
      </c>
      <c r="BK70" t="s">
        <v>128</v>
      </c>
      <c r="BL70" t="s">
        <v>1499</v>
      </c>
      <c r="BM70" t="s">
        <v>1500</v>
      </c>
      <c r="BN70">
        <v>34442712</v>
      </c>
      <c r="BO70" t="s">
        <v>486</v>
      </c>
      <c r="BP70" t="s">
        <v>74</v>
      </c>
      <c r="BQ70" t="s">
        <v>74</v>
      </c>
      <c r="BR70" t="s">
        <v>102</v>
      </c>
      <c r="BS70" t="s">
        <v>1501</v>
      </c>
      <c r="BT70" t="str">
        <f>HYPERLINK("https%3A%2F%2Fwww.webofscience.com%2Fwos%2Fwoscc%2Ffull-record%2FWOS:000690538500001","View Full Record in Web of Science")</f>
        <v>View Full Record in Web of Science</v>
      </c>
    </row>
    <row r="71" spans="1:72" x14ac:dyDescent="0.15">
      <c r="A71" t="s">
        <v>72</v>
      </c>
      <c r="B71" t="s">
        <v>1502</v>
      </c>
      <c r="C71" t="s">
        <v>74</v>
      </c>
      <c r="D71" t="s">
        <v>74</v>
      </c>
      <c r="E71" t="s">
        <v>74</v>
      </c>
      <c r="F71" t="s">
        <v>1503</v>
      </c>
      <c r="G71" t="s">
        <v>74</v>
      </c>
      <c r="H71" t="s">
        <v>74</v>
      </c>
      <c r="I71" t="s">
        <v>1504</v>
      </c>
      <c r="J71" t="s">
        <v>1505</v>
      </c>
      <c r="K71" t="s">
        <v>74</v>
      </c>
      <c r="L71" t="s">
        <v>74</v>
      </c>
      <c r="M71" t="s">
        <v>78</v>
      </c>
      <c r="N71" t="s">
        <v>700</v>
      </c>
      <c r="O71" t="s">
        <v>74</v>
      </c>
      <c r="P71" t="s">
        <v>74</v>
      </c>
      <c r="Q71" t="s">
        <v>74</v>
      </c>
      <c r="R71" t="s">
        <v>74</v>
      </c>
      <c r="S71" t="s">
        <v>74</v>
      </c>
      <c r="T71" t="s">
        <v>1506</v>
      </c>
      <c r="U71" t="s">
        <v>1507</v>
      </c>
      <c r="V71" t="s">
        <v>1508</v>
      </c>
      <c r="W71" t="s">
        <v>1509</v>
      </c>
      <c r="X71" t="s">
        <v>1510</v>
      </c>
      <c r="Y71" t="s">
        <v>1511</v>
      </c>
      <c r="Z71" t="s">
        <v>1512</v>
      </c>
      <c r="AA71" t="s">
        <v>1513</v>
      </c>
      <c r="AB71" t="s">
        <v>1514</v>
      </c>
      <c r="AC71" t="s">
        <v>1515</v>
      </c>
      <c r="AD71" t="s">
        <v>1516</v>
      </c>
      <c r="AE71" t="s">
        <v>1517</v>
      </c>
      <c r="AF71" t="s">
        <v>74</v>
      </c>
      <c r="AG71">
        <v>238</v>
      </c>
      <c r="AH71">
        <v>31</v>
      </c>
      <c r="AI71">
        <v>31</v>
      </c>
      <c r="AJ71">
        <v>3</v>
      </c>
      <c r="AK71">
        <v>56</v>
      </c>
      <c r="AL71" t="s">
        <v>1101</v>
      </c>
      <c r="AM71" t="s">
        <v>1102</v>
      </c>
      <c r="AN71" t="s">
        <v>1103</v>
      </c>
      <c r="AO71" t="s">
        <v>74</v>
      </c>
      <c r="AP71" t="s">
        <v>1518</v>
      </c>
      <c r="AQ71" t="s">
        <v>74</v>
      </c>
      <c r="AR71" t="s">
        <v>1519</v>
      </c>
      <c r="AS71" t="s">
        <v>1520</v>
      </c>
      <c r="AT71" t="s">
        <v>535</v>
      </c>
      <c r="AU71">
        <v>2021</v>
      </c>
      <c r="AV71">
        <v>11</v>
      </c>
      <c r="AW71">
        <v>8</v>
      </c>
      <c r="AX71" t="s">
        <v>74</v>
      </c>
      <c r="AY71" t="s">
        <v>74</v>
      </c>
      <c r="AZ71" t="s">
        <v>74</v>
      </c>
      <c r="BA71" t="s">
        <v>74</v>
      </c>
      <c r="BB71" t="s">
        <v>74</v>
      </c>
      <c r="BC71" t="s">
        <v>74</v>
      </c>
      <c r="BD71">
        <v>1903</v>
      </c>
      <c r="BE71" t="s">
        <v>1521</v>
      </c>
      <c r="BF71" t="str">
        <f>HYPERLINK("http://dx.doi.org/10.3390/nano11081903","http://dx.doi.org/10.3390/nano11081903")</f>
        <v>http://dx.doi.org/10.3390/nano11081903</v>
      </c>
      <c r="BG71" t="s">
        <v>74</v>
      </c>
      <c r="BH71" t="s">
        <v>74</v>
      </c>
      <c r="BI71">
        <v>31</v>
      </c>
      <c r="BJ71" t="s">
        <v>1522</v>
      </c>
      <c r="BK71" t="s">
        <v>128</v>
      </c>
      <c r="BL71" t="s">
        <v>1523</v>
      </c>
      <c r="BM71" t="s">
        <v>1524</v>
      </c>
      <c r="BN71">
        <v>34443734</v>
      </c>
      <c r="BO71" t="s">
        <v>569</v>
      </c>
      <c r="BP71" t="s">
        <v>74</v>
      </c>
      <c r="BQ71" t="s">
        <v>74</v>
      </c>
      <c r="BR71" t="s">
        <v>102</v>
      </c>
      <c r="BS71" t="s">
        <v>1525</v>
      </c>
      <c r="BT71" t="str">
        <f>HYPERLINK("https%3A%2F%2Fwww.webofscience.com%2Fwos%2Fwoscc%2Ffull-record%2FWOS:000690088300001","View Full Record in Web of Science")</f>
        <v>View Full Record in Web of Science</v>
      </c>
    </row>
    <row r="72" spans="1:72" x14ac:dyDescent="0.15">
      <c r="A72" t="s">
        <v>72</v>
      </c>
      <c r="B72" t="s">
        <v>1526</v>
      </c>
      <c r="C72" t="s">
        <v>74</v>
      </c>
      <c r="D72" t="s">
        <v>74</v>
      </c>
      <c r="E72" t="s">
        <v>74</v>
      </c>
      <c r="F72" t="s">
        <v>1527</v>
      </c>
      <c r="G72" t="s">
        <v>74</v>
      </c>
      <c r="H72" t="s">
        <v>74</v>
      </c>
      <c r="I72" t="s">
        <v>1528</v>
      </c>
      <c r="J72" t="s">
        <v>1404</v>
      </c>
      <c r="K72" t="s">
        <v>74</v>
      </c>
      <c r="L72" t="s">
        <v>74</v>
      </c>
      <c r="M72" t="s">
        <v>78</v>
      </c>
      <c r="N72" t="s">
        <v>79</v>
      </c>
      <c r="O72" t="s">
        <v>74</v>
      </c>
      <c r="P72" t="s">
        <v>74</v>
      </c>
      <c r="Q72" t="s">
        <v>74</v>
      </c>
      <c r="R72" t="s">
        <v>74</v>
      </c>
      <c r="S72" t="s">
        <v>74</v>
      </c>
      <c r="T72" t="s">
        <v>1529</v>
      </c>
      <c r="U72" t="s">
        <v>1530</v>
      </c>
      <c r="V72" t="s">
        <v>1531</v>
      </c>
      <c r="W72" t="s">
        <v>1532</v>
      </c>
      <c r="X72" t="s">
        <v>1533</v>
      </c>
      <c r="Y72" t="s">
        <v>1534</v>
      </c>
      <c r="Z72" t="s">
        <v>1535</v>
      </c>
      <c r="AA72" t="s">
        <v>74</v>
      </c>
      <c r="AB72" t="s">
        <v>1536</v>
      </c>
      <c r="AC72" t="s">
        <v>1537</v>
      </c>
      <c r="AD72" t="s">
        <v>1538</v>
      </c>
      <c r="AE72" t="s">
        <v>1539</v>
      </c>
      <c r="AF72" t="s">
        <v>74</v>
      </c>
      <c r="AG72">
        <v>30</v>
      </c>
      <c r="AH72">
        <v>10</v>
      </c>
      <c r="AI72">
        <v>11</v>
      </c>
      <c r="AJ72">
        <v>10</v>
      </c>
      <c r="AK72">
        <v>36</v>
      </c>
      <c r="AL72" t="s">
        <v>1101</v>
      </c>
      <c r="AM72" t="s">
        <v>1102</v>
      </c>
      <c r="AN72" t="s">
        <v>1103</v>
      </c>
      <c r="AO72" t="s">
        <v>74</v>
      </c>
      <c r="AP72" t="s">
        <v>1417</v>
      </c>
      <c r="AQ72" t="s">
        <v>74</v>
      </c>
      <c r="AR72" t="s">
        <v>1418</v>
      </c>
      <c r="AS72" t="s">
        <v>1419</v>
      </c>
      <c r="AT72" t="s">
        <v>535</v>
      </c>
      <c r="AU72">
        <v>2021</v>
      </c>
      <c r="AV72">
        <v>13</v>
      </c>
      <c r="AW72">
        <v>16</v>
      </c>
      <c r="AX72" t="s">
        <v>74</v>
      </c>
      <c r="AY72" t="s">
        <v>74</v>
      </c>
      <c r="AZ72" t="s">
        <v>74</v>
      </c>
      <c r="BA72" t="s">
        <v>74</v>
      </c>
      <c r="BB72" t="s">
        <v>74</v>
      </c>
      <c r="BC72" t="s">
        <v>74</v>
      </c>
      <c r="BD72">
        <v>3114</v>
      </c>
      <c r="BE72" t="s">
        <v>1540</v>
      </c>
      <c r="BF72" t="str">
        <f>HYPERLINK("http://dx.doi.org/10.3390/rs13163114","http://dx.doi.org/10.3390/rs13163114")</f>
        <v>http://dx.doi.org/10.3390/rs13163114</v>
      </c>
      <c r="BG72" t="s">
        <v>74</v>
      </c>
      <c r="BH72" t="s">
        <v>74</v>
      </c>
      <c r="BI72">
        <v>11</v>
      </c>
      <c r="BJ72" t="s">
        <v>1421</v>
      </c>
      <c r="BK72" t="s">
        <v>128</v>
      </c>
      <c r="BL72" t="s">
        <v>1422</v>
      </c>
      <c r="BM72" t="s">
        <v>1541</v>
      </c>
      <c r="BN72" t="s">
        <v>74</v>
      </c>
      <c r="BO72" t="s">
        <v>638</v>
      </c>
      <c r="BP72" t="s">
        <v>74</v>
      </c>
      <c r="BQ72" t="s">
        <v>74</v>
      </c>
      <c r="BR72" t="s">
        <v>102</v>
      </c>
      <c r="BS72" t="s">
        <v>1542</v>
      </c>
      <c r="BT72" t="str">
        <f>HYPERLINK("https%3A%2F%2Fwww.webofscience.com%2Fwos%2Fwoscc%2Ffull-record%2FWOS:000689900800001","View Full Record in Web of Science")</f>
        <v>View Full Record in Web of Science</v>
      </c>
    </row>
    <row r="73" spans="1:72" x14ac:dyDescent="0.15">
      <c r="A73" t="s">
        <v>72</v>
      </c>
      <c r="B73" t="s">
        <v>1543</v>
      </c>
      <c r="C73" t="s">
        <v>74</v>
      </c>
      <c r="D73" t="s">
        <v>74</v>
      </c>
      <c r="E73" t="s">
        <v>74</v>
      </c>
      <c r="F73" t="s">
        <v>1544</v>
      </c>
      <c r="G73" t="s">
        <v>74</v>
      </c>
      <c r="H73" t="s">
        <v>74</v>
      </c>
      <c r="I73" t="s">
        <v>1545</v>
      </c>
      <c r="J73" t="s">
        <v>1335</v>
      </c>
      <c r="K73" t="s">
        <v>74</v>
      </c>
      <c r="L73" t="s">
        <v>74</v>
      </c>
      <c r="M73" t="s">
        <v>78</v>
      </c>
      <c r="N73" t="s">
        <v>79</v>
      </c>
      <c r="O73" t="s">
        <v>74</v>
      </c>
      <c r="P73" t="s">
        <v>74</v>
      </c>
      <c r="Q73" t="s">
        <v>74</v>
      </c>
      <c r="R73" t="s">
        <v>74</v>
      </c>
      <c r="S73" t="s">
        <v>74</v>
      </c>
      <c r="T73" t="s">
        <v>1546</v>
      </c>
      <c r="U73" t="s">
        <v>1547</v>
      </c>
      <c r="V73" t="s">
        <v>1548</v>
      </c>
      <c r="W73" t="s">
        <v>1549</v>
      </c>
      <c r="X73" t="s">
        <v>1550</v>
      </c>
      <c r="Y73" t="s">
        <v>1551</v>
      </c>
      <c r="Z73" t="s">
        <v>1552</v>
      </c>
      <c r="AA73" t="s">
        <v>1553</v>
      </c>
      <c r="AB73" t="s">
        <v>1554</v>
      </c>
      <c r="AC73" t="s">
        <v>1555</v>
      </c>
      <c r="AD73" t="s">
        <v>1556</v>
      </c>
      <c r="AE73" t="s">
        <v>1557</v>
      </c>
      <c r="AF73" t="s">
        <v>74</v>
      </c>
      <c r="AG73">
        <v>85</v>
      </c>
      <c r="AH73">
        <v>4</v>
      </c>
      <c r="AI73">
        <v>4</v>
      </c>
      <c r="AJ73">
        <v>7</v>
      </c>
      <c r="AK73">
        <v>21</v>
      </c>
      <c r="AL73" t="s">
        <v>1101</v>
      </c>
      <c r="AM73" t="s">
        <v>1102</v>
      </c>
      <c r="AN73" t="s">
        <v>1103</v>
      </c>
      <c r="AO73" t="s">
        <v>74</v>
      </c>
      <c r="AP73" t="s">
        <v>1348</v>
      </c>
      <c r="AQ73" t="s">
        <v>74</v>
      </c>
      <c r="AR73" t="s">
        <v>1349</v>
      </c>
      <c r="AS73" t="s">
        <v>1350</v>
      </c>
      <c r="AT73" t="s">
        <v>535</v>
      </c>
      <c r="AU73">
        <v>2021</v>
      </c>
      <c r="AV73">
        <v>12</v>
      </c>
      <c r="AW73">
        <v>8</v>
      </c>
      <c r="AX73" t="s">
        <v>74</v>
      </c>
      <c r="AY73" t="s">
        <v>74</v>
      </c>
      <c r="AZ73" t="s">
        <v>74</v>
      </c>
      <c r="BA73" t="s">
        <v>74</v>
      </c>
      <c r="BB73" t="s">
        <v>74</v>
      </c>
      <c r="BC73" t="s">
        <v>74</v>
      </c>
      <c r="BD73">
        <v>1030</v>
      </c>
      <c r="BE73" t="s">
        <v>1558</v>
      </c>
      <c r="BF73" t="str">
        <f>HYPERLINK("http://dx.doi.org/10.3390/atmos12081030","http://dx.doi.org/10.3390/atmos12081030")</f>
        <v>http://dx.doi.org/10.3390/atmos12081030</v>
      </c>
      <c r="BG73" t="s">
        <v>74</v>
      </c>
      <c r="BH73" t="s">
        <v>74</v>
      </c>
      <c r="BI73">
        <v>19</v>
      </c>
      <c r="BJ73" t="s">
        <v>635</v>
      </c>
      <c r="BK73" t="s">
        <v>128</v>
      </c>
      <c r="BL73" t="s">
        <v>636</v>
      </c>
      <c r="BM73" t="s">
        <v>1559</v>
      </c>
      <c r="BN73" t="s">
        <v>74</v>
      </c>
      <c r="BO73" t="s">
        <v>311</v>
      </c>
      <c r="BP73" t="s">
        <v>74</v>
      </c>
      <c r="BQ73" t="s">
        <v>74</v>
      </c>
      <c r="BR73" t="s">
        <v>102</v>
      </c>
      <c r="BS73" t="s">
        <v>1560</v>
      </c>
      <c r="BT73" t="str">
        <f>HYPERLINK("https%3A%2F%2Fwww.webofscience.com%2Fwos%2Fwoscc%2Ffull-record%2FWOS:000688823300001","View Full Record in Web of Science")</f>
        <v>View Full Record in Web of Science</v>
      </c>
    </row>
    <row r="74" spans="1:72" x14ac:dyDescent="0.15">
      <c r="A74" t="s">
        <v>72</v>
      </c>
      <c r="B74" t="s">
        <v>1561</v>
      </c>
      <c r="C74" t="s">
        <v>74</v>
      </c>
      <c r="D74" t="s">
        <v>74</v>
      </c>
      <c r="E74" t="s">
        <v>74</v>
      </c>
      <c r="F74" t="s">
        <v>1562</v>
      </c>
      <c r="G74" t="s">
        <v>74</v>
      </c>
      <c r="H74" t="s">
        <v>74</v>
      </c>
      <c r="I74" t="s">
        <v>1563</v>
      </c>
      <c r="J74" t="s">
        <v>1564</v>
      </c>
      <c r="K74" t="s">
        <v>74</v>
      </c>
      <c r="L74" t="s">
        <v>74</v>
      </c>
      <c r="M74" t="s">
        <v>78</v>
      </c>
      <c r="N74" t="s">
        <v>79</v>
      </c>
      <c r="O74" t="s">
        <v>74</v>
      </c>
      <c r="P74" t="s">
        <v>74</v>
      </c>
      <c r="Q74" t="s">
        <v>74</v>
      </c>
      <c r="R74" t="s">
        <v>74</v>
      </c>
      <c r="S74" t="s">
        <v>74</v>
      </c>
      <c r="T74" t="s">
        <v>1565</v>
      </c>
      <c r="U74" t="s">
        <v>1566</v>
      </c>
      <c r="V74" t="s">
        <v>1567</v>
      </c>
      <c r="W74" t="s">
        <v>1568</v>
      </c>
      <c r="X74" t="s">
        <v>1569</v>
      </c>
      <c r="Y74" t="s">
        <v>1570</v>
      </c>
      <c r="Z74" t="s">
        <v>1571</v>
      </c>
      <c r="AA74" t="s">
        <v>1572</v>
      </c>
      <c r="AB74" t="s">
        <v>1573</v>
      </c>
      <c r="AC74" t="s">
        <v>1574</v>
      </c>
      <c r="AD74" t="s">
        <v>1575</v>
      </c>
      <c r="AE74" t="s">
        <v>1576</v>
      </c>
      <c r="AF74" t="s">
        <v>74</v>
      </c>
      <c r="AG74">
        <v>50</v>
      </c>
      <c r="AH74">
        <v>16</v>
      </c>
      <c r="AI74">
        <v>17</v>
      </c>
      <c r="AJ74">
        <v>3</v>
      </c>
      <c r="AK74">
        <v>36</v>
      </c>
      <c r="AL74" t="s">
        <v>864</v>
      </c>
      <c r="AM74" t="s">
        <v>865</v>
      </c>
      <c r="AN74" t="s">
        <v>866</v>
      </c>
      <c r="AO74" t="s">
        <v>74</v>
      </c>
      <c r="AP74" t="s">
        <v>1577</v>
      </c>
      <c r="AQ74" t="s">
        <v>74</v>
      </c>
      <c r="AR74" t="s">
        <v>1564</v>
      </c>
      <c r="AS74" t="s">
        <v>1578</v>
      </c>
      <c r="AT74" t="s">
        <v>535</v>
      </c>
      <c r="AU74">
        <v>2021</v>
      </c>
      <c r="AV74">
        <v>9</v>
      </c>
      <c r="AW74">
        <v>8</v>
      </c>
      <c r="AX74" t="s">
        <v>74</v>
      </c>
      <c r="AY74" t="s">
        <v>74</v>
      </c>
      <c r="AZ74" t="s">
        <v>74</v>
      </c>
      <c r="BA74" t="s">
        <v>74</v>
      </c>
      <c r="BB74" t="s">
        <v>74</v>
      </c>
      <c r="BC74" t="s">
        <v>74</v>
      </c>
      <c r="BD74" t="s">
        <v>1579</v>
      </c>
      <c r="BE74" t="s">
        <v>1580</v>
      </c>
      <c r="BF74" t="str">
        <f>HYPERLINK("http://dx.doi.org/10.1029/2020EF001969","http://dx.doi.org/10.1029/2020EF001969")</f>
        <v>http://dx.doi.org/10.1029/2020EF001969</v>
      </c>
      <c r="BG74" t="s">
        <v>74</v>
      </c>
      <c r="BH74" t="s">
        <v>74</v>
      </c>
      <c r="BI74">
        <v>18</v>
      </c>
      <c r="BJ74" t="s">
        <v>1044</v>
      </c>
      <c r="BK74" t="s">
        <v>128</v>
      </c>
      <c r="BL74" t="s">
        <v>1045</v>
      </c>
      <c r="BM74" t="s">
        <v>1581</v>
      </c>
      <c r="BN74" t="s">
        <v>74</v>
      </c>
      <c r="BO74" t="s">
        <v>638</v>
      </c>
      <c r="BP74" t="s">
        <v>74</v>
      </c>
      <c r="BQ74" t="s">
        <v>74</v>
      </c>
      <c r="BR74" t="s">
        <v>102</v>
      </c>
      <c r="BS74" t="s">
        <v>1582</v>
      </c>
      <c r="BT74" t="str">
        <f>HYPERLINK("https%3A%2F%2Fwww.webofscience.com%2Fwos%2Fwoscc%2Ffull-record%2FWOS:000688531200011","View Full Record in Web of Science")</f>
        <v>View Full Record in Web of Science</v>
      </c>
    </row>
    <row r="75" spans="1:72" x14ac:dyDescent="0.15">
      <c r="A75" t="s">
        <v>72</v>
      </c>
      <c r="B75" t="s">
        <v>1583</v>
      </c>
      <c r="C75" t="s">
        <v>74</v>
      </c>
      <c r="D75" t="s">
        <v>74</v>
      </c>
      <c r="E75" t="s">
        <v>74</v>
      </c>
      <c r="F75" t="s">
        <v>1584</v>
      </c>
      <c r="G75" t="s">
        <v>74</v>
      </c>
      <c r="H75" t="s">
        <v>74</v>
      </c>
      <c r="I75" t="s">
        <v>1585</v>
      </c>
      <c r="J75" t="s">
        <v>1586</v>
      </c>
      <c r="K75" t="s">
        <v>74</v>
      </c>
      <c r="L75" t="s">
        <v>74</v>
      </c>
      <c r="M75" t="s">
        <v>78</v>
      </c>
      <c r="N75" t="s">
        <v>79</v>
      </c>
      <c r="O75" t="s">
        <v>74</v>
      </c>
      <c r="P75" t="s">
        <v>74</v>
      </c>
      <c r="Q75" t="s">
        <v>74</v>
      </c>
      <c r="R75" t="s">
        <v>74</v>
      </c>
      <c r="S75" t="s">
        <v>74</v>
      </c>
      <c r="T75" t="s">
        <v>1587</v>
      </c>
      <c r="U75" t="s">
        <v>1588</v>
      </c>
      <c r="V75" t="s">
        <v>1589</v>
      </c>
      <c r="W75" t="s">
        <v>1590</v>
      </c>
      <c r="X75" t="s">
        <v>1591</v>
      </c>
      <c r="Y75" t="s">
        <v>1592</v>
      </c>
      <c r="Z75" t="s">
        <v>1593</v>
      </c>
      <c r="AA75" t="s">
        <v>1594</v>
      </c>
      <c r="AB75" t="s">
        <v>1595</v>
      </c>
      <c r="AC75" t="s">
        <v>1596</v>
      </c>
      <c r="AD75" t="s">
        <v>1597</v>
      </c>
      <c r="AE75" t="s">
        <v>1598</v>
      </c>
      <c r="AF75" t="s">
        <v>74</v>
      </c>
      <c r="AG75">
        <v>96</v>
      </c>
      <c r="AH75">
        <v>6</v>
      </c>
      <c r="AI75">
        <v>7</v>
      </c>
      <c r="AJ75">
        <v>3</v>
      </c>
      <c r="AK75">
        <v>17</v>
      </c>
      <c r="AL75" t="s">
        <v>864</v>
      </c>
      <c r="AM75" t="s">
        <v>865</v>
      </c>
      <c r="AN75" t="s">
        <v>866</v>
      </c>
      <c r="AO75" t="s">
        <v>74</v>
      </c>
      <c r="AP75" t="s">
        <v>1599</v>
      </c>
      <c r="AQ75" t="s">
        <v>74</v>
      </c>
      <c r="AR75" t="s">
        <v>1600</v>
      </c>
      <c r="AS75" t="s">
        <v>1601</v>
      </c>
      <c r="AT75" t="s">
        <v>535</v>
      </c>
      <c r="AU75">
        <v>2021</v>
      </c>
      <c r="AV75">
        <v>13</v>
      </c>
      <c r="AW75">
        <v>8</v>
      </c>
      <c r="AX75" t="s">
        <v>74</v>
      </c>
      <c r="AY75" t="s">
        <v>74</v>
      </c>
      <c r="AZ75" t="s">
        <v>74</v>
      </c>
      <c r="BA75" t="s">
        <v>74</v>
      </c>
      <c r="BB75" t="s">
        <v>74</v>
      </c>
      <c r="BC75" t="s">
        <v>74</v>
      </c>
      <c r="BD75" t="s">
        <v>1602</v>
      </c>
      <c r="BE75" t="s">
        <v>1603</v>
      </c>
      <c r="BF75" t="str">
        <f>HYPERLINK("http://dx.doi.org/10.1029/2020MS002292","http://dx.doi.org/10.1029/2020MS002292")</f>
        <v>http://dx.doi.org/10.1029/2020MS002292</v>
      </c>
      <c r="BG75" t="s">
        <v>74</v>
      </c>
      <c r="BH75" t="s">
        <v>74</v>
      </c>
      <c r="BI75">
        <v>26</v>
      </c>
      <c r="BJ75" t="s">
        <v>567</v>
      </c>
      <c r="BK75" t="s">
        <v>128</v>
      </c>
      <c r="BL75" t="s">
        <v>567</v>
      </c>
      <c r="BM75" t="s">
        <v>1604</v>
      </c>
      <c r="BN75">
        <v>34594477</v>
      </c>
      <c r="BO75" t="s">
        <v>1605</v>
      </c>
      <c r="BP75" t="s">
        <v>74</v>
      </c>
      <c r="BQ75" t="s">
        <v>74</v>
      </c>
      <c r="BR75" t="s">
        <v>102</v>
      </c>
      <c r="BS75" t="s">
        <v>1606</v>
      </c>
      <c r="BT75" t="str">
        <f>HYPERLINK("https%3A%2F%2Fwww.webofscience.com%2Fwos%2Fwoscc%2Ffull-record%2FWOS:000688471600004","View Full Record in Web of Science")</f>
        <v>View Full Record in Web of Science</v>
      </c>
    </row>
    <row r="76" spans="1:72" x14ac:dyDescent="0.15">
      <c r="A76" t="s">
        <v>72</v>
      </c>
      <c r="B76" t="s">
        <v>1607</v>
      </c>
      <c r="C76" t="s">
        <v>74</v>
      </c>
      <c r="D76" t="s">
        <v>74</v>
      </c>
      <c r="E76" t="s">
        <v>74</v>
      </c>
      <c r="F76" t="s">
        <v>1608</v>
      </c>
      <c r="G76" t="s">
        <v>74</v>
      </c>
      <c r="H76" t="s">
        <v>74</v>
      </c>
      <c r="I76" t="s">
        <v>1609</v>
      </c>
      <c r="J76" t="s">
        <v>1610</v>
      </c>
      <c r="K76" t="s">
        <v>74</v>
      </c>
      <c r="L76" t="s">
        <v>74</v>
      </c>
      <c r="M76" t="s">
        <v>78</v>
      </c>
      <c r="N76" t="s">
        <v>79</v>
      </c>
      <c r="O76" t="s">
        <v>74</v>
      </c>
      <c r="P76" t="s">
        <v>74</v>
      </c>
      <c r="Q76" t="s">
        <v>74</v>
      </c>
      <c r="R76" t="s">
        <v>74</v>
      </c>
      <c r="S76" t="s">
        <v>74</v>
      </c>
      <c r="T76" t="s">
        <v>1611</v>
      </c>
      <c r="U76" t="s">
        <v>1612</v>
      </c>
      <c r="V76" t="s">
        <v>1613</v>
      </c>
      <c r="W76" t="s">
        <v>1614</v>
      </c>
      <c r="X76" t="s">
        <v>1615</v>
      </c>
      <c r="Y76" t="s">
        <v>1616</v>
      </c>
      <c r="Z76" t="s">
        <v>1617</v>
      </c>
      <c r="AA76" t="s">
        <v>1618</v>
      </c>
      <c r="AB76" t="s">
        <v>1619</v>
      </c>
      <c r="AC76" t="s">
        <v>74</v>
      </c>
      <c r="AD76" t="s">
        <v>74</v>
      </c>
      <c r="AE76" t="s">
        <v>74</v>
      </c>
      <c r="AF76" t="s">
        <v>74</v>
      </c>
      <c r="AG76">
        <v>77</v>
      </c>
      <c r="AH76">
        <v>3</v>
      </c>
      <c r="AI76">
        <v>3</v>
      </c>
      <c r="AJ76">
        <v>5</v>
      </c>
      <c r="AK76">
        <v>18</v>
      </c>
      <c r="AL76" t="s">
        <v>1101</v>
      </c>
      <c r="AM76" t="s">
        <v>1102</v>
      </c>
      <c r="AN76" t="s">
        <v>1103</v>
      </c>
      <c r="AO76" t="s">
        <v>74</v>
      </c>
      <c r="AP76" t="s">
        <v>1620</v>
      </c>
      <c r="AQ76" t="s">
        <v>74</v>
      </c>
      <c r="AR76" t="s">
        <v>1621</v>
      </c>
      <c r="AS76" t="s">
        <v>1622</v>
      </c>
      <c r="AT76" t="s">
        <v>535</v>
      </c>
      <c r="AU76">
        <v>2021</v>
      </c>
      <c r="AV76">
        <v>9</v>
      </c>
      <c r="AW76">
        <v>8</v>
      </c>
      <c r="AX76" t="s">
        <v>74</v>
      </c>
      <c r="AY76" t="s">
        <v>74</v>
      </c>
      <c r="AZ76" t="s">
        <v>74</v>
      </c>
      <c r="BA76" t="s">
        <v>74</v>
      </c>
      <c r="BB76" t="s">
        <v>74</v>
      </c>
      <c r="BC76" t="s">
        <v>74</v>
      </c>
      <c r="BD76">
        <v>867</v>
      </c>
      <c r="BE76" t="s">
        <v>1623</v>
      </c>
      <c r="BF76" t="str">
        <f>HYPERLINK("http://dx.doi.org/10.3390/jmse9080867","http://dx.doi.org/10.3390/jmse9080867")</f>
        <v>http://dx.doi.org/10.3390/jmse9080867</v>
      </c>
      <c r="BG76" t="s">
        <v>74</v>
      </c>
      <c r="BH76" t="s">
        <v>74</v>
      </c>
      <c r="BI76">
        <v>17</v>
      </c>
      <c r="BJ76" t="s">
        <v>1624</v>
      </c>
      <c r="BK76" t="s">
        <v>128</v>
      </c>
      <c r="BL76" t="s">
        <v>1625</v>
      </c>
      <c r="BM76" t="s">
        <v>1626</v>
      </c>
      <c r="BN76" t="s">
        <v>74</v>
      </c>
      <c r="BO76" t="s">
        <v>638</v>
      </c>
      <c r="BP76" t="s">
        <v>74</v>
      </c>
      <c r="BQ76" t="s">
        <v>74</v>
      </c>
      <c r="BR76" t="s">
        <v>102</v>
      </c>
      <c r="BS76" t="s">
        <v>1627</v>
      </c>
      <c r="BT76" t="str">
        <f>HYPERLINK("https%3A%2F%2Fwww.webofscience.com%2Fwos%2Fwoscc%2Ffull-record%2FWOS:000689417400001","View Full Record in Web of Science")</f>
        <v>View Full Record in Web of Science</v>
      </c>
    </row>
    <row r="77" spans="1:72" x14ac:dyDescent="0.15">
      <c r="A77" t="s">
        <v>72</v>
      </c>
      <c r="B77" t="s">
        <v>1628</v>
      </c>
      <c r="C77" t="s">
        <v>74</v>
      </c>
      <c r="D77" t="s">
        <v>74</v>
      </c>
      <c r="E77" t="s">
        <v>74</v>
      </c>
      <c r="F77" t="s">
        <v>1629</v>
      </c>
      <c r="G77" t="s">
        <v>74</v>
      </c>
      <c r="H77" t="s">
        <v>74</v>
      </c>
      <c r="I77" t="s">
        <v>1630</v>
      </c>
      <c r="J77" t="s">
        <v>1088</v>
      </c>
      <c r="K77" t="s">
        <v>74</v>
      </c>
      <c r="L77" t="s">
        <v>74</v>
      </c>
      <c r="M77" t="s">
        <v>78</v>
      </c>
      <c r="N77" t="s">
        <v>79</v>
      </c>
      <c r="O77" t="s">
        <v>74</v>
      </c>
      <c r="P77" t="s">
        <v>74</v>
      </c>
      <c r="Q77" t="s">
        <v>74</v>
      </c>
      <c r="R77" t="s">
        <v>74</v>
      </c>
      <c r="S77" t="s">
        <v>74</v>
      </c>
      <c r="T77" t="s">
        <v>1631</v>
      </c>
      <c r="U77" t="s">
        <v>1632</v>
      </c>
      <c r="V77" t="s">
        <v>1633</v>
      </c>
      <c r="W77" t="s">
        <v>1634</v>
      </c>
      <c r="X77" t="s">
        <v>1635</v>
      </c>
      <c r="Y77" t="s">
        <v>1636</v>
      </c>
      <c r="Z77" t="s">
        <v>1637</v>
      </c>
      <c r="AA77" t="s">
        <v>1638</v>
      </c>
      <c r="AB77" t="s">
        <v>1639</v>
      </c>
      <c r="AC77" t="s">
        <v>1640</v>
      </c>
      <c r="AD77" t="s">
        <v>1641</v>
      </c>
      <c r="AE77" t="s">
        <v>1642</v>
      </c>
      <c r="AF77" t="s">
        <v>74</v>
      </c>
      <c r="AG77">
        <v>56</v>
      </c>
      <c r="AH77">
        <v>16</v>
      </c>
      <c r="AI77">
        <v>16</v>
      </c>
      <c r="AJ77">
        <v>3</v>
      </c>
      <c r="AK77">
        <v>9</v>
      </c>
      <c r="AL77" t="s">
        <v>1101</v>
      </c>
      <c r="AM77" t="s">
        <v>1102</v>
      </c>
      <c r="AN77" t="s">
        <v>1103</v>
      </c>
      <c r="AO77" t="s">
        <v>74</v>
      </c>
      <c r="AP77" t="s">
        <v>1104</v>
      </c>
      <c r="AQ77" t="s">
        <v>74</v>
      </c>
      <c r="AR77" t="s">
        <v>1105</v>
      </c>
      <c r="AS77" t="s">
        <v>1106</v>
      </c>
      <c r="AT77" t="s">
        <v>535</v>
      </c>
      <c r="AU77">
        <v>2021</v>
      </c>
      <c r="AV77">
        <v>19</v>
      </c>
      <c r="AW77">
        <v>8</v>
      </c>
      <c r="AX77" t="s">
        <v>74</v>
      </c>
      <c r="AY77" t="s">
        <v>74</v>
      </c>
      <c r="AZ77" t="s">
        <v>74</v>
      </c>
      <c r="BA77" t="s">
        <v>74</v>
      </c>
      <c r="BB77" t="s">
        <v>74</v>
      </c>
      <c r="BC77" t="s">
        <v>74</v>
      </c>
      <c r="BD77">
        <v>459</v>
      </c>
      <c r="BE77" t="s">
        <v>1643</v>
      </c>
      <c r="BF77" t="str">
        <f>HYPERLINK("http://dx.doi.org/10.3390/md19080459","http://dx.doi.org/10.3390/md19080459")</f>
        <v>http://dx.doi.org/10.3390/md19080459</v>
      </c>
      <c r="BG77" t="s">
        <v>74</v>
      </c>
      <c r="BH77" t="s">
        <v>74</v>
      </c>
      <c r="BI77">
        <v>15</v>
      </c>
      <c r="BJ77" t="s">
        <v>1108</v>
      </c>
      <c r="BK77" t="s">
        <v>128</v>
      </c>
      <c r="BL77" t="s">
        <v>1109</v>
      </c>
      <c r="BM77" t="s">
        <v>1644</v>
      </c>
      <c r="BN77">
        <v>34436298</v>
      </c>
      <c r="BO77" t="s">
        <v>1377</v>
      </c>
      <c r="BP77" t="s">
        <v>74</v>
      </c>
      <c r="BQ77" t="s">
        <v>74</v>
      </c>
      <c r="BR77" t="s">
        <v>102</v>
      </c>
      <c r="BS77" t="s">
        <v>1645</v>
      </c>
      <c r="BT77" t="str">
        <f>HYPERLINK("https%3A%2F%2Fwww.webofscience.com%2Fwos%2Fwoscc%2Ffull-record%2FWOS:000689361300001","View Full Record in Web of Science")</f>
        <v>View Full Record in Web of Science</v>
      </c>
    </row>
    <row r="78" spans="1:72" x14ac:dyDescent="0.15">
      <c r="A78" t="s">
        <v>72</v>
      </c>
      <c r="B78" t="s">
        <v>1646</v>
      </c>
      <c r="C78" t="s">
        <v>74</v>
      </c>
      <c r="D78" t="s">
        <v>74</v>
      </c>
      <c r="E78" t="s">
        <v>74</v>
      </c>
      <c r="F78" t="s">
        <v>1647</v>
      </c>
      <c r="G78" t="s">
        <v>74</v>
      </c>
      <c r="H78" t="s">
        <v>74</v>
      </c>
      <c r="I78" t="s">
        <v>1648</v>
      </c>
      <c r="J78" t="s">
        <v>1486</v>
      </c>
      <c r="K78" t="s">
        <v>74</v>
      </c>
      <c r="L78" t="s">
        <v>74</v>
      </c>
      <c r="M78" t="s">
        <v>78</v>
      </c>
      <c r="N78" t="s">
        <v>79</v>
      </c>
      <c r="O78" t="s">
        <v>74</v>
      </c>
      <c r="P78" t="s">
        <v>74</v>
      </c>
      <c r="Q78" t="s">
        <v>74</v>
      </c>
      <c r="R78" t="s">
        <v>74</v>
      </c>
      <c r="S78" t="s">
        <v>74</v>
      </c>
      <c r="T78" t="s">
        <v>1649</v>
      </c>
      <c r="U78" t="s">
        <v>1650</v>
      </c>
      <c r="V78" t="s">
        <v>1651</v>
      </c>
      <c r="W78" t="s">
        <v>1652</v>
      </c>
      <c r="X78" t="s">
        <v>1653</v>
      </c>
      <c r="Y78" t="s">
        <v>1654</v>
      </c>
      <c r="Z78" t="s">
        <v>1655</v>
      </c>
      <c r="AA78" t="s">
        <v>1656</v>
      </c>
      <c r="AB78" t="s">
        <v>1657</v>
      </c>
      <c r="AC78" t="s">
        <v>1658</v>
      </c>
      <c r="AD78" t="s">
        <v>1659</v>
      </c>
      <c r="AE78" t="s">
        <v>1660</v>
      </c>
      <c r="AF78" t="s">
        <v>74</v>
      </c>
      <c r="AG78">
        <v>40</v>
      </c>
      <c r="AH78">
        <v>0</v>
      </c>
      <c r="AI78">
        <v>0</v>
      </c>
      <c r="AJ78">
        <v>1</v>
      </c>
      <c r="AK78">
        <v>7</v>
      </c>
      <c r="AL78" t="s">
        <v>1101</v>
      </c>
      <c r="AM78" t="s">
        <v>1102</v>
      </c>
      <c r="AN78" t="s">
        <v>1103</v>
      </c>
      <c r="AO78" t="s">
        <v>74</v>
      </c>
      <c r="AP78" t="s">
        <v>1496</v>
      </c>
      <c r="AQ78" t="s">
        <v>74</v>
      </c>
      <c r="AR78" t="s">
        <v>1486</v>
      </c>
      <c r="AS78" t="s">
        <v>1497</v>
      </c>
      <c r="AT78" t="s">
        <v>535</v>
      </c>
      <c r="AU78">
        <v>2021</v>
      </c>
      <c r="AV78">
        <v>9</v>
      </c>
      <c r="AW78">
        <v>8</v>
      </c>
      <c r="AX78" t="s">
        <v>74</v>
      </c>
      <c r="AY78" t="s">
        <v>74</v>
      </c>
      <c r="AZ78" t="s">
        <v>74</v>
      </c>
      <c r="BA78" t="s">
        <v>74</v>
      </c>
      <c r="BB78" t="s">
        <v>74</v>
      </c>
      <c r="BC78" t="s">
        <v>74</v>
      </c>
      <c r="BD78">
        <v>1728</v>
      </c>
      <c r="BE78" t="s">
        <v>1661</v>
      </c>
      <c r="BF78" t="str">
        <f>HYPERLINK("http://dx.doi.org/10.3390/microorganisms9081728","http://dx.doi.org/10.3390/microorganisms9081728")</f>
        <v>http://dx.doi.org/10.3390/microorganisms9081728</v>
      </c>
      <c r="BG78" t="s">
        <v>74</v>
      </c>
      <c r="BH78" t="s">
        <v>74</v>
      </c>
      <c r="BI78">
        <v>22</v>
      </c>
      <c r="BJ78" t="s">
        <v>1499</v>
      </c>
      <c r="BK78" t="s">
        <v>128</v>
      </c>
      <c r="BL78" t="s">
        <v>1499</v>
      </c>
      <c r="BM78" t="s">
        <v>1662</v>
      </c>
      <c r="BN78">
        <v>34442807</v>
      </c>
      <c r="BO78" t="s">
        <v>311</v>
      </c>
      <c r="BP78" t="s">
        <v>74</v>
      </c>
      <c r="BQ78" t="s">
        <v>74</v>
      </c>
      <c r="BR78" t="s">
        <v>102</v>
      </c>
      <c r="BS78" t="s">
        <v>1663</v>
      </c>
      <c r="BT78" t="str">
        <f>HYPERLINK("https%3A%2F%2Fwww.webofscience.com%2Fwos%2Fwoscc%2Ffull-record%2FWOS:000689394500001","View Full Record in Web of Science")</f>
        <v>View Full Record in Web of Science</v>
      </c>
    </row>
    <row r="79" spans="1:72" x14ac:dyDescent="0.15">
      <c r="A79" t="s">
        <v>72</v>
      </c>
      <c r="B79" t="s">
        <v>1664</v>
      </c>
      <c r="C79" t="s">
        <v>74</v>
      </c>
      <c r="D79" t="s">
        <v>74</v>
      </c>
      <c r="E79" t="s">
        <v>74</v>
      </c>
      <c r="F79" t="s">
        <v>1665</v>
      </c>
      <c r="G79" t="s">
        <v>74</v>
      </c>
      <c r="H79" t="s">
        <v>74</v>
      </c>
      <c r="I79" t="s">
        <v>1666</v>
      </c>
      <c r="J79" t="s">
        <v>1667</v>
      </c>
      <c r="K79" t="s">
        <v>74</v>
      </c>
      <c r="L79" t="s">
        <v>74</v>
      </c>
      <c r="M79" t="s">
        <v>78</v>
      </c>
      <c r="N79" t="s">
        <v>79</v>
      </c>
      <c r="O79" t="s">
        <v>74</v>
      </c>
      <c r="P79" t="s">
        <v>74</v>
      </c>
      <c r="Q79" t="s">
        <v>74</v>
      </c>
      <c r="R79" t="s">
        <v>74</v>
      </c>
      <c r="S79" t="s">
        <v>74</v>
      </c>
      <c r="T79" t="s">
        <v>1668</v>
      </c>
      <c r="U79" t="s">
        <v>1669</v>
      </c>
      <c r="V79" t="s">
        <v>1670</v>
      </c>
      <c r="W79" t="s">
        <v>1671</v>
      </c>
      <c r="X79" t="s">
        <v>1672</v>
      </c>
      <c r="Y79" t="s">
        <v>1673</v>
      </c>
      <c r="Z79" t="s">
        <v>1674</v>
      </c>
      <c r="AA79" t="s">
        <v>1675</v>
      </c>
      <c r="AB79" t="s">
        <v>1676</v>
      </c>
      <c r="AC79" t="s">
        <v>1677</v>
      </c>
      <c r="AD79" t="s">
        <v>1678</v>
      </c>
      <c r="AE79" t="s">
        <v>1679</v>
      </c>
      <c r="AF79" t="s">
        <v>74</v>
      </c>
      <c r="AG79">
        <v>48</v>
      </c>
      <c r="AH79">
        <v>5</v>
      </c>
      <c r="AI79">
        <v>5</v>
      </c>
      <c r="AJ79">
        <v>0</v>
      </c>
      <c r="AK79">
        <v>5</v>
      </c>
      <c r="AL79" t="s">
        <v>1101</v>
      </c>
      <c r="AM79" t="s">
        <v>1102</v>
      </c>
      <c r="AN79" t="s">
        <v>1103</v>
      </c>
      <c r="AO79" t="s">
        <v>1680</v>
      </c>
      <c r="AP79" t="s">
        <v>74</v>
      </c>
      <c r="AQ79" t="s">
        <v>74</v>
      </c>
      <c r="AR79" t="s">
        <v>1667</v>
      </c>
      <c r="AS79" t="s">
        <v>1681</v>
      </c>
      <c r="AT79" t="s">
        <v>535</v>
      </c>
      <c r="AU79">
        <v>2021</v>
      </c>
      <c r="AV79">
        <v>10</v>
      </c>
      <c r="AW79">
        <v>8</v>
      </c>
      <c r="AX79" t="s">
        <v>74</v>
      </c>
      <c r="AY79" t="s">
        <v>74</v>
      </c>
      <c r="AZ79" t="s">
        <v>74</v>
      </c>
      <c r="BA79" t="s">
        <v>74</v>
      </c>
      <c r="BB79" t="s">
        <v>74</v>
      </c>
      <c r="BC79" t="s">
        <v>74</v>
      </c>
      <c r="BD79">
        <v>944</v>
      </c>
      <c r="BE79" t="s">
        <v>1682</v>
      </c>
      <c r="BF79" t="str">
        <f>HYPERLINK("http://dx.doi.org/10.3390/antibiotics10080944","http://dx.doi.org/10.3390/antibiotics10080944")</f>
        <v>http://dx.doi.org/10.3390/antibiotics10080944</v>
      </c>
      <c r="BG79" t="s">
        <v>74</v>
      </c>
      <c r="BH79" t="s">
        <v>74</v>
      </c>
      <c r="BI79">
        <v>19</v>
      </c>
      <c r="BJ79" t="s">
        <v>1683</v>
      </c>
      <c r="BK79" t="s">
        <v>128</v>
      </c>
      <c r="BL79" t="s">
        <v>1683</v>
      </c>
      <c r="BM79" t="s">
        <v>1684</v>
      </c>
      <c r="BN79">
        <v>34438994</v>
      </c>
      <c r="BO79" t="s">
        <v>311</v>
      </c>
      <c r="BP79" t="s">
        <v>74</v>
      </c>
      <c r="BQ79" t="s">
        <v>74</v>
      </c>
      <c r="BR79" t="s">
        <v>102</v>
      </c>
      <c r="BS79" t="s">
        <v>1685</v>
      </c>
      <c r="BT79" t="str">
        <f>HYPERLINK("https%3A%2F%2Fwww.webofscience.com%2Fwos%2Fwoscc%2Ffull-record%2FWOS:000688742700001","View Full Record in Web of Science")</f>
        <v>View Full Record in Web of Science</v>
      </c>
    </row>
    <row r="80" spans="1:72" x14ac:dyDescent="0.15">
      <c r="A80" t="s">
        <v>72</v>
      </c>
      <c r="B80" t="s">
        <v>1686</v>
      </c>
      <c r="C80" t="s">
        <v>74</v>
      </c>
      <c r="D80" t="s">
        <v>74</v>
      </c>
      <c r="E80" t="s">
        <v>74</v>
      </c>
      <c r="F80" t="s">
        <v>1687</v>
      </c>
      <c r="G80" t="s">
        <v>74</v>
      </c>
      <c r="H80" t="s">
        <v>74</v>
      </c>
      <c r="I80" t="s">
        <v>1688</v>
      </c>
      <c r="J80" t="s">
        <v>1335</v>
      </c>
      <c r="K80" t="s">
        <v>74</v>
      </c>
      <c r="L80" t="s">
        <v>74</v>
      </c>
      <c r="M80" t="s">
        <v>78</v>
      </c>
      <c r="N80" t="s">
        <v>79</v>
      </c>
      <c r="O80" t="s">
        <v>74</v>
      </c>
      <c r="P80" t="s">
        <v>74</v>
      </c>
      <c r="Q80" t="s">
        <v>74</v>
      </c>
      <c r="R80" t="s">
        <v>74</v>
      </c>
      <c r="S80" t="s">
        <v>74</v>
      </c>
      <c r="T80" t="s">
        <v>1689</v>
      </c>
      <c r="U80" t="s">
        <v>1690</v>
      </c>
      <c r="V80" t="s">
        <v>1691</v>
      </c>
      <c r="W80" t="s">
        <v>1692</v>
      </c>
      <c r="X80" t="s">
        <v>1693</v>
      </c>
      <c r="Y80" t="s">
        <v>1694</v>
      </c>
      <c r="Z80" t="s">
        <v>1695</v>
      </c>
      <c r="AA80" t="s">
        <v>1696</v>
      </c>
      <c r="AB80" t="s">
        <v>1697</v>
      </c>
      <c r="AC80" t="s">
        <v>1698</v>
      </c>
      <c r="AD80" t="s">
        <v>1699</v>
      </c>
      <c r="AE80" t="s">
        <v>1700</v>
      </c>
      <c r="AF80" t="s">
        <v>74</v>
      </c>
      <c r="AG80">
        <v>58</v>
      </c>
      <c r="AH80">
        <v>3</v>
      </c>
      <c r="AI80">
        <v>3</v>
      </c>
      <c r="AJ80">
        <v>0</v>
      </c>
      <c r="AK80">
        <v>1</v>
      </c>
      <c r="AL80" t="s">
        <v>1101</v>
      </c>
      <c r="AM80" t="s">
        <v>1102</v>
      </c>
      <c r="AN80" t="s">
        <v>1103</v>
      </c>
      <c r="AO80" t="s">
        <v>74</v>
      </c>
      <c r="AP80" t="s">
        <v>1348</v>
      </c>
      <c r="AQ80" t="s">
        <v>74</v>
      </c>
      <c r="AR80" t="s">
        <v>1349</v>
      </c>
      <c r="AS80" t="s">
        <v>1350</v>
      </c>
      <c r="AT80" t="s">
        <v>535</v>
      </c>
      <c r="AU80">
        <v>2021</v>
      </c>
      <c r="AV80">
        <v>12</v>
      </c>
      <c r="AW80">
        <v>8</v>
      </c>
      <c r="AX80" t="s">
        <v>74</v>
      </c>
      <c r="AY80" t="s">
        <v>74</v>
      </c>
      <c r="AZ80" t="s">
        <v>74</v>
      </c>
      <c r="BA80" t="s">
        <v>74</v>
      </c>
      <c r="BB80" t="s">
        <v>74</v>
      </c>
      <c r="BC80" t="s">
        <v>74</v>
      </c>
      <c r="BD80">
        <v>1045</v>
      </c>
      <c r="BE80" t="s">
        <v>1701</v>
      </c>
      <c r="BF80" t="str">
        <f>HYPERLINK("http://dx.doi.org/10.3390/atmos12081045","http://dx.doi.org/10.3390/atmos12081045")</f>
        <v>http://dx.doi.org/10.3390/atmos12081045</v>
      </c>
      <c r="BG80" t="s">
        <v>74</v>
      </c>
      <c r="BH80" t="s">
        <v>74</v>
      </c>
      <c r="BI80">
        <v>15</v>
      </c>
      <c r="BJ80" t="s">
        <v>635</v>
      </c>
      <c r="BK80" t="s">
        <v>128</v>
      </c>
      <c r="BL80" t="s">
        <v>636</v>
      </c>
      <c r="BM80" t="s">
        <v>1702</v>
      </c>
      <c r="BN80" t="s">
        <v>74</v>
      </c>
      <c r="BO80" t="s">
        <v>311</v>
      </c>
      <c r="BP80" t="s">
        <v>74</v>
      </c>
      <c r="BQ80" t="s">
        <v>74</v>
      </c>
      <c r="BR80" t="s">
        <v>102</v>
      </c>
      <c r="BS80" t="s">
        <v>1703</v>
      </c>
      <c r="BT80" t="str">
        <f>HYPERLINK("https%3A%2F%2Fwww.webofscience.com%2Fwos%2Fwoscc%2Ffull-record%2FWOS:000688793800001","View Full Record in Web of Science")</f>
        <v>View Full Record in Web of Science</v>
      </c>
    </row>
    <row r="81" spans="1:72" x14ac:dyDescent="0.15">
      <c r="A81" t="s">
        <v>72</v>
      </c>
      <c r="B81" t="s">
        <v>1704</v>
      </c>
      <c r="C81" t="s">
        <v>74</v>
      </c>
      <c r="D81" t="s">
        <v>74</v>
      </c>
      <c r="E81" t="s">
        <v>74</v>
      </c>
      <c r="F81" t="s">
        <v>1705</v>
      </c>
      <c r="G81" t="s">
        <v>74</v>
      </c>
      <c r="H81" t="s">
        <v>74</v>
      </c>
      <c r="I81" t="s">
        <v>1706</v>
      </c>
      <c r="J81" t="s">
        <v>1707</v>
      </c>
      <c r="K81" t="s">
        <v>74</v>
      </c>
      <c r="L81" t="s">
        <v>74</v>
      </c>
      <c r="M81" t="s">
        <v>78</v>
      </c>
      <c r="N81" t="s">
        <v>79</v>
      </c>
      <c r="O81" t="s">
        <v>74</v>
      </c>
      <c r="P81" t="s">
        <v>74</v>
      </c>
      <c r="Q81" t="s">
        <v>74</v>
      </c>
      <c r="R81" t="s">
        <v>74</v>
      </c>
      <c r="S81" t="s">
        <v>74</v>
      </c>
      <c r="T81" t="s">
        <v>1708</v>
      </c>
      <c r="U81" t="s">
        <v>1709</v>
      </c>
      <c r="V81" t="s">
        <v>1710</v>
      </c>
      <c r="W81" t="s">
        <v>1711</v>
      </c>
      <c r="X81" t="s">
        <v>1712</v>
      </c>
      <c r="Y81" t="s">
        <v>1713</v>
      </c>
      <c r="Z81" t="s">
        <v>1714</v>
      </c>
      <c r="AA81" t="s">
        <v>1715</v>
      </c>
      <c r="AB81" t="s">
        <v>1716</v>
      </c>
      <c r="AC81" t="s">
        <v>1717</v>
      </c>
      <c r="AD81" t="s">
        <v>1718</v>
      </c>
      <c r="AE81" t="s">
        <v>1719</v>
      </c>
      <c r="AF81" t="s">
        <v>74</v>
      </c>
      <c r="AG81">
        <v>85</v>
      </c>
      <c r="AH81">
        <v>15</v>
      </c>
      <c r="AI81">
        <v>15</v>
      </c>
      <c r="AJ81">
        <v>1</v>
      </c>
      <c r="AK81">
        <v>8</v>
      </c>
      <c r="AL81" t="s">
        <v>1101</v>
      </c>
      <c r="AM81" t="s">
        <v>1102</v>
      </c>
      <c r="AN81" t="s">
        <v>1103</v>
      </c>
      <c r="AO81" t="s">
        <v>74</v>
      </c>
      <c r="AP81" t="s">
        <v>1720</v>
      </c>
      <c r="AQ81" t="s">
        <v>74</v>
      </c>
      <c r="AR81" t="s">
        <v>1707</v>
      </c>
      <c r="AS81" t="s">
        <v>1721</v>
      </c>
      <c r="AT81" t="s">
        <v>535</v>
      </c>
      <c r="AU81">
        <v>2021</v>
      </c>
      <c r="AV81">
        <v>11</v>
      </c>
      <c r="AW81">
        <v>8</v>
      </c>
      <c r="AX81" t="s">
        <v>74</v>
      </c>
      <c r="AY81" t="s">
        <v>74</v>
      </c>
      <c r="AZ81" t="s">
        <v>74</v>
      </c>
      <c r="BA81" t="s">
        <v>74</v>
      </c>
      <c r="BB81" t="s">
        <v>74</v>
      </c>
      <c r="BC81" t="s">
        <v>74</v>
      </c>
      <c r="BD81">
        <v>1094</v>
      </c>
      <c r="BE81" t="s">
        <v>1722</v>
      </c>
      <c r="BF81" t="str">
        <f>HYPERLINK("http://dx.doi.org/10.3390/biom11081094","http://dx.doi.org/10.3390/biom11081094")</f>
        <v>http://dx.doi.org/10.3390/biom11081094</v>
      </c>
      <c r="BG81" t="s">
        <v>74</v>
      </c>
      <c r="BH81" t="s">
        <v>74</v>
      </c>
      <c r="BI81">
        <v>23</v>
      </c>
      <c r="BJ81" t="s">
        <v>1723</v>
      </c>
      <c r="BK81" t="s">
        <v>128</v>
      </c>
      <c r="BL81" t="s">
        <v>1723</v>
      </c>
      <c r="BM81" t="s">
        <v>1724</v>
      </c>
      <c r="BN81">
        <v>34439761</v>
      </c>
      <c r="BO81" t="s">
        <v>1377</v>
      </c>
      <c r="BP81" t="s">
        <v>74</v>
      </c>
      <c r="BQ81" t="s">
        <v>74</v>
      </c>
      <c r="BR81" t="s">
        <v>102</v>
      </c>
      <c r="BS81" t="s">
        <v>1725</v>
      </c>
      <c r="BT81" t="str">
        <f>HYPERLINK("https%3A%2F%2Fwww.webofscience.com%2Fwos%2Fwoscc%2Ffull-record%2FWOS:000689010800001","View Full Record in Web of Science")</f>
        <v>View Full Record in Web of Science</v>
      </c>
    </row>
    <row r="82" spans="1:72" x14ac:dyDescent="0.15">
      <c r="A82" t="s">
        <v>72</v>
      </c>
      <c r="B82" t="s">
        <v>1726</v>
      </c>
      <c r="C82" t="s">
        <v>74</v>
      </c>
      <c r="D82" t="s">
        <v>74</v>
      </c>
      <c r="E82" t="s">
        <v>74</v>
      </c>
      <c r="F82" t="s">
        <v>1727</v>
      </c>
      <c r="G82" t="s">
        <v>74</v>
      </c>
      <c r="H82" t="s">
        <v>74</v>
      </c>
      <c r="I82" t="s">
        <v>1728</v>
      </c>
      <c r="J82" t="s">
        <v>1729</v>
      </c>
      <c r="K82" t="s">
        <v>74</v>
      </c>
      <c r="L82" t="s">
        <v>74</v>
      </c>
      <c r="M82" t="s">
        <v>78</v>
      </c>
      <c r="N82" t="s">
        <v>79</v>
      </c>
      <c r="O82" t="s">
        <v>74</v>
      </c>
      <c r="P82" t="s">
        <v>74</v>
      </c>
      <c r="Q82" t="s">
        <v>74</v>
      </c>
      <c r="R82" t="s">
        <v>74</v>
      </c>
      <c r="S82" t="s">
        <v>74</v>
      </c>
      <c r="T82" t="s">
        <v>74</v>
      </c>
      <c r="U82" t="s">
        <v>1730</v>
      </c>
      <c r="V82" t="s">
        <v>1731</v>
      </c>
      <c r="W82" t="s">
        <v>1732</v>
      </c>
      <c r="X82" t="s">
        <v>1733</v>
      </c>
      <c r="Y82" t="s">
        <v>1734</v>
      </c>
      <c r="Z82" t="s">
        <v>1735</v>
      </c>
      <c r="AA82" t="s">
        <v>74</v>
      </c>
      <c r="AB82" t="s">
        <v>74</v>
      </c>
      <c r="AC82" t="s">
        <v>1736</v>
      </c>
      <c r="AD82" t="s">
        <v>1737</v>
      </c>
      <c r="AE82" t="s">
        <v>1738</v>
      </c>
      <c r="AF82" t="s">
        <v>74</v>
      </c>
      <c r="AG82">
        <v>74</v>
      </c>
      <c r="AH82">
        <v>21</v>
      </c>
      <c r="AI82">
        <v>24</v>
      </c>
      <c r="AJ82">
        <v>0</v>
      </c>
      <c r="AK82">
        <v>13</v>
      </c>
      <c r="AL82" t="s">
        <v>864</v>
      </c>
      <c r="AM82" t="s">
        <v>865</v>
      </c>
      <c r="AN82" t="s">
        <v>866</v>
      </c>
      <c r="AO82" t="s">
        <v>1739</v>
      </c>
      <c r="AP82" t="s">
        <v>1740</v>
      </c>
      <c r="AQ82" t="s">
        <v>74</v>
      </c>
      <c r="AR82" t="s">
        <v>1741</v>
      </c>
      <c r="AS82" t="s">
        <v>1742</v>
      </c>
      <c r="AT82" t="s">
        <v>535</v>
      </c>
      <c r="AU82">
        <v>2021</v>
      </c>
      <c r="AV82">
        <v>126</v>
      </c>
      <c r="AW82">
        <v>16</v>
      </c>
      <c r="AX82" t="s">
        <v>74</v>
      </c>
      <c r="AY82" t="s">
        <v>74</v>
      </c>
      <c r="AZ82" t="s">
        <v>74</v>
      </c>
      <c r="BA82" t="s">
        <v>74</v>
      </c>
      <c r="BB82" t="s">
        <v>74</v>
      </c>
      <c r="BC82" t="s">
        <v>74</v>
      </c>
      <c r="BD82" t="s">
        <v>1743</v>
      </c>
      <c r="BE82" t="s">
        <v>1744</v>
      </c>
      <c r="BF82" t="str">
        <f>HYPERLINK("http://dx.doi.org/10.1029/2021JD034569","http://dx.doi.org/10.1029/2021JD034569")</f>
        <v>http://dx.doi.org/10.1029/2021JD034569</v>
      </c>
      <c r="BG82" t="s">
        <v>74</v>
      </c>
      <c r="BH82" t="s">
        <v>74</v>
      </c>
      <c r="BI82">
        <v>18</v>
      </c>
      <c r="BJ82" t="s">
        <v>567</v>
      </c>
      <c r="BK82" t="s">
        <v>128</v>
      </c>
      <c r="BL82" t="s">
        <v>567</v>
      </c>
      <c r="BM82" t="s">
        <v>1745</v>
      </c>
      <c r="BN82" t="s">
        <v>74</v>
      </c>
      <c r="BO82" t="s">
        <v>238</v>
      </c>
      <c r="BP82" t="s">
        <v>74</v>
      </c>
      <c r="BQ82" t="s">
        <v>74</v>
      </c>
      <c r="BR82" t="s">
        <v>102</v>
      </c>
      <c r="BS82" t="s">
        <v>1746</v>
      </c>
      <c r="BT82" t="str">
        <f>HYPERLINK("https%3A%2F%2Fwww.webofscience.com%2Fwos%2Fwoscc%2Ffull-record%2FWOS:000688706400002","View Full Record in Web of Science")</f>
        <v>View Full Record in Web of Science</v>
      </c>
    </row>
    <row r="83" spans="1:72" x14ac:dyDescent="0.15">
      <c r="A83" t="s">
        <v>72</v>
      </c>
      <c r="B83" t="s">
        <v>1747</v>
      </c>
      <c r="C83" t="s">
        <v>74</v>
      </c>
      <c r="D83" t="s">
        <v>74</v>
      </c>
      <c r="E83" t="s">
        <v>74</v>
      </c>
      <c r="F83" t="s">
        <v>1748</v>
      </c>
      <c r="G83" t="s">
        <v>74</v>
      </c>
      <c r="H83" t="s">
        <v>74</v>
      </c>
      <c r="I83" t="s">
        <v>1749</v>
      </c>
      <c r="J83" t="s">
        <v>1750</v>
      </c>
      <c r="K83" t="s">
        <v>74</v>
      </c>
      <c r="L83" t="s">
        <v>74</v>
      </c>
      <c r="M83" t="s">
        <v>78</v>
      </c>
      <c r="N83" t="s">
        <v>79</v>
      </c>
      <c r="O83" t="s">
        <v>74</v>
      </c>
      <c r="P83" t="s">
        <v>74</v>
      </c>
      <c r="Q83" t="s">
        <v>74</v>
      </c>
      <c r="R83" t="s">
        <v>74</v>
      </c>
      <c r="S83" t="s">
        <v>74</v>
      </c>
      <c r="T83" t="s">
        <v>1751</v>
      </c>
      <c r="U83" t="s">
        <v>1752</v>
      </c>
      <c r="V83" t="s">
        <v>1753</v>
      </c>
      <c r="W83" t="s">
        <v>1754</v>
      </c>
      <c r="X83" t="s">
        <v>1755</v>
      </c>
      <c r="Y83" t="s">
        <v>1756</v>
      </c>
      <c r="Z83" t="s">
        <v>1757</v>
      </c>
      <c r="AA83" t="s">
        <v>1758</v>
      </c>
      <c r="AB83" t="s">
        <v>1759</v>
      </c>
      <c r="AC83" t="s">
        <v>1760</v>
      </c>
      <c r="AD83" t="s">
        <v>1761</v>
      </c>
      <c r="AE83" t="s">
        <v>1762</v>
      </c>
      <c r="AF83" t="s">
        <v>74</v>
      </c>
      <c r="AG83">
        <v>67</v>
      </c>
      <c r="AH83">
        <v>3</v>
      </c>
      <c r="AI83">
        <v>3</v>
      </c>
      <c r="AJ83">
        <v>0</v>
      </c>
      <c r="AK83">
        <v>6</v>
      </c>
      <c r="AL83" t="s">
        <v>864</v>
      </c>
      <c r="AM83" t="s">
        <v>865</v>
      </c>
      <c r="AN83" t="s">
        <v>866</v>
      </c>
      <c r="AO83" t="s">
        <v>74</v>
      </c>
      <c r="AP83" t="s">
        <v>1763</v>
      </c>
      <c r="AQ83" t="s">
        <v>74</v>
      </c>
      <c r="AR83" t="s">
        <v>1764</v>
      </c>
      <c r="AS83" t="s">
        <v>1765</v>
      </c>
      <c r="AT83" t="s">
        <v>535</v>
      </c>
      <c r="AU83">
        <v>2021</v>
      </c>
      <c r="AV83">
        <v>19</v>
      </c>
      <c r="AW83">
        <v>8</v>
      </c>
      <c r="AX83" t="s">
        <v>74</v>
      </c>
      <c r="AY83" t="s">
        <v>74</v>
      </c>
      <c r="AZ83" t="s">
        <v>74</v>
      </c>
      <c r="BA83" t="s">
        <v>74</v>
      </c>
      <c r="BB83" t="s">
        <v>74</v>
      </c>
      <c r="BC83" t="s">
        <v>74</v>
      </c>
      <c r="BD83" t="s">
        <v>1766</v>
      </c>
      <c r="BE83" t="s">
        <v>1767</v>
      </c>
      <c r="BF83" t="str">
        <f>HYPERLINK("http://dx.doi.org/10.1029/2020SW002688","http://dx.doi.org/10.1029/2020SW002688")</f>
        <v>http://dx.doi.org/10.1029/2020SW002688</v>
      </c>
      <c r="BG83" t="s">
        <v>74</v>
      </c>
      <c r="BH83" t="s">
        <v>74</v>
      </c>
      <c r="BI83">
        <v>16</v>
      </c>
      <c r="BJ83" t="s">
        <v>1768</v>
      </c>
      <c r="BK83" t="s">
        <v>128</v>
      </c>
      <c r="BL83" t="s">
        <v>1768</v>
      </c>
      <c r="BM83" t="s">
        <v>1769</v>
      </c>
      <c r="BN83" t="s">
        <v>74</v>
      </c>
      <c r="BO83" t="s">
        <v>1770</v>
      </c>
      <c r="BP83" t="s">
        <v>74</v>
      </c>
      <c r="BQ83" t="s">
        <v>74</v>
      </c>
      <c r="BR83" t="s">
        <v>102</v>
      </c>
      <c r="BS83" t="s">
        <v>1771</v>
      </c>
      <c r="BT83" t="str">
        <f>HYPERLINK("https%3A%2F%2Fwww.webofscience.com%2Fwos%2Fwoscc%2Ffull-record%2FWOS:000688191800007","View Full Record in Web of Science")</f>
        <v>View Full Record in Web of Science</v>
      </c>
    </row>
    <row r="84" spans="1:72" x14ac:dyDescent="0.15">
      <c r="A84" t="s">
        <v>72</v>
      </c>
      <c r="B84" t="s">
        <v>1772</v>
      </c>
      <c r="C84" t="s">
        <v>74</v>
      </c>
      <c r="D84" t="s">
        <v>74</v>
      </c>
      <c r="E84" t="s">
        <v>74</v>
      </c>
      <c r="F84" t="s">
        <v>1773</v>
      </c>
      <c r="G84" t="s">
        <v>74</v>
      </c>
      <c r="H84" t="s">
        <v>74</v>
      </c>
      <c r="I84" t="s">
        <v>1774</v>
      </c>
      <c r="J84" t="s">
        <v>1775</v>
      </c>
      <c r="K84" t="s">
        <v>74</v>
      </c>
      <c r="L84" t="s">
        <v>74</v>
      </c>
      <c r="M84" t="s">
        <v>78</v>
      </c>
      <c r="N84" t="s">
        <v>79</v>
      </c>
      <c r="O84" t="s">
        <v>74</v>
      </c>
      <c r="P84" t="s">
        <v>74</v>
      </c>
      <c r="Q84" t="s">
        <v>74</v>
      </c>
      <c r="R84" t="s">
        <v>74</v>
      </c>
      <c r="S84" t="s">
        <v>74</v>
      </c>
      <c r="T84" t="s">
        <v>1776</v>
      </c>
      <c r="U84" t="s">
        <v>1777</v>
      </c>
      <c r="V84" t="s">
        <v>1778</v>
      </c>
      <c r="W84" t="s">
        <v>1779</v>
      </c>
      <c r="X84" t="s">
        <v>1780</v>
      </c>
      <c r="Y84" t="s">
        <v>1781</v>
      </c>
      <c r="Z84" t="s">
        <v>1782</v>
      </c>
      <c r="AA84" t="s">
        <v>74</v>
      </c>
      <c r="AB84" t="s">
        <v>74</v>
      </c>
      <c r="AC84" t="s">
        <v>1783</v>
      </c>
      <c r="AD84" t="s">
        <v>1784</v>
      </c>
      <c r="AE84" t="s">
        <v>1785</v>
      </c>
      <c r="AF84" t="s">
        <v>74</v>
      </c>
      <c r="AG84">
        <v>103</v>
      </c>
      <c r="AH84">
        <v>2</v>
      </c>
      <c r="AI84">
        <v>2</v>
      </c>
      <c r="AJ84">
        <v>1</v>
      </c>
      <c r="AK84">
        <v>4</v>
      </c>
      <c r="AL84" t="s">
        <v>1786</v>
      </c>
      <c r="AM84" t="s">
        <v>1787</v>
      </c>
      <c r="AN84" t="s">
        <v>1788</v>
      </c>
      <c r="AO84" t="s">
        <v>1789</v>
      </c>
      <c r="AP84" t="s">
        <v>1790</v>
      </c>
      <c r="AQ84" t="s">
        <v>74</v>
      </c>
      <c r="AR84" t="s">
        <v>1791</v>
      </c>
      <c r="AS84" t="s">
        <v>1792</v>
      </c>
      <c r="AT84" t="s">
        <v>535</v>
      </c>
      <c r="AU84">
        <v>2021</v>
      </c>
      <c r="AV84">
        <v>28</v>
      </c>
      <c r="AW84">
        <v>4</v>
      </c>
      <c r="AX84" t="s">
        <v>74</v>
      </c>
      <c r="AY84" t="s">
        <v>74</v>
      </c>
      <c r="AZ84" t="s">
        <v>74</v>
      </c>
      <c r="BA84" t="s">
        <v>74</v>
      </c>
      <c r="BB84">
        <v>350</v>
      </c>
      <c r="BC84">
        <v>367</v>
      </c>
      <c r="BD84" t="s">
        <v>74</v>
      </c>
      <c r="BE84" t="s">
        <v>1793</v>
      </c>
      <c r="BF84" t="str">
        <f>HYPERLINK("http://dx.doi.org/10.1680/jgein.20.00048","http://dx.doi.org/10.1680/jgein.20.00048")</f>
        <v>http://dx.doi.org/10.1680/jgein.20.00048</v>
      </c>
      <c r="BG84" t="s">
        <v>74</v>
      </c>
      <c r="BH84" t="s">
        <v>74</v>
      </c>
      <c r="BI84">
        <v>18</v>
      </c>
      <c r="BJ84" t="s">
        <v>1794</v>
      </c>
      <c r="BK84" t="s">
        <v>128</v>
      </c>
      <c r="BL84" t="s">
        <v>1795</v>
      </c>
      <c r="BM84" t="s">
        <v>1796</v>
      </c>
      <c r="BN84" t="s">
        <v>74</v>
      </c>
      <c r="BO84" t="s">
        <v>74</v>
      </c>
      <c r="BP84" t="s">
        <v>74</v>
      </c>
      <c r="BQ84" t="s">
        <v>74</v>
      </c>
      <c r="BR84" t="s">
        <v>102</v>
      </c>
      <c r="BS84" t="s">
        <v>1797</v>
      </c>
      <c r="BT84" t="str">
        <f>HYPERLINK("https%3A%2F%2Fwww.webofscience.com%2Fwos%2Fwoscc%2Ffull-record%2FWOS:000687831800002","View Full Record in Web of Science")</f>
        <v>View Full Record in Web of Science</v>
      </c>
    </row>
    <row r="85" spans="1:72" x14ac:dyDescent="0.15">
      <c r="A85" t="s">
        <v>72</v>
      </c>
      <c r="B85" t="s">
        <v>1798</v>
      </c>
      <c r="C85" t="s">
        <v>74</v>
      </c>
      <c r="D85" t="s">
        <v>74</v>
      </c>
      <c r="E85" t="s">
        <v>74</v>
      </c>
      <c r="F85" t="s">
        <v>1799</v>
      </c>
      <c r="G85" t="s">
        <v>74</v>
      </c>
      <c r="H85" t="s">
        <v>74</v>
      </c>
      <c r="I85" t="s">
        <v>1800</v>
      </c>
      <c r="J85" t="s">
        <v>1801</v>
      </c>
      <c r="K85" t="s">
        <v>74</v>
      </c>
      <c r="L85" t="s">
        <v>74</v>
      </c>
      <c r="M85" t="s">
        <v>78</v>
      </c>
      <c r="N85" t="s">
        <v>79</v>
      </c>
      <c r="O85" t="s">
        <v>74</v>
      </c>
      <c r="P85" t="s">
        <v>74</v>
      </c>
      <c r="Q85" t="s">
        <v>74</v>
      </c>
      <c r="R85" t="s">
        <v>74</v>
      </c>
      <c r="S85" t="s">
        <v>74</v>
      </c>
      <c r="T85" t="s">
        <v>1802</v>
      </c>
      <c r="U85" t="s">
        <v>1803</v>
      </c>
      <c r="V85" t="s">
        <v>1804</v>
      </c>
      <c r="W85" t="s">
        <v>1805</v>
      </c>
      <c r="X85" t="s">
        <v>1806</v>
      </c>
      <c r="Y85" t="s">
        <v>1807</v>
      </c>
      <c r="Z85" t="s">
        <v>1808</v>
      </c>
      <c r="AA85" t="s">
        <v>74</v>
      </c>
      <c r="AB85" t="s">
        <v>74</v>
      </c>
      <c r="AC85" t="s">
        <v>1809</v>
      </c>
      <c r="AD85" t="s">
        <v>1810</v>
      </c>
      <c r="AE85" t="s">
        <v>1811</v>
      </c>
      <c r="AF85" t="s">
        <v>74</v>
      </c>
      <c r="AG85">
        <v>29</v>
      </c>
      <c r="AH85">
        <v>1</v>
      </c>
      <c r="AI85">
        <v>1</v>
      </c>
      <c r="AJ85">
        <v>2</v>
      </c>
      <c r="AK85">
        <v>12</v>
      </c>
      <c r="AL85" t="s">
        <v>628</v>
      </c>
      <c r="AM85" t="s">
        <v>1812</v>
      </c>
      <c r="AN85" t="s">
        <v>1813</v>
      </c>
      <c r="AO85" t="s">
        <v>1814</v>
      </c>
      <c r="AP85" t="s">
        <v>74</v>
      </c>
      <c r="AQ85" t="s">
        <v>74</v>
      </c>
      <c r="AR85" t="s">
        <v>1815</v>
      </c>
      <c r="AS85" t="s">
        <v>1816</v>
      </c>
      <c r="AT85" t="s">
        <v>535</v>
      </c>
      <c r="AU85">
        <v>2021</v>
      </c>
      <c r="AV85">
        <v>13</v>
      </c>
      <c r="AW85">
        <v>4</v>
      </c>
      <c r="AX85" t="s">
        <v>74</v>
      </c>
      <c r="AY85" t="s">
        <v>74</v>
      </c>
      <c r="AZ85" t="s">
        <v>74</v>
      </c>
      <c r="BA85" t="s">
        <v>74</v>
      </c>
      <c r="BB85">
        <v>292</v>
      </c>
      <c r="BC85">
        <v>298</v>
      </c>
      <c r="BD85" t="s">
        <v>74</v>
      </c>
      <c r="BE85" t="s">
        <v>1817</v>
      </c>
      <c r="BF85" t="str">
        <f>HYPERLINK("http://dx.doi.org/10.3724/SP.J.1226.2021.20043","http://dx.doi.org/10.3724/SP.J.1226.2021.20043")</f>
        <v>http://dx.doi.org/10.3724/SP.J.1226.2021.20043</v>
      </c>
      <c r="BG85" t="s">
        <v>74</v>
      </c>
      <c r="BH85" t="s">
        <v>74</v>
      </c>
      <c r="BI85">
        <v>7</v>
      </c>
      <c r="BJ85" t="s">
        <v>1818</v>
      </c>
      <c r="BK85" t="s">
        <v>1819</v>
      </c>
      <c r="BL85" t="s">
        <v>1820</v>
      </c>
      <c r="BM85" t="s">
        <v>1821</v>
      </c>
      <c r="BN85" t="s">
        <v>74</v>
      </c>
      <c r="BO85" t="s">
        <v>74</v>
      </c>
      <c r="BP85" t="s">
        <v>74</v>
      </c>
      <c r="BQ85" t="s">
        <v>74</v>
      </c>
      <c r="BR85" t="s">
        <v>102</v>
      </c>
      <c r="BS85" t="s">
        <v>1822</v>
      </c>
      <c r="BT85" t="str">
        <f>HYPERLINK("https%3A%2F%2Fwww.webofscience.com%2Fwos%2Fwoscc%2Ffull-record%2FWOS:000686566700002","View Full Record in Web of Science")</f>
        <v>View Full Record in Web of Science</v>
      </c>
    </row>
    <row r="86" spans="1:72" x14ac:dyDescent="0.15">
      <c r="A86" t="s">
        <v>72</v>
      </c>
      <c r="B86" t="s">
        <v>1823</v>
      </c>
      <c r="C86" t="s">
        <v>74</v>
      </c>
      <c r="D86" t="s">
        <v>74</v>
      </c>
      <c r="E86" t="s">
        <v>74</v>
      </c>
      <c r="F86" t="s">
        <v>1824</v>
      </c>
      <c r="G86" t="s">
        <v>74</v>
      </c>
      <c r="H86" t="s">
        <v>74</v>
      </c>
      <c r="I86" t="s">
        <v>1825</v>
      </c>
      <c r="J86" t="s">
        <v>1826</v>
      </c>
      <c r="K86" t="s">
        <v>74</v>
      </c>
      <c r="L86" t="s">
        <v>74</v>
      </c>
      <c r="M86" t="s">
        <v>78</v>
      </c>
      <c r="N86" t="s">
        <v>79</v>
      </c>
      <c r="O86" t="s">
        <v>74</v>
      </c>
      <c r="P86" t="s">
        <v>74</v>
      </c>
      <c r="Q86" t="s">
        <v>74</v>
      </c>
      <c r="R86" t="s">
        <v>74</v>
      </c>
      <c r="S86" t="s">
        <v>74</v>
      </c>
      <c r="T86" t="s">
        <v>1827</v>
      </c>
      <c r="U86" t="s">
        <v>1828</v>
      </c>
      <c r="V86" t="s">
        <v>1829</v>
      </c>
      <c r="W86" t="s">
        <v>1830</v>
      </c>
      <c r="X86" t="s">
        <v>1831</v>
      </c>
      <c r="Y86" t="s">
        <v>1832</v>
      </c>
      <c r="Z86" t="s">
        <v>1833</v>
      </c>
      <c r="AA86" t="s">
        <v>1834</v>
      </c>
      <c r="AB86" t="s">
        <v>1835</v>
      </c>
      <c r="AC86" t="s">
        <v>1836</v>
      </c>
      <c r="AD86" t="s">
        <v>1837</v>
      </c>
      <c r="AE86" t="s">
        <v>1838</v>
      </c>
      <c r="AF86" t="s">
        <v>74</v>
      </c>
      <c r="AG86">
        <v>70</v>
      </c>
      <c r="AH86">
        <v>5</v>
      </c>
      <c r="AI86">
        <v>5</v>
      </c>
      <c r="AJ86">
        <v>4</v>
      </c>
      <c r="AK86">
        <v>14</v>
      </c>
      <c r="AL86" t="s">
        <v>557</v>
      </c>
      <c r="AM86" t="s">
        <v>558</v>
      </c>
      <c r="AN86" t="s">
        <v>559</v>
      </c>
      <c r="AO86" t="s">
        <v>1839</v>
      </c>
      <c r="AP86" t="s">
        <v>1840</v>
      </c>
      <c r="AQ86" t="s">
        <v>74</v>
      </c>
      <c r="AR86" t="s">
        <v>1841</v>
      </c>
      <c r="AS86" t="s">
        <v>1842</v>
      </c>
      <c r="AT86" t="s">
        <v>535</v>
      </c>
      <c r="AU86">
        <v>2021</v>
      </c>
      <c r="AV86">
        <v>51</v>
      </c>
      <c r="AW86">
        <v>8</v>
      </c>
      <c r="AX86" t="s">
        <v>74</v>
      </c>
      <c r="AY86" t="s">
        <v>74</v>
      </c>
      <c r="AZ86" t="s">
        <v>74</v>
      </c>
      <c r="BA86" t="s">
        <v>74</v>
      </c>
      <c r="BB86">
        <v>2443</v>
      </c>
      <c r="BC86">
        <v>2462</v>
      </c>
      <c r="BD86" t="s">
        <v>74</v>
      </c>
      <c r="BE86" t="s">
        <v>1843</v>
      </c>
      <c r="BF86" t="str">
        <f>HYPERLINK("http://dx.doi.org/10.1175/JPO-D-21-0008.1","http://dx.doi.org/10.1175/JPO-D-21-0008.1")</f>
        <v>http://dx.doi.org/10.1175/JPO-D-21-0008.1</v>
      </c>
      <c r="BG86" t="s">
        <v>74</v>
      </c>
      <c r="BH86" t="s">
        <v>74</v>
      </c>
      <c r="BI86">
        <v>20</v>
      </c>
      <c r="BJ86" t="s">
        <v>1134</v>
      </c>
      <c r="BK86" t="s">
        <v>128</v>
      </c>
      <c r="BL86" t="s">
        <v>1134</v>
      </c>
      <c r="BM86" t="s">
        <v>1844</v>
      </c>
      <c r="BN86" t="s">
        <v>74</v>
      </c>
      <c r="BO86" t="s">
        <v>1845</v>
      </c>
      <c r="BP86" t="s">
        <v>74</v>
      </c>
      <c r="BQ86" t="s">
        <v>74</v>
      </c>
      <c r="BR86" t="s">
        <v>102</v>
      </c>
      <c r="BS86" t="s">
        <v>1846</v>
      </c>
      <c r="BT86" t="str">
        <f>HYPERLINK("https%3A%2F%2Fwww.webofscience.com%2Fwos%2Fwoscc%2Ffull-record%2FWOS:000686012200003","View Full Record in Web of Science")</f>
        <v>View Full Record in Web of Science</v>
      </c>
    </row>
    <row r="87" spans="1:72" x14ac:dyDescent="0.15">
      <c r="A87" t="s">
        <v>72</v>
      </c>
      <c r="B87" t="s">
        <v>1847</v>
      </c>
      <c r="C87" t="s">
        <v>74</v>
      </c>
      <c r="D87" t="s">
        <v>74</v>
      </c>
      <c r="E87" t="s">
        <v>74</v>
      </c>
      <c r="F87" t="s">
        <v>1848</v>
      </c>
      <c r="G87" t="s">
        <v>74</v>
      </c>
      <c r="H87" t="s">
        <v>74</v>
      </c>
      <c r="I87" t="s">
        <v>1849</v>
      </c>
      <c r="J87" t="s">
        <v>1826</v>
      </c>
      <c r="K87" t="s">
        <v>74</v>
      </c>
      <c r="L87" t="s">
        <v>74</v>
      </c>
      <c r="M87" t="s">
        <v>78</v>
      </c>
      <c r="N87" t="s">
        <v>79</v>
      </c>
      <c r="O87" t="s">
        <v>74</v>
      </c>
      <c r="P87" t="s">
        <v>74</v>
      </c>
      <c r="Q87" t="s">
        <v>74</v>
      </c>
      <c r="R87" t="s">
        <v>74</v>
      </c>
      <c r="S87" t="s">
        <v>74</v>
      </c>
      <c r="T87" t="s">
        <v>1850</v>
      </c>
      <c r="U87" t="s">
        <v>1851</v>
      </c>
      <c r="V87" t="s">
        <v>1852</v>
      </c>
      <c r="W87" t="s">
        <v>1853</v>
      </c>
      <c r="X87" t="s">
        <v>1854</v>
      </c>
      <c r="Y87" t="s">
        <v>1855</v>
      </c>
      <c r="Z87" t="s">
        <v>1856</v>
      </c>
      <c r="AA87" t="s">
        <v>74</v>
      </c>
      <c r="AB87" t="s">
        <v>1857</v>
      </c>
      <c r="AC87" t="s">
        <v>1858</v>
      </c>
      <c r="AD87" t="s">
        <v>1859</v>
      </c>
      <c r="AE87" t="s">
        <v>1860</v>
      </c>
      <c r="AF87" t="s">
        <v>74</v>
      </c>
      <c r="AG87">
        <v>95</v>
      </c>
      <c r="AH87">
        <v>8</v>
      </c>
      <c r="AI87">
        <v>9</v>
      </c>
      <c r="AJ87">
        <v>2</v>
      </c>
      <c r="AK87">
        <v>13</v>
      </c>
      <c r="AL87" t="s">
        <v>557</v>
      </c>
      <c r="AM87" t="s">
        <v>558</v>
      </c>
      <c r="AN87" t="s">
        <v>559</v>
      </c>
      <c r="AO87" t="s">
        <v>1839</v>
      </c>
      <c r="AP87" t="s">
        <v>1840</v>
      </c>
      <c r="AQ87" t="s">
        <v>74</v>
      </c>
      <c r="AR87" t="s">
        <v>1841</v>
      </c>
      <c r="AS87" t="s">
        <v>1842</v>
      </c>
      <c r="AT87" t="s">
        <v>535</v>
      </c>
      <c r="AU87">
        <v>2021</v>
      </c>
      <c r="AV87">
        <v>51</v>
      </c>
      <c r="AW87">
        <v>8</v>
      </c>
      <c r="AX87" t="s">
        <v>74</v>
      </c>
      <c r="AY87" t="s">
        <v>74</v>
      </c>
      <c r="AZ87" t="s">
        <v>74</v>
      </c>
      <c r="BA87" t="s">
        <v>74</v>
      </c>
      <c r="BB87">
        <v>2617</v>
      </c>
      <c r="BC87">
        <v>2638</v>
      </c>
      <c r="BD87" t="s">
        <v>74</v>
      </c>
      <c r="BE87" t="s">
        <v>1861</v>
      </c>
      <c r="BF87" t="str">
        <f>HYPERLINK("http://dx.doi.org/10.1175/JPO-D-20-0189.1","http://dx.doi.org/10.1175/JPO-D-20-0189.1")</f>
        <v>http://dx.doi.org/10.1175/JPO-D-20-0189.1</v>
      </c>
      <c r="BG87" t="s">
        <v>74</v>
      </c>
      <c r="BH87" t="s">
        <v>74</v>
      </c>
      <c r="BI87">
        <v>22</v>
      </c>
      <c r="BJ87" t="s">
        <v>1134</v>
      </c>
      <c r="BK87" t="s">
        <v>128</v>
      </c>
      <c r="BL87" t="s">
        <v>1134</v>
      </c>
      <c r="BM87" t="s">
        <v>1844</v>
      </c>
      <c r="BN87" t="s">
        <v>74</v>
      </c>
      <c r="BO87" t="s">
        <v>238</v>
      </c>
      <c r="BP87" t="s">
        <v>74</v>
      </c>
      <c r="BQ87" t="s">
        <v>74</v>
      </c>
      <c r="BR87" t="s">
        <v>102</v>
      </c>
      <c r="BS87" t="s">
        <v>1862</v>
      </c>
      <c r="BT87" t="str">
        <f>HYPERLINK("https%3A%2F%2Fwww.webofscience.com%2Fwos%2Fwoscc%2Ffull-record%2FWOS:000686012200013","View Full Record in Web of Science")</f>
        <v>View Full Record in Web of Science</v>
      </c>
    </row>
    <row r="88" spans="1:72" x14ac:dyDescent="0.15">
      <c r="A88" t="s">
        <v>72</v>
      </c>
      <c r="B88" t="s">
        <v>1863</v>
      </c>
      <c r="C88" t="s">
        <v>74</v>
      </c>
      <c r="D88" t="s">
        <v>74</v>
      </c>
      <c r="E88" t="s">
        <v>74</v>
      </c>
      <c r="F88" t="s">
        <v>1864</v>
      </c>
      <c r="G88" t="s">
        <v>74</v>
      </c>
      <c r="H88" t="s">
        <v>74</v>
      </c>
      <c r="I88" t="s">
        <v>1865</v>
      </c>
      <c r="J88" t="s">
        <v>1866</v>
      </c>
      <c r="K88" t="s">
        <v>74</v>
      </c>
      <c r="L88" t="s">
        <v>74</v>
      </c>
      <c r="M88" t="s">
        <v>78</v>
      </c>
      <c r="N88" t="s">
        <v>79</v>
      </c>
      <c r="O88" t="s">
        <v>74</v>
      </c>
      <c r="P88" t="s">
        <v>74</v>
      </c>
      <c r="Q88" t="s">
        <v>74</v>
      </c>
      <c r="R88" t="s">
        <v>74</v>
      </c>
      <c r="S88" t="s">
        <v>74</v>
      </c>
      <c r="T88" t="s">
        <v>1867</v>
      </c>
      <c r="U88" t="s">
        <v>1868</v>
      </c>
      <c r="V88" t="s">
        <v>1869</v>
      </c>
      <c r="W88" t="s">
        <v>1870</v>
      </c>
      <c r="X88" t="s">
        <v>1871</v>
      </c>
      <c r="Y88" t="s">
        <v>1872</v>
      </c>
      <c r="Z88" t="s">
        <v>1873</v>
      </c>
      <c r="AA88" t="s">
        <v>1874</v>
      </c>
      <c r="AB88" t="s">
        <v>1875</v>
      </c>
      <c r="AC88" t="s">
        <v>1876</v>
      </c>
      <c r="AD88" t="s">
        <v>1876</v>
      </c>
      <c r="AE88" t="s">
        <v>1877</v>
      </c>
      <c r="AF88" t="s">
        <v>74</v>
      </c>
      <c r="AG88">
        <v>84</v>
      </c>
      <c r="AH88">
        <v>3</v>
      </c>
      <c r="AI88">
        <v>3</v>
      </c>
      <c r="AJ88">
        <v>0</v>
      </c>
      <c r="AK88">
        <v>7</v>
      </c>
      <c r="AL88" t="s">
        <v>89</v>
      </c>
      <c r="AM88" t="s">
        <v>90</v>
      </c>
      <c r="AN88" t="s">
        <v>91</v>
      </c>
      <c r="AO88" t="s">
        <v>1878</v>
      </c>
      <c r="AP88" t="s">
        <v>74</v>
      </c>
      <c r="AQ88" t="s">
        <v>74</v>
      </c>
      <c r="AR88" t="s">
        <v>1879</v>
      </c>
      <c r="AS88" t="s">
        <v>1880</v>
      </c>
      <c r="AT88" t="s">
        <v>535</v>
      </c>
      <c r="AU88">
        <v>2021</v>
      </c>
      <c r="AV88">
        <v>28</v>
      </c>
      <c r="AW88" t="s">
        <v>74</v>
      </c>
      <c r="AX88" t="s">
        <v>74</v>
      </c>
      <c r="AY88" t="s">
        <v>74</v>
      </c>
      <c r="AZ88" t="s">
        <v>74</v>
      </c>
      <c r="BA88" t="s">
        <v>74</v>
      </c>
      <c r="BB88" t="s">
        <v>74</v>
      </c>
      <c r="BC88" t="s">
        <v>74</v>
      </c>
      <c r="BD88" t="s">
        <v>1881</v>
      </c>
      <c r="BE88" t="s">
        <v>1882</v>
      </c>
      <c r="BF88" t="str">
        <f>HYPERLINK("http://dx.doi.org/10.1016/j.gecco.2021.e01669","http://dx.doi.org/10.1016/j.gecco.2021.e01669")</f>
        <v>http://dx.doi.org/10.1016/j.gecco.2021.e01669</v>
      </c>
      <c r="BG88" t="s">
        <v>74</v>
      </c>
      <c r="BH88" t="s">
        <v>74</v>
      </c>
      <c r="BI88">
        <v>19</v>
      </c>
      <c r="BJ88" t="s">
        <v>1883</v>
      </c>
      <c r="BK88" t="s">
        <v>128</v>
      </c>
      <c r="BL88" t="s">
        <v>207</v>
      </c>
      <c r="BM88" t="s">
        <v>1884</v>
      </c>
      <c r="BN88" t="s">
        <v>74</v>
      </c>
      <c r="BO88" t="s">
        <v>1377</v>
      </c>
      <c r="BP88" t="s">
        <v>74</v>
      </c>
      <c r="BQ88" t="s">
        <v>74</v>
      </c>
      <c r="BR88" t="s">
        <v>102</v>
      </c>
      <c r="BS88" t="s">
        <v>1885</v>
      </c>
      <c r="BT88" t="str">
        <f>HYPERLINK("https%3A%2F%2Fwww.webofscience.com%2Fwos%2Fwoscc%2Ffull-record%2FWOS:000683779400006","View Full Record in Web of Science")</f>
        <v>View Full Record in Web of Science</v>
      </c>
    </row>
    <row r="89" spans="1:72" x14ac:dyDescent="0.15">
      <c r="A89" t="s">
        <v>72</v>
      </c>
      <c r="B89" t="s">
        <v>1886</v>
      </c>
      <c r="C89" t="s">
        <v>74</v>
      </c>
      <c r="D89" t="s">
        <v>74</v>
      </c>
      <c r="E89" t="s">
        <v>74</v>
      </c>
      <c r="F89" t="s">
        <v>1887</v>
      </c>
      <c r="G89" t="s">
        <v>74</v>
      </c>
      <c r="H89" t="s">
        <v>74</v>
      </c>
      <c r="I89" t="s">
        <v>1888</v>
      </c>
      <c r="J89" t="s">
        <v>1889</v>
      </c>
      <c r="K89" t="s">
        <v>74</v>
      </c>
      <c r="L89" t="s">
        <v>74</v>
      </c>
      <c r="M89" t="s">
        <v>78</v>
      </c>
      <c r="N89" t="s">
        <v>79</v>
      </c>
      <c r="O89" t="s">
        <v>74</v>
      </c>
      <c r="P89" t="s">
        <v>74</v>
      </c>
      <c r="Q89" t="s">
        <v>74</v>
      </c>
      <c r="R89" t="s">
        <v>74</v>
      </c>
      <c r="S89" t="s">
        <v>74</v>
      </c>
      <c r="T89" t="s">
        <v>74</v>
      </c>
      <c r="U89" t="s">
        <v>1890</v>
      </c>
      <c r="V89" t="s">
        <v>1891</v>
      </c>
      <c r="W89" t="s">
        <v>1892</v>
      </c>
      <c r="X89" t="s">
        <v>1893</v>
      </c>
      <c r="Y89" t="s">
        <v>1894</v>
      </c>
      <c r="Z89" t="s">
        <v>1895</v>
      </c>
      <c r="AA89" t="s">
        <v>74</v>
      </c>
      <c r="AB89" t="s">
        <v>74</v>
      </c>
      <c r="AC89" t="s">
        <v>74</v>
      </c>
      <c r="AD89" t="s">
        <v>74</v>
      </c>
      <c r="AE89" t="s">
        <v>74</v>
      </c>
      <c r="AF89" t="s">
        <v>74</v>
      </c>
      <c r="AG89">
        <v>28</v>
      </c>
      <c r="AH89">
        <v>2</v>
      </c>
      <c r="AI89">
        <v>2</v>
      </c>
      <c r="AJ89">
        <v>0</v>
      </c>
      <c r="AK89">
        <v>5</v>
      </c>
      <c r="AL89" t="s">
        <v>1896</v>
      </c>
      <c r="AM89" t="s">
        <v>1897</v>
      </c>
      <c r="AN89" t="s">
        <v>1898</v>
      </c>
      <c r="AO89" t="s">
        <v>1899</v>
      </c>
      <c r="AP89" t="s">
        <v>1900</v>
      </c>
      <c r="AQ89" t="s">
        <v>74</v>
      </c>
      <c r="AR89" t="s">
        <v>1901</v>
      </c>
      <c r="AS89" t="s">
        <v>1902</v>
      </c>
      <c r="AT89" t="s">
        <v>535</v>
      </c>
      <c r="AU89">
        <v>2021</v>
      </c>
      <c r="AV89">
        <v>97</v>
      </c>
      <c r="AW89">
        <v>8</v>
      </c>
      <c r="AX89" t="s">
        <v>74</v>
      </c>
      <c r="AY89" t="s">
        <v>74</v>
      </c>
      <c r="AZ89" t="s">
        <v>74</v>
      </c>
      <c r="BA89" t="s">
        <v>74</v>
      </c>
      <c r="BB89">
        <v>915</v>
      </c>
      <c r="BC89">
        <v>922</v>
      </c>
      <c r="BD89" t="s">
        <v>74</v>
      </c>
      <c r="BE89" t="s">
        <v>1903</v>
      </c>
      <c r="BF89" t="str">
        <f>HYPERLINK("http://dx.doi.org/10.1007/s12594-021-1791-2","http://dx.doi.org/10.1007/s12594-021-1791-2")</f>
        <v>http://dx.doi.org/10.1007/s12594-021-1791-2</v>
      </c>
      <c r="BG89" t="s">
        <v>74</v>
      </c>
      <c r="BH89" t="s">
        <v>74</v>
      </c>
      <c r="BI89">
        <v>8</v>
      </c>
      <c r="BJ89" t="s">
        <v>405</v>
      </c>
      <c r="BK89" t="s">
        <v>128</v>
      </c>
      <c r="BL89" t="s">
        <v>406</v>
      </c>
      <c r="BM89" t="s">
        <v>1904</v>
      </c>
      <c r="BN89" t="s">
        <v>74</v>
      </c>
      <c r="BO89" t="s">
        <v>74</v>
      </c>
      <c r="BP89" t="s">
        <v>74</v>
      </c>
      <c r="BQ89" t="s">
        <v>74</v>
      </c>
      <c r="BR89" t="s">
        <v>102</v>
      </c>
      <c r="BS89" t="s">
        <v>1905</v>
      </c>
      <c r="BT89" t="str">
        <f>HYPERLINK("https%3A%2F%2Fwww.webofscience.com%2Fwos%2Fwoscc%2Ffull-record%2FWOS:000682666300012","View Full Record in Web of Science")</f>
        <v>View Full Record in Web of Science</v>
      </c>
    </row>
    <row r="90" spans="1:72" x14ac:dyDescent="0.15">
      <c r="A90" t="s">
        <v>72</v>
      </c>
      <c r="B90" t="s">
        <v>1906</v>
      </c>
      <c r="C90" t="s">
        <v>74</v>
      </c>
      <c r="D90" t="s">
        <v>74</v>
      </c>
      <c r="E90" t="s">
        <v>74</v>
      </c>
      <c r="F90" t="s">
        <v>1907</v>
      </c>
      <c r="G90" t="s">
        <v>74</v>
      </c>
      <c r="H90" t="s">
        <v>74</v>
      </c>
      <c r="I90" t="s">
        <v>1908</v>
      </c>
      <c r="J90" t="s">
        <v>1404</v>
      </c>
      <c r="K90" t="s">
        <v>74</v>
      </c>
      <c r="L90" t="s">
        <v>74</v>
      </c>
      <c r="M90" t="s">
        <v>78</v>
      </c>
      <c r="N90" t="s">
        <v>79</v>
      </c>
      <c r="O90" t="s">
        <v>74</v>
      </c>
      <c r="P90" t="s">
        <v>74</v>
      </c>
      <c r="Q90" t="s">
        <v>74</v>
      </c>
      <c r="R90" t="s">
        <v>74</v>
      </c>
      <c r="S90" t="s">
        <v>74</v>
      </c>
      <c r="T90" t="s">
        <v>1909</v>
      </c>
      <c r="U90" t="s">
        <v>1910</v>
      </c>
      <c r="V90" t="s">
        <v>1911</v>
      </c>
      <c r="W90" t="s">
        <v>1912</v>
      </c>
      <c r="X90" t="s">
        <v>1913</v>
      </c>
      <c r="Y90" t="s">
        <v>1914</v>
      </c>
      <c r="Z90" t="s">
        <v>1915</v>
      </c>
      <c r="AA90" t="s">
        <v>74</v>
      </c>
      <c r="AB90" t="s">
        <v>1916</v>
      </c>
      <c r="AC90" t="s">
        <v>74</v>
      </c>
      <c r="AD90" t="s">
        <v>74</v>
      </c>
      <c r="AE90" t="s">
        <v>74</v>
      </c>
      <c r="AF90" t="s">
        <v>74</v>
      </c>
      <c r="AG90">
        <v>40</v>
      </c>
      <c r="AH90">
        <v>0</v>
      </c>
      <c r="AI90">
        <v>0</v>
      </c>
      <c r="AJ90">
        <v>3</v>
      </c>
      <c r="AK90">
        <v>32</v>
      </c>
      <c r="AL90" t="s">
        <v>1101</v>
      </c>
      <c r="AM90" t="s">
        <v>1102</v>
      </c>
      <c r="AN90" t="s">
        <v>1103</v>
      </c>
      <c r="AO90" t="s">
        <v>74</v>
      </c>
      <c r="AP90" t="s">
        <v>1417</v>
      </c>
      <c r="AQ90" t="s">
        <v>74</v>
      </c>
      <c r="AR90" t="s">
        <v>1418</v>
      </c>
      <c r="AS90" t="s">
        <v>1419</v>
      </c>
      <c r="AT90" t="s">
        <v>535</v>
      </c>
      <c r="AU90">
        <v>2021</v>
      </c>
      <c r="AV90">
        <v>13</v>
      </c>
      <c r="AW90">
        <v>15</v>
      </c>
      <c r="AX90" t="s">
        <v>74</v>
      </c>
      <c r="AY90" t="s">
        <v>74</v>
      </c>
      <c r="AZ90" t="s">
        <v>74</v>
      </c>
      <c r="BA90" t="s">
        <v>74</v>
      </c>
      <c r="BB90" t="s">
        <v>74</v>
      </c>
      <c r="BC90" t="s">
        <v>74</v>
      </c>
      <c r="BD90">
        <v>2854</v>
      </c>
      <c r="BE90" t="s">
        <v>1917</v>
      </c>
      <c r="BF90" t="str">
        <f>HYPERLINK("http://dx.doi.org/10.3390/rs13152854","http://dx.doi.org/10.3390/rs13152854")</f>
        <v>http://dx.doi.org/10.3390/rs13152854</v>
      </c>
      <c r="BG90" t="s">
        <v>74</v>
      </c>
      <c r="BH90" t="s">
        <v>74</v>
      </c>
      <c r="BI90">
        <v>16</v>
      </c>
      <c r="BJ90" t="s">
        <v>1421</v>
      </c>
      <c r="BK90" t="s">
        <v>128</v>
      </c>
      <c r="BL90" t="s">
        <v>1422</v>
      </c>
      <c r="BM90" t="s">
        <v>1918</v>
      </c>
      <c r="BN90" t="s">
        <v>74</v>
      </c>
      <c r="BO90" t="s">
        <v>238</v>
      </c>
      <c r="BP90" t="s">
        <v>74</v>
      </c>
      <c r="BQ90" t="s">
        <v>74</v>
      </c>
      <c r="BR90" t="s">
        <v>102</v>
      </c>
      <c r="BS90" t="s">
        <v>1919</v>
      </c>
      <c r="BT90" t="str">
        <f>HYPERLINK("https%3A%2F%2Fwww.webofscience.com%2Fwos%2Fwoscc%2Ffull-record%2FWOS:000682308100001","View Full Record in Web of Science")</f>
        <v>View Full Record in Web of Science</v>
      </c>
    </row>
    <row r="91" spans="1:72" x14ac:dyDescent="0.15">
      <c r="A91" t="s">
        <v>72</v>
      </c>
      <c r="B91" t="s">
        <v>1920</v>
      </c>
      <c r="C91" t="s">
        <v>74</v>
      </c>
      <c r="D91" t="s">
        <v>74</v>
      </c>
      <c r="E91" t="s">
        <v>74</v>
      </c>
      <c r="F91" t="s">
        <v>1921</v>
      </c>
      <c r="G91" t="s">
        <v>74</v>
      </c>
      <c r="H91" t="s">
        <v>74</v>
      </c>
      <c r="I91" t="s">
        <v>1922</v>
      </c>
      <c r="J91" t="s">
        <v>1923</v>
      </c>
      <c r="K91" t="s">
        <v>74</v>
      </c>
      <c r="L91" t="s">
        <v>74</v>
      </c>
      <c r="M91" t="s">
        <v>78</v>
      </c>
      <c r="N91" t="s">
        <v>79</v>
      </c>
      <c r="O91" t="s">
        <v>74</v>
      </c>
      <c r="P91" t="s">
        <v>74</v>
      </c>
      <c r="Q91" t="s">
        <v>74</v>
      </c>
      <c r="R91" t="s">
        <v>74</v>
      </c>
      <c r="S91" t="s">
        <v>74</v>
      </c>
      <c r="T91" t="s">
        <v>1924</v>
      </c>
      <c r="U91" t="s">
        <v>1925</v>
      </c>
      <c r="V91" t="s">
        <v>1926</v>
      </c>
      <c r="W91" t="s">
        <v>1927</v>
      </c>
      <c r="X91" t="s">
        <v>1928</v>
      </c>
      <c r="Y91" t="s">
        <v>1929</v>
      </c>
      <c r="Z91" t="s">
        <v>1930</v>
      </c>
      <c r="AA91" t="s">
        <v>1931</v>
      </c>
      <c r="AB91" t="s">
        <v>1932</v>
      </c>
      <c r="AC91" t="s">
        <v>74</v>
      </c>
      <c r="AD91" t="s">
        <v>74</v>
      </c>
      <c r="AE91" t="s">
        <v>74</v>
      </c>
      <c r="AF91" t="s">
        <v>74</v>
      </c>
      <c r="AG91">
        <v>44</v>
      </c>
      <c r="AH91">
        <v>4</v>
      </c>
      <c r="AI91">
        <v>4</v>
      </c>
      <c r="AJ91">
        <v>1</v>
      </c>
      <c r="AK91">
        <v>12</v>
      </c>
      <c r="AL91" t="s">
        <v>628</v>
      </c>
      <c r="AM91" t="s">
        <v>629</v>
      </c>
      <c r="AN91" t="s">
        <v>1933</v>
      </c>
      <c r="AO91" t="s">
        <v>1934</v>
      </c>
      <c r="AP91" t="s">
        <v>1935</v>
      </c>
      <c r="AQ91" t="s">
        <v>74</v>
      </c>
      <c r="AR91" t="s">
        <v>1936</v>
      </c>
      <c r="AS91" t="s">
        <v>1937</v>
      </c>
      <c r="AT91" t="s">
        <v>535</v>
      </c>
      <c r="AU91">
        <v>2021</v>
      </c>
      <c r="AV91">
        <v>64</v>
      </c>
      <c r="AW91">
        <v>8</v>
      </c>
      <c r="AX91" t="s">
        <v>74</v>
      </c>
      <c r="AY91" t="s">
        <v>74</v>
      </c>
      <c r="AZ91" t="s">
        <v>74</v>
      </c>
      <c r="BA91" t="s">
        <v>74</v>
      </c>
      <c r="BB91">
        <v>1332</v>
      </c>
      <c r="BC91">
        <v>1345</v>
      </c>
      <c r="BD91" t="s">
        <v>74</v>
      </c>
      <c r="BE91" t="s">
        <v>1938</v>
      </c>
      <c r="BF91" t="str">
        <f>HYPERLINK("http://dx.doi.org/10.1007/s11430-020-9729-6","http://dx.doi.org/10.1007/s11430-020-9729-6")</f>
        <v>http://dx.doi.org/10.1007/s11430-020-9729-6</v>
      </c>
      <c r="BG91" t="s">
        <v>74</v>
      </c>
      <c r="BH91" t="s">
        <v>74</v>
      </c>
      <c r="BI91">
        <v>14</v>
      </c>
      <c r="BJ91" t="s">
        <v>405</v>
      </c>
      <c r="BK91" t="s">
        <v>128</v>
      </c>
      <c r="BL91" t="s">
        <v>406</v>
      </c>
      <c r="BM91" t="s">
        <v>1939</v>
      </c>
      <c r="BN91" t="s">
        <v>74</v>
      </c>
      <c r="BO91" t="s">
        <v>74</v>
      </c>
      <c r="BP91" t="s">
        <v>74</v>
      </c>
      <c r="BQ91" t="s">
        <v>74</v>
      </c>
      <c r="BR91" t="s">
        <v>102</v>
      </c>
      <c r="BS91" t="s">
        <v>1940</v>
      </c>
      <c r="BT91" t="str">
        <f>HYPERLINK("https%3A%2F%2Fwww.webofscience.com%2Fwos%2Fwoscc%2Ffull-record%2FWOS:000680582500009","View Full Record in Web of Science")</f>
        <v>View Full Record in Web of Science</v>
      </c>
    </row>
    <row r="92" spans="1:72" x14ac:dyDescent="0.15">
      <c r="A92" t="s">
        <v>72</v>
      </c>
      <c r="B92" t="s">
        <v>1941</v>
      </c>
      <c r="C92" t="s">
        <v>74</v>
      </c>
      <c r="D92" t="s">
        <v>74</v>
      </c>
      <c r="E92" t="s">
        <v>74</v>
      </c>
      <c r="F92" t="s">
        <v>1942</v>
      </c>
      <c r="G92" t="s">
        <v>74</v>
      </c>
      <c r="H92" t="s">
        <v>74</v>
      </c>
      <c r="I92" t="s">
        <v>1943</v>
      </c>
      <c r="J92" t="s">
        <v>1944</v>
      </c>
      <c r="K92" t="s">
        <v>74</v>
      </c>
      <c r="L92" t="s">
        <v>74</v>
      </c>
      <c r="M92" t="s">
        <v>78</v>
      </c>
      <c r="N92" t="s">
        <v>79</v>
      </c>
      <c r="O92" t="s">
        <v>74</v>
      </c>
      <c r="P92" t="s">
        <v>74</v>
      </c>
      <c r="Q92" t="s">
        <v>74</v>
      </c>
      <c r="R92" t="s">
        <v>74</v>
      </c>
      <c r="S92" t="s">
        <v>74</v>
      </c>
      <c r="T92" t="s">
        <v>1945</v>
      </c>
      <c r="U92" t="s">
        <v>1946</v>
      </c>
      <c r="V92" t="s">
        <v>1947</v>
      </c>
      <c r="W92" t="s">
        <v>1948</v>
      </c>
      <c r="X92" t="s">
        <v>1949</v>
      </c>
      <c r="Y92" t="s">
        <v>1950</v>
      </c>
      <c r="Z92" t="s">
        <v>1951</v>
      </c>
      <c r="AA92" t="s">
        <v>1952</v>
      </c>
      <c r="AB92" t="s">
        <v>1953</v>
      </c>
      <c r="AC92" t="s">
        <v>1954</v>
      </c>
      <c r="AD92" t="s">
        <v>1955</v>
      </c>
      <c r="AE92" t="s">
        <v>1956</v>
      </c>
      <c r="AF92" t="s">
        <v>74</v>
      </c>
      <c r="AG92">
        <v>18</v>
      </c>
      <c r="AH92">
        <v>0</v>
      </c>
      <c r="AI92">
        <v>0</v>
      </c>
      <c r="AJ92">
        <v>0</v>
      </c>
      <c r="AK92">
        <v>3</v>
      </c>
      <c r="AL92" t="s">
        <v>450</v>
      </c>
      <c r="AM92" t="s">
        <v>650</v>
      </c>
      <c r="AN92" t="s">
        <v>1957</v>
      </c>
      <c r="AO92" t="s">
        <v>1958</v>
      </c>
      <c r="AP92" t="s">
        <v>1959</v>
      </c>
      <c r="AQ92" t="s">
        <v>74</v>
      </c>
      <c r="AR92" t="s">
        <v>1960</v>
      </c>
      <c r="AS92" t="s">
        <v>1961</v>
      </c>
      <c r="AT92" t="s">
        <v>535</v>
      </c>
      <c r="AU92">
        <v>2021</v>
      </c>
      <c r="AV92">
        <v>95</v>
      </c>
      <c r="AW92">
        <v>8</v>
      </c>
      <c r="AX92" t="s">
        <v>74</v>
      </c>
      <c r="AY92" t="s">
        <v>74</v>
      </c>
      <c r="AZ92" t="s">
        <v>74</v>
      </c>
      <c r="BA92" t="s">
        <v>74</v>
      </c>
      <c r="BB92" t="s">
        <v>74</v>
      </c>
      <c r="BC92" t="s">
        <v>74</v>
      </c>
      <c r="BD92">
        <v>94</v>
      </c>
      <c r="BE92" t="s">
        <v>1962</v>
      </c>
      <c r="BF92" t="str">
        <f>HYPERLINK("http://dx.doi.org/10.1007/s00190-021-01540-6","http://dx.doi.org/10.1007/s00190-021-01540-6")</f>
        <v>http://dx.doi.org/10.1007/s00190-021-01540-6</v>
      </c>
      <c r="BG92" t="s">
        <v>74</v>
      </c>
      <c r="BH92" t="s">
        <v>74</v>
      </c>
      <c r="BI92">
        <v>16</v>
      </c>
      <c r="BJ92" t="s">
        <v>1963</v>
      </c>
      <c r="BK92" t="s">
        <v>128</v>
      </c>
      <c r="BL92" t="s">
        <v>1963</v>
      </c>
      <c r="BM92" t="s">
        <v>1964</v>
      </c>
      <c r="BN92" t="s">
        <v>74</v>
      </c>
      <c r="BO92" t="s">
        <v>1154</v>
      </c>
      <c r="BP92" t="s">
        <v>74</v>
      </c>
      <c r="BQ92" t="s">
        <v>74</v>
      </c>
      <c r="BR92" t="s">
        <v>102</v>
      </c>
      <c r="BS92" t="s">
        <v>1965</v>
      </c>
      <c r="BT92" t="str">
        <f>HYPERLINK("https%3A%2F%2Fwww.webofscience.com%2Fwos%2Fwoscc%2Ffull-record%2FWOS:000679791800001","View Full Record in Web of Science")</f>
        <v>View Full Record in Web of Science</v>
      </c>
    </row>
    <row r="93" spans="1:72" x14ac:dyDescent="0.15">
      <c r="A93" t="s">
        <v>72</v>
      </c>
      <c r="B93" t="s">
        <v>1966</v>
      </c>
      <c r="C93" t="s">
        <v>74</v>
      </c>
      <c r="D93" t="s">
        <v>74</v>
      </c>
      <c r="E93" t="s">
        <v>74</v>
      </c>
      <c r="F93" t="s">
        <v>1967</v>
      </c>
      <c r="G93" t="s">
        <v>74</v>
      </c>
      <c r="H93" t="s">
        <v>74</v>
      </c>
      <c r="I93" t="s">
        <v>1968</v>
      </c>
      <c r="J93" t="s">
        <v>1969</v>
      </c>
      <c r="K93" t="s">
        <v>74</v>
      </c>
      <c r="L93" t="s">
        <v>74</v>
      </c>
      <c r="M93" t="s">
        <v>78</v>
      </c>
      <c r="N93" t="s">
        <v>79</v>
      </c>
      <c r="O93" t="s">
        <v>74</v>
      </c>
      <c r="P93" t="s">
        <v>74</v>
      </c>
      <c r="Q93" t="s">
        <v>74</v>
      </c>
      <c r="R93" t="s">
        <v>74</v>
      </c>
      <c r="S93" t="s">
        <v>74</v>
      </c>
      <c r="T93" t="s">
        <v>74</v>
      </c>
      <c r="U93" t="s">
        <v>1970</v>
      </c>
      <c r="V93" t="s">
        <v>1971</v>
      </c>
      <c r="W93" t="s">
        <v>1972</v>
      </c>
      <c r="X93" t="s">
        <v>1973</v>
      </c>
      <c r="Y93" t="s">
        <v>1974</v>
      </c>
      <c r="Z93" t="s">
        <v>74</v>
      </c>
      <c r="AA93" t="s">
        <v>1975</v>
      </c>
      <c r="AB93" t="s">
        <v>1976</v>
      </c>
      <c r="AC93" t="s">
        <v>1977</v>
      </c>
      <c r="AD93" t="s">
        <v>1978</v>
      </c>
      <c r="AE93" t="s">
        <v>1979</v>
      </c>
      <c r="AF93" t="s">
        <v>74</v>
      </c>
      <c r="AG93">
        <v>33</v>
      </c>
      <c r="AH93">
        <v>11</v>
      </c>
      <c r="AI93">
        <v>11</v>
      </c>
      <c r="AJ93">
        <v>1</v>
      </c>
      <c r="AK93">
        <v>6</v>
      </c>
      <c r="AL93" t="s">
        <v>1980</v>
      </c>
      <c r="AM93" t="s">
        <v>1981</v>
      </c>
      <c r="AN93" t="s">
        <v>1982</v>
      </c>
      <c r="AO93" t="s">
        <v>1983</v>
      </c>
      <c r="AP93" t="s">
        <v>1984</v>
      </c>
      <c r="AQ93" t="s">
        <v>74</v>
      </c>
      <c r="AR93" t="s">
        <v>1969</v>
      </c>
      <c r="AS93" t="s">
        <v>406</v>
      </c>
      <c r="AT93" t="s">
        <v>333</v>
      </c>
      <c r="AU93">
        <v>2021</v>
      </c>
      <c r="AV93">
        <v>49</v>
      </c>
      <c r="AW93">
        <v>8</v>
      </c>
      <c r="AX93" t="s">
        <v>74</v>
      </c>
      <c r="AY93" t="s">
        <v>74</v>
      </c>
      <c r="AZ93" t="s">
        <v>74</v>
      </c>
      <c r="BA93" t="s">
        <v>74</v>
      </c>
      <c r="BB93">
        <v>978</v>
      </c>
      <c r="BC93">
        <v>982</v>
      </c>
      <c r="BD93" t="s">
        <v>74</v>
      </c>
      <c r="BE93" t="s">
        <v>1985</v>
      </c>
      <c r="BF93" t="str">
        <f>HYPERLINK("http://dx.doi.org/10.1130/G48503.1","http://dx.doi.org/10.1130/G48503.1")</f>
        <v>http://dx.doi.org/10.1130/G48503.1</v>
      </c>
      <c r="BG93" t="s">
        <v>74</v>
      </c>
      <c r="BH93" t="s">
        <v>74</v>
      </c>
      <c r="BI93">
        <v>5</v>
      </c>
      <c r="BJ93" t="s">
        <v>406</v>
      </c>
      <c r="BK93" t="s">
        <v>128</v>
      </c>
      <c r="BL93" t="s">
        <v>406</v>
      </c>
      <c r="BM93" t="s">
        <v>1986</v>
      </c>
      <c r="BN93" t="s">
        <v>74</v>
      </c>
      <c r="BO93" t="s">
        <v>1770</v>
      </c>
      <c r="BP93" t="s">
        <v>74</v>
      </c>
      <c r="BQ93" t="s">
        <v>74</v>
      </c>
      <c r="BR93" t="s">
        <v>102</v>
      </c>
      <c r="BS93" t="s">
        <v>1987</v>
      </c>
      <c r="BT93" t="str">
        <f>HYPERLINK("https%3A%2F%2Fwww.webofscience.com%2Fwos%2Fwoscc%2Ffull-record%2FWOS:000678401400019","View Full Record in Web of Science")</f>
        <v>View Full Record in Web of Science</v>
      </c>
    </row>
    <row r="94" spans="1:72" x14ac:dyDescent="0.15">
      <c r="A94" t="s">
        <v>72</v>
      </c>
      <c r="B94" t="s">
        <v>1988</v>
      </c>
      <c r="C94" t="s">
        <v>74</v>
      </c>
      <c r="D94" t="s">
        <v>74</v>
      </c>
      <c r="E94" t="s">
        <v>74</v>
      </c>
      <c r="F94" t="s">
        <v>1989</v>
      </c>
      <c r="G94" t="s">
        <v>74</v>
      </c>
      <c r="H94" t="s">
        <v>74</v>
      </c>
      <c r="I94" t="s">
        <v>1990</v>
      </c>
      <c r="J94" t="s">
        <v>1991</v>
      </c>
      <c r="K94" t="s">
        <v>74</v>
      </c>
      <c r="L94" t="s">
        <v>74</v>
      </c>
      <c r="M94" t="s">
        <v>78</v>
      </c>
      <c r="N94" t="s">
        <v>79</v>
      </c>
      <c r="O94" t="s">
        <v>74</v>
      </c>
      <c r="P94" t="s">
        <v>74</v>
      </c>
      <c r="Q94" t="s">
        <v>74</v>
      </c>
      <c r="R94" t="s">
        <v>74</v>
      </c>
      <c r="S94" t="s">
        <v>74</v>
      </c>
      <c r="T94" t="s">
        <v>1992</v>
      </c>
      <c r="U94" t="s">
        <v>1993</v>
      </c>
      <c r="V94" t="s">
        <v>1994</v>
      </c>
      <c r="W94" t="s">
        <v>1995</v>
      </c>
      <c r="X94" t="s">
        <v>1996</v>
      </c>
      <c r="Y94" t="s">
        <v>1997</v>
      </c>
      <c r="Z94" t="s">
        <v>1998</v>
      </c>
      <c r="AA94" t="s">
        <v>1999</v>
      </c>
      <c r="AB94" t="s">
        <v>2000</v>
      </c>
      <c r="AC94" t="s">
        <v>2001</v>
      </c>
      <c r="AD94" t="s">
        <v>2001</v>
      </c>
      <c r="AE94" t="s">
        <v>2002</v>
      </c>
      <c r="AF94" t="s">
        <v>74</v>
      </c>
      <c r="AG94">
        <v>77</v>
      </c>
      <c r="AH94">
        <v>6</v>
      </c>
      <c r="AI94">
        <v>6</v>
      </c>
      <c r="AJ94">
        <v>0</v>
      </c>
      <c r="AK94">
        <v>13</v>
      </c>
      <c r="AL94" t="s">
        <v>450</v>
      </c>
      <c r="AM94" t="s">
        <v>451</v>
      </c>
      <c r="AN94" t="s">
        <v>452</v>
      </c>
      <c r="AO94" t="s">
        <v>2003</v>
      </c>
      <c r="AP94" t="s">
        <v>2004</v>
      </c>
      <c r="AQ94" t="s">
        <v>74</v>
      </c>
      <c r="AR94" t="s">
        <v>2005</v>
      </c>
      <c r="AS94" t="s">
        <v>2006</v>
      </c>
      <c r="AT94" t="s">
        <v>535</v>
      </c>
      <c r="AU94">
        <v>2021</v>
      </c>
      <c r="AV94">
        <v>37</v>
      </c>
      <c r="AW94">
        <v>8</v>
      </c>
      <c r="AX94" t="s">
        <v>74</v>
      </c>
      <c r="AY94" t="s">
        <v>74</v>
      </c>
      <c r="AZ94" t="s">
        <v>74</v>
      </c>
      <c r="BA94" t="s">
        <v>74</v>
      </c>
      <c r="BB94" t="s">
        <v>74</v>
      </c>
      <c r="BC94" t="s">
        <v>74</v>
      </c>
      <c r="BD94">
        <v>142</v>
      </c>
      <c r="BE94" t="s">
        <v>2007</v>
      </c>
      <c r="BF94" t="str">
        <f>HYPERLINK("http://dx.doi.org/10.1007/s11274-021-03112-4","http://dx.doi.org/10.1007/s11274-021-03112-4")</f>
        <v>http://dx.doi.org/10.1007/s11274-021-03112-4</v>
      </c>
      <c r="BG94" t="s">
        <v>74</v>
      </c>
      <c r="BH94" t="s">
        <v>74</v>
      </c>
      <c r="BI94">
        <v>12</v>
      </c>
      <c r="BJ94" t="s">
        <v>844</v>
      </c>
      <c r="BK94" t="s">
        <v>128</v>
      </c>
      <c r="BL94" t="s">
        <v>844</v>
      </c>
      <c r="BM94" t="s">
        <v>2008</v>
      </c>
      <c r="BN94">
        <v>34322842</v>
      </c>
      <c r="BO94" t="s">
        <v>74</v>
      </c>
      <c r="BP94" t="s">
        <v>74</v>
      </c>
      <c r="BQ94" t="s">
        <v>74</v>
      </c>
      <c r="BR94" t="s">
        <v>102</v>
      </c>
      <c r="BS94" t="s">
        <v>2009</v>
      </c>
      <c r="BT94" t="str">
        <f>HYPERLINK("https%3A%2F%2Fwww.webofscience.com%2Fwos%2Fwoscc%2Ffull-record%2FWOS:000678579700001","View Full Record in Web of Science")</f>
        <v>View Full Record in Web of Science</v>
      </c>
    </row>
    <row r="95" spans="1:72" x14ac:dyDescent="0.15">
      <c r="A95" t="s">
        <v>72</v>
      </c>
      <c r="B95" t="s">
        <v>2010</v>
      </c>
      <c r="C95" t="s">
        <v>74</v>
      </c>
      <c r="D95" t="s">
        <v>74</v>
      </c>
      <c r="E95" t="s">
        <v>74</v>
      </c>
      <c r="F95" t="s">
        <v>2011</v>
      </c>
      <c r="G95" t="s">
        <v>74</v>
      </c>
      <c r="H95" t="s">
        <v>74</v>
      </c>
      <c r="I95" t="s">
        <v>2012</v>
      </c>
      <c r="J95" t="s">
        <v>2013</v>
      </c>
      <c r="K95" t="s">
        <v>74</v>
      </c>
      <c r="L95" t="s">
        <v>74</v>
      </c>
      <c r="M95" t="s">
        <v>78</v>
      </c>
      <c r="N95" t="s">
        <v>79</v>
      </c>
      <c r="O95" t="s">
        <v>74</v>
      </c>
      <c r="P95" t="s">
        <v>74</v>
      </c>
      <c r="Q95" t="s">
        <v>74</v>
      </c>
      <c r="R95" t="s">
        <v>74</v>
      </c>
      <c r="S95" t="s">
        <v>74</v>
      </c>
      <c r="T95" t="s">
        <v>2014</v>
      </c>
      <c r="U95" t="s">
        <v>2015</v>
      </c>
      <c r="V95" t="s">
        <v>2016</v>
      </c>
      <c r="W95" t="s">
        <v>2017</v>
      </c>
      <c r="X95" t="s">
        <v>2018</v>
      </c>
      <c r="Y95" t="s">
        <v>2019</v>
      </c>
      <c r="Z95" t="s">
        <v>2020</v>
      </c>
      <c r="AA95" t="s">
        <v>74</v>
      </c>
      <c r="AB95" t="s">
        <v>74</v>
      </c>
      <c r="AC95" t="s">
        <v>2021</v>
      </c>
      <c r="AD95" t="s">
        <v>2021</v>
      </c>
      <c r="AE95" t="s">
        <v>2022</v>
      </c>
      <c r="AF95" t="s">
        <v>74</v>
      </c>
      <c r="AG95">
        <v>68</v>
      </c>
      <c r="AH95">
        <v>4</v>
      </c>
      <c r="AI95">
        <v>4</v>
      </c>
      <c r="AJ95">
        <v>2</v>
      </c>
      <c r="AK95">
        <v>13</v>
      </c>
      <c r="AL95" t="s">
        <v>557</v>
      </c>
      <c r="AM95" t="s">
        <v>558</v>
      </c>
      <c r="AN95" t="s">
        <v>584</v>
      </c>
      <c r="AO95" t="s">
        <v>2023</v>
      </c>
      <c r="AP95" t="s">
        <v>2024</v>
      </c>
      <c r="AQ95" t="s">
        <v>74</v>
      </c>
      <c r="AR95" t="s">
        <v>2025</v>
      </c>
      <c r="AS95" t="s">
        <v>2026</v>
      </c>
      <c r="AT95" t="s">
        <v>535</v>
      </c>
      <c r="AU95">
        <v>2021</v>
      </c>
      <c r="AV95">
        <v>34</v>
      </c>
      <c r="AW95">
        <v>15</v>
      </c>
      <c r="AX95" t="s">
        <v>74</v>
      </c>
      <c r="AY95" t="s">
        <v>74</v>
      </c>
      <c r="AZ95" t="s">
        <v>74</v>
      </c>
      <c r="BA95" t="s">
        <v>74</v>
      </c>
      <c r="BB95">
        <v>6069</v>
      </c>
      <c r="BC95">
        <v>6086</v>
      </c>
      <c r="BD95" t="s">
        <v>74</v>
      </c>
      <c r="BE95" t="s">
        <v>2027</v>
      </c>
      <c r="BF95" t="str">
        <f>HYPERLINK("http://dx.doi.org/10.1175/JCLI-D-20-0716.1","http://dx.doi.org/10.1175/JCLI-D-20-0716.1")</f>
        <v>http://dx.doi.org/10.1175/JCLI-D-20-0716.1</v>
      </c>
      <c r="BG95" t="s">
        <v>74</v>
      </c>
      <c r="BH95" t="s">
        <v>74</v>
      </c>
      <c r="BI95">
        <v>18</v>
      </c>
      <c r="BJ95" t="s">
        <v>567</v>
      </c>
      <c r="BK95" t="s">
        <v>128</v>
      </c>
      <c r="BL95" t="s">
        <v>567</v>
      </c>
      <c r="BM95" t="s">
        <v>2028</v>
      </c>
      <c r="BN95" t="s">
        <v>74</v>
      </c>
      <c r="BO95" t="s">
        <v>661</v>
      </c>
      <c r="BP95" t="s">
        <v>74</v>
      </c>
      <c r="BQ95" t="s">
        <v>74</v>
      </c>
      <c r="BR95" t="s">
        <v>102</v>
      </c>
      <c r="BS95" t="s">
        <v>2029</v>
      </c>
      <c r="BT95" t="str">
        <f>HYPERLINK("https%3A%2F%2Fwww.webofscience.com%2Fwos%2Fwoscc%2Ffull-record%2FWOS:000672642500003","View Full Record in Web of Science")</f>
        <v>View Full Record in Web of Science</v>
      </c>
    </row>
    <row r="96" spans="1:72" x14ac:dyDescent="0.15">
      <c r="A96" t="s">
        <v>72</v>
      </c>
      <c r="B96" t="s">
        <v>2030</v>
      </c>
      <c r="C96" t="s">
        <v>74</v>
      </c>
      <c r="D96" t="s">
        <v>74</v>
      </c>
      <c r="E96" t="s">
        <v>74</v>
      </c>
      <c r="F96" t="s">
        <v>2031</v>
      </c>
      <c r="G96" t="s">
        <v>74</v>
      </c>
      <c r="H96" t="s">
        <v>74</v>
      </c>
      <c r="I96" t="s">
        <v>2032</v>
      </c>
      <c r="J96" t="s">
        <v>2013</v>
      </c>
      <c r="K96" t="s">
        <v>74</v>
      </c>
      <c r="L96" t="s">
        <v>74</v>
      </c>
      <c r="M96" t="s">
        <v>78</v>
      </c>
      <c r="N96" t="s">
        <v>79</v>
      </c>
      <c r="O96" t="s">
        <v>74</v>
      </c>
      <c r="P96" t="s">
        <v>74</v>
      </c>
      <c r="Q96" t="s">
        <v>74</v>
      </c>
      <c r="R96" t="s">
        <v>74</v>
      </c>
      <c r="S96" t="s">
        <v>74</v>
      </c>
      <c r="T96" t="s">
        <v>2033</v>
      </c>
      <c r="U96" t="s">
        <v>2034</v>
      </c>
      <c r="V96" t="s">
        <v>2035</v>
      </c>
      <c r="W96" t="s">
        <v>2036</v>
      </c>
      <c r="X96" t="s">
        <v>2037</v>
      </c>
      <c r="Y96" t="s">
        <v>2038</v>
      </c>
      <c r="Z96" t="s">
        <v>2039</v>
      </c>
      <c r="AA96" t="s">
        <v>2040</v>
      </c>
      <c r="AB96" t="s">
        <v>2041</v>
      </c>
      <c r="AC96" t="s">
        <v>2042</v>
      </c>
      <c r="AD96" t="s">
        <v>2043</v>
      </c>
      <c r="AE96" t="s">
        <v>2044</v>
      </c>
      <c r="AF96" t="s">
        <v>74</v>
      </c>
      <c r="AG96">
        <v>99</v>
      </c>
      <c r="AH96">
        <v>25</v>
      </c>
      <c r="AI96">
        <v>27</v>
      </c>
      <c r="AJ96">
        <v>6</v>
      </c>
      <c r="AK96">
        <v>36</v>
      </c>
      <c r="AL96" t="s">
        <v>557</v>
      </c>
      <c r="AM96" t="s">
        <v>558</v>
      </c>
      <c r="AN96" t="s">
        <v>559</v>
      </c>
      <c r="AO96" t="s">
        <v>2023</v>
      </c>
      <c r="AP96" t="s">
        <v>2024</v>
      </c>
      <c r="AQ96" t="s">
        <v>74</v>
      </c>
      <c r="AR96" t="s">
        <v>2025</v>
      </c>
      <c r="AS96" t="s">
        <v>2026</v>
      </c>
      <c r="AT96" t="s">
        <v>535</v>
      </c>
      <c r="AU96">
        <v>2021</v>
      </c>
      <c r="AV96">
        <v>34</v>
      </c>
      <c r="AW96">
        <v>15</v>
      </c>
      <c r="AX96" t="s">
        <v>74</v>
      </c>
      <c r="AY96" t="s">
        <v>74</v>
      </c>
      <c r="AZ96" t="s">
        <v>74</v>
      </c>
      <c r="BA96" t="s">
        <v>74</v>
      </c>
      <c r="BB96">
        <v>6207</v>
      </c>
      <c r="BC96">
        <v>6233</v>
      </c>
      <c r="BD96" t="s">
        <v>74</v>
      </c>
      <c r="BE96" t="s">
        <v>2045</v>
      </c>
      <c r="BF96" t="str">
        <f>HYPERLINK("http://dx.doi.org/10.1175/JCLI-D-20-0965.1","http://dx.doi.org/10.1175/JCLI-D-20-0965.1")</f>
        <v>http://dx.doi.org/10.1175/JCLI-D-20-0965.1</v>
      </c>
      <c r="BG96" t="s">
        <v>74</v>
      </c>
      <c r="BH96" t="s">
        <v>74</v>
      </c>
      <c r="BI96">
        <v>27</v>
      </c>
      <c r="BJ96" t="s">
        <v>567</v>
      </c>
      <c r="BK96" t="s">
        <v>128</v>
      </c>
      <c r="BL96" t="s">
        <v>567</v>
      </c>
      <c r="BM96" t="s">
        <v>2028</v>
      </c>
      <c r="BN96" t="s">
        <v>74</v>
      </c>
      <c r="BO96" t="s">
        <v>661</v>
      </c>
      <c r="BP96" t="s">
        <v>74</v>
      </c>
      <c r="BQ96" t="s">
        <v>74</v>
      </c>
      <c r="BR96" t="s">
        <v>102</v>
      </c>
      <c r="BS96" t="s">
        <v>2046</v>
      </c>
      <c r="BT96" t="str">
        <f>HYPERLINK("https%3A%2F%2Fwww.webofscience.com%2Fwos%2Fwoscc%2Ffull-record%2FWOS:000672642500012","View Full Record in Web of Science")</f>
        <v>View Full Record in Web of Science</v>
      </c>
    </row>
    <row r="97" spans="1:72" x14ac:dyDescent="0.15">
      <c r="A97" t="s">
        <v>72</v>
      </c>
      <c r="B97" t="s">
        <v>2047</v>
      </c>
      <c r="C97" t="s">
        <v>74</v>
      </c>
      <c r="D97" t="s">
        <v>74</v>
      </c>
      <c r="E97" t="s">
        <v>74</v>
      </c>
      <c r="F97" t="s">
        <v>2048</v>
      </c>
      <c r="G97" t="s">
        <v>74</v>
      </c>
      <c r="H97" t="s">
        <v>74</v>
      </c>
      <c r="I97" t="s">
        <v>2049</v>
      </c>
      <c r="J97" t="s">
        <v>2050</v>
      </c>
      <c r="K97" t="s">
        <v>74</v>
      </c>
      <c r="L97" t="s">
        <v>74</v>
      </c>
      <c r="M97" t="s">
        <v>78</v>
      </c>
      <c r="N97" t="s">
        <v>79</v>
      </c>
      <c r="O97" t="s">
        <v>74</v>
      </c>
      <c r="P97" t="s">
        <v>74</v>
      </c>
      <c r="Q97" t="s">
        <v>74</v>
      </c>
      <c r="R97" t="s">
        <v>74</v>
      </c>
      <c r="S97" t="s">
        <v>74</v>
      </c>
      <c r="T97" t="s">
        <v>74</v>
      </c>
      <c r="U97" t="s">
        <v>2051</v>
      </c>
      <c r="V97" t="s">
        <v>2052</v>
      </c>
      <c r="W97" t="s">
        <v>2053</v>
      </c>
      <c r="X97" t="s">
        <v>2054</v>
      </c>
      <c r="Y97" t="s">
        <v>2055</v>
      </c>
      <c r="Z97" t="s">
        <v>2056</v>
      </c>
      <c r="AA97" t="s">
        <v>74</v>
      </c>
      <c r="AB97" t="s">
        <v>2057</v>
      </c>
      <c r="AC97" t="s">
        <v>2058</v>
      </c>
      <c r="AD97" t="s">
        <v>2058</v>
      </c>
      <c r="AE97" t="s">
        <v>2059</v>
      </c>
      <c r="AF97" t="s">
        <v>74</v>
      </c>
      <c r="AG97">
        <v>132</v>
      </c>
      <c r="AH97">
        <v>10</v>
      </c>
      <c r="AI97">
        <v>12</v>
      </c>
      <c r="AJ97">
        <v>1</v>
      </c>
      <c r="AK97">
        <v>9</v>
      </c>
      <c r="AL97" t="s">
        <v>649</v>
      </c>
      <c r="AM97" t="s">
        <v>650</v>
      </c>
      <c r="AN97" t="s">
        <v>651</v>
      </c>
      <c r="AO97" t="s">
        <v>2060</v>
      </c>
      <c r="AP97" t="s">
        <v>2061</v>
      </c>
      <c r="AQ97" t="s">
        <v>74</v>
      </c>
      <c r="AR97" t="s">
        <v>2050</v>
      </c>
      <c r="AS97" t="s">
        <v>2062</v>
      </c>
      <c r="AT97" t="s">
        <v>535</v>
      </c>
      <c r="AU97">
        <v>2021</v>
      </c>
      <c r="AV97">
        <v>47</v>
      </c>
      <c r="AW97">
        <v>3</v>
      </c>
      <c r="AX97" t="s">
        <v>74</v>
      </c>
      <c r="AY97" t="s">
        <v>74</v>
      </c>
      <c r="AZ97" t="s">
        <v>74</v>
      </c>
      <c r="BA97" t="s">
        <v>74</v>
      </c>
      <c r="BB97">
        <v>446</v>
      </c>
      <c r="BC97">
        <v>463</v>
      </c>
      <c r="BD97" t="s">
        <v>2063</v>
      </c>
      <c r="BE97" t="s">
        <v>2064</v>
      </c>
      <c r="BF97" t="str">
        <f>HYPERLINK("http://dx.doi.org/10.1017/pab.2021.2","http://dx.doi.org/10.1017/pab.2021.2")</f>
        <v>http://dx.doi.org/10.1017/pab.2021.2</v>
      </c>
      <c r="BG97" t="s">
        <v>74</v>
      </c>
      <c r="BH97" t="s">
        <v>74</v>
      </c>
      <c r="BI97">
        <v>18</v>
      </c>
      <c r="BJ97" t="s">
        <v>2065</v>
      </c>
      <c r="BK97" t="s">
        <v>128</v>
      </c>
      <c r="BL97" t="s">
        <v>2066</v>
      </c>
      <c r="BM97" t="s">
        <v>2067</v>
      </c>
      <c r="BN97" t="s">
        <v>74</v>
      </c>
      <c r="BO97" t="s">
        <v>291</v>
      </c>
      <c r="BP97" t="s">
        <v>74</v>
      </c>
      <c r="BQ97" t="s">
        <v>74</v>
      </c>
      <c r="BR97" t="s">
        <v>102</v>
      </c>
      <c r="BS97" t="s">
        <v>2068</v>
      </c>
      <c r="BT97" t="str">
        <f>HYPERLINK("https%3A%2F%2Fwww.webofscience.com%2Fwos%2Fwoscc%2Ffull-record%2FWOS:000678167200007","View Full Record in Web of Science")</f>
        <v>View Full Record in Web of Science</v>
      </c>
    </row>
    <row r="98" spans="1:72" x14ac:dyDescent="0.15">
      <c r="A98" t="s">
        <v>72</v>
      </c>
      <c r="B98" t="s">
        <v>2069</v>
      </c>
      <c r="C98" t="s">
        <v>74</v>
      </c>
      <c r="D98" t="s">
        <v>74</v>
      </c>
      <c r="E98" t="s">
        <v>74</v>
      </c>
      <c r="F98" t="s">
        <v>2070</v>
      </c>
      <c r="G98" t="s">
        <v>74</v>
      </c>
      <c r="H98" t="s">
        <v>74</v>
      </c>
      <c r="I98" t="s">
        <v>2071</v>
      </c>
      <c r="J98" t="s">
        <v>2013</v>
      </c>
      <c r="K98" t="s">
        <v>74</v>
      </c>
      <c r="L98" t="s">
        <v>74</v>
      </c>
      <c r="M98" t="s">
        <v>78</v>
      </c>
      <c r="N98" t="s">
        <v>79</v>
      </c>
      <c r="O98" t="s">
        <v>74</v>
      </c>
      <c r="P98" t="s">
        <v>74</v>
      </c>
      <c r="Q98" t="s">
        <v>74</v>
      </c>
      <c r="R98" t="s">
        <v>74</v>
      </c>
      <c r="S98" t="s">
        <v>74</v>
      </c>
      <c r="T98" t="s">
        <v>2072</v>
      </c>
      <c r="U98" t="s">
        <v>2073</v>
      </c>
      <c r="V98" t="s">
        <v>2074</v>
      </c>
      <c r="W98" t="s">
        <v>2075</v>
      </c>
      <c r="X98" t="s">
        <v>2076</v>
      </c>
      <c r="Y98" t="s">
        <v>2077</v>
      </c>
      <c r="Z98" t="s">
        <v>2078</v>
      </c>
      <c r="AA98" t="s">
        <v>2079</v>
      </c>
      <c r="AB98" t="s">
        <v>2080</v>
      </c>
      <c r="AC98" t="s">
        <v>2081</v>
      </c>
      <c r="AD98" t="s">
        <v>2082</v>
      </c>
      <c r="AE98" t="s">
        <v>2083</v>
      </c>
      <c r="AF98" t="s">
        <v>74</v>
      </c>
      <c r="AG98">
        <v>75</v>
      </c>
      <c r="AH98">
        <v>5</v>
      </c>
      <c r="AI98">
        <v>7</v>
      </c>
      <c r="AJ98">
        <v>12</v>
      </c>
      <c r="AK98">
        <v>49</v>
      </c>
      <c r="AL98" t="s">
        <v>557</v>
      </c>
      <c r="AM98" t="s">
        <v>558</v>
      </c>
      <c r="AN98" t="s">
        <v>584</v>
      </c>
      <c r="AO98" t="s">
        <v>2023</v>
      </c>
      <c r="AP98" t="s">
        <v>2024</v>
      </c>
      <c r="AQ98" t="s">
        <v>74</v>
      </c>
      <c r="AR98" t="s">
        <v>2025</v>
      </c>
      <c r="AS98" t="s">
        <v>2026</v>
      </c>
      <c r="AT98" t="s">
        <v>535</v>
      </c>
      <c r="AU98">
        <v>2021</v>
      </c>
      <c r="AV98">
        <v>34</v>
      </c>
      <c r="AW98">
        <v>16</v>
      </c>
      <c r="AX98" t="s">
        <v>74</v>
      </c>
      <c r="AY98" t="s">
        <v>74</v>
      </c>
      <c r="AZ98" t="s">
        <v>74</v>
      </c>
      <c r="BA98" t="s">
        <v>74</v>
      </c>
      <c r="BB98">
        <v>6513</v>
      </c>
      <c r="BC98">
        <v>6529</v>
      </c>
      <c r="BD98" t="s">
        <v>74</v>
      </c>
      <c r="BE98" t="s">
        <v>2084</v>
      </c>
      <c r="BF98" t="str">
        <f>HYPERLINK("http://dx.doi.org/10.1175/JCLI-D-20-0906.1","http://dx.doi.org/10.1175/JCLI-D-20-0906.1")</f>
        <v>http://dx.doi.org/10.1175/JCLI-D-20-0906.1</v>
      </c>
      <c r="BG98" t="s">
        <v>74</v>
      </c>
      <c r="BH98" t="s">
        <v>74</v>
      </c>
      <c r="BI98">
        <v>17</v>
      </c>
      <c r="BJ98" t="s">
        <v>567</v>
      </c>
      <c r="BK98" t="s">
        <v>128</v>
      </c>
      <c r="BL98" t="s">
        <v>567</v>
      </c>
      <c r="BM98" t="s">
        <v>2085</v>
      </c>
      <c r="BN98" t="s">
        <v>74</v>
      </c>
      <c r="BO98" t="s">
        <v>74</v>
      </c>
      <c r="BP98" t="s">
        <v>74</v>
      </c>
      <c r="BQ98" t="s">
        <v>74</v>
      </c>
      <c r="BR98" t="s">
        <v>102</v>
      </c>
      <c r="BS98" t="s">
        <v>2086</v>
      </c>
      <c r="BT98" t="str">
        <f>HYPERLINK("https%3A%2F%2Fwww.webofscience.com%2Fwos%2Fwoscc%2Ffull-record%2FWOS:000677665400002","View Full Record in Web of Science")</f>
        <v>View Full Record in Web of Science</v>
      </c>
    </row>
    <row r="99" spans="1:72" x14ac:dyDescent="0.15">
      <c r="A99" t="s">
        <v>72</v>
      </c>
      <c r="B99" t="s">
        <v>2087</v>
      </c>
      <c r="C99" t="s">
        <v>74</v>
      </c>
      <c r="D99" t="s">
        <v>74</v>
      </c>
      <c r="E99" t="s">
        <v>74</v>
      </c>
      <c r="F99" t="s">
        <v>2088</v>
      </c>
      <c r="G99" t="s">
        <v>74</v>
      </c>
      <c r="H99" t="s">
        <v>74</v>
      </c>
      <c r="I99" t="s">
        <v>2089</v>
      </c>
      <c r="J99" t="s">
        <v>2013</v>
      </c>
      <c r="K99" t="s">
        <v>74</v>
      </c>
      <c r="L99" t="s">
        <v>74</v>
      </c>
      <c r="M99" t="s">
        <v>78</v>
      </c>
      <c r="N99" t="s">
        <v>79</v>
      </c>
      <c r="O99" t="s">
        <v>74</v>
      </c>
      <c r="P99" t="s">
        <v>74</v>
      </c>
      <c r="Q99" t="s">
        <v>74</v>
      </c>
      <c r="R99" t="s">
        <v>74</v>
      </c>
      <c r="S99" t="s">
        <v>74</v>
      </c>
      <c r="T99" t="s">
        <v>2090</v>
      </c>
      <c r="U99" t="s">
        <v>2091</v>
      </c>
      <c r="V99" t="s">
        <v>2092</v>
      </c>
      <c r="W99" t="s">
        <v>2093</v>
      </c>
      <c r="X99" t="s">
        <v>2094</v>
      </c>
      <c r="Y99" t="s">
        <v>2095</v>
      </c>
      <c r="Z99" t="s">
        <v>2096</v>
      </c>
      <c r="AA99" t="s">
        <v>2097</v>
      </c>
      <c r="AB99" t="s">
        <v>74</v>
      </c>
      <c r="AC99" t="s">
        <v>2098</v>
      </c>
      <c r="AD99" t="s">
        <v>2099</v>
      </c>
      <c r="AE99" t="s">
        <v>2100</v>
      </c>
      <c r="AF99" t="s">
        <v>74</v>
      </c>
      <c r="AG99">
        <v>81</v>
      </c>
      <c r="AH99">
        <v>1</v>
      </c>
      <c r="AI99">
        <v>1</v>
      </c>
      <c r="AJ99">
        <v>0</v>
      </c>
      <c r="AK99">
        <v>13</v>
      </c>
      <c r="AL99" t="s">
        <v>557</v>
      </c>
      <c r="AM99" t="s">
        <v>558</v>
      </c>
      <c r="AN99" t="s">
        <v>559</v>
      </c>
      <c r="AO99" t="s">
        <v>2023</v>
      </c>
      <c r="AP99" t="s">
        <v>2024</v>
      </c>
      <c r="AQ99" t="s">
        <v>74</v>
      </c>
      <c r="AR99" t="s">
        <v>2025</v>
      </c>
      <c r="AS99" t="s">
        <v>2026</v>
      </c>
      <c r="AT99" t="s">
        <v>535</v>
      </c>
      <c r="AU99">
        <v>2021</v>
      </c>
      <c r="AV99">
        <v>34</v>
      </c>
      <c r="AW99">
        <v>16</v>
      </c>
      <c r="AX99" t="s">
        <v>74</v>
      </c>
      <c r="AY99" t="s">
        <v>74</v>
      </c>
      <c r="AZ99" t="s">
        <v>74</v>
      </c>
      <c r="BA99" t="s">
        <v>74</v>
      </c>
      <c r="BB99">
        <v>6891</v>
      </c>
      <c r="BC99">
        <v>6904</v>
      </c>
      <c r="BD99" t="s">
        <v>74</v>
      </c>
      <c r="BE99" t="s">
        <v>2101</v>
      </c>
      <c r="BF99" t="str">
        <f>HYPERLINK("http://dx.doi.org/10.1175/JCLI-D-20-0700.1","http://dx.doi.org/10.1175/JCLI-D-20-0700.1")</f>
        <v>http://dx.doi.org/10.1175/JCLI-D-20-0700.1</v>
      </c>
      <c r="BG99" t="s">
        <v>74</v>
      </c>
      <c r="BH99" t="s">
        <v>74</v>
      </c>
      <c r="BI99">
        <v>14</v>
      </c>
      <c r="BJ99" t="s">
        <v>567</v>
      </c>
      <c r="BK99" t="s">
        <v>128</v>
      </c>
      <c r="BL99" t="s">
        <v>567</v>
      </c>
      <c r="BM99" t="s">
        <v>2085</v>
      </c>
      <c r="BN99" t="s">
        <v>74</v>
      </c>
      <c r="BO99" t="s">
        <v>661</v>
      </c>
      <c r="BP99" t="s">
        <v>74</v>
      </c>
      <c r="BQ99" t="s">
        <v>74</v>
      </c>
      <c r="BR99" t="s">
        <v>102</v>
      </c>
      <c r="BS99" t="s">
        <v>2102</v>
      </c>
      <c r="BT99" t="str">
        <f>HYPERLINK("https%3A%2F%2Fwww.webofscience.com%2Fwos%2Fwoscc%2Ffull-record%2FWOS:000677665400023","View Full Record in Web of Science")</f>
        <v>View Full Record in Web of Science</v>
      </c>
    </row>
    <row r="100" spans="1:72" x14ac:dyDescent="0.15">
      <c r="A100" t="s">
        <v>72</v>
      </c>
      <c r="B100" t="s">
        <v>2103</v>
      </c>
      <c r="C100" t="s">
        <v>74</v>
      </c>
      <c r="D100" t="s">
        <v>74</v>
      </c>
      <c r="E100" t="s">
        <v>74</v>
      </c>
      <c r="F100" t="s">
        <v>2104</v>
      </c>
      <c r="G100" t="s">
        <v>74</v>
      </c>
      <c r="H100" t="s">
        <v>74</v>
      </c>
      <c r="I100" t="s">
        <v>2105</v>
      </c>
      <c r="J100" t="s">
        <v>2106</v>
      </c>
      <c r="K100" t="s">
        <v>74</v>
      </c>
      <c r="L100" t="s">
        <v>74</v>
      </c>
      <c r="M100" t="s">
        <v>78</v>
      </c>
      <c r="N100" t="s">
        <v>79</v>
      </c>
      <c r="O100" t="s">
        <v>74</v>
      </c>
      <c r="P100" t="s">
        <v>74</v>
      </c>
      <c r="Q100" t="s">
        <v>74</v>
      </c>
      <c r="R100" t="s">
        <v>74</v>
      </c>
      <c r="S100" t="s">
        <v>74</v>
      </c>
      <c r="T100" t="s">
        <v>2107</v>
      </c>
      <c r="U100" t="s">
        <v>2108</v>
      </c>
      <c r="V100" t="s">
        <v>2109</v>
      </c>
      <c r="W100" t="s">
        <v>2110</v>
      </c>
      <c r="X100" t="s">
        <v>2111</v>
      </c>
      <c r="Y100" t="s">
        <v>2112</v>
      </c>
      <c r="Z100" t="s">
        <v>2113</v>
      </c>
      <c r="AA100" t="s">
        <v>2114</v>
      </c>
      <c r="AB100" t="s">
        <v>2115</v>
      </c>
      <c r="AC100" t="s">
        <v>2116</v>
      </c>
      <c r="AD100" t="s">
        <v>2117</v>
      </c>
      <c r="AE100" t="s">
        <v>2118</v>
      </c>
      <c r="AF100" t="s">
        <v>74</v>
      </c>
      <c r="AG100">
        <v>179</v>
      </c>
      <c r="AH100">
        <v>8</v>
      </c>
      <c r="AI100">
        <v>9</v>
      </c>
      <c r="AJ100">
        <v>2</v>
      </c>
      <c r="AK100">
        <v>5</v>
      </c>
      <c r="AL100" t="s">
        <v>281</v>
      </c>
      <c r="AM100" t="s">
        <v>228</v>
      </c>
      <c r="AN100" t="s">
        <v>282</v>
      </c>
      <c r="AO100" t="s">
        <v>2119</v>
      </c>
      <c r="AP100" t="s">
        <v>2120</v>
      </c>
      <c r="AQ100" t="s">
        <v>74</v>
      </c>
      <c r="AR100" t="s">
        <v>2121</v>
      </c>
      <c r="AS100" t="s">
        <v>2122</v>
      </c>
      <c r="AT100" t="s">
        <v>535</v>
      </c>
      <c r="AU100">
        <v>2021</v>
      </c>
      <c r="AV100">
        <v>174</v>
      </c>
      <c r="AW100" t="s">
        <v>74</v>
      </c>
      <c r="AX100" t="s">
        <v>74</v>
      </c>
      <c r="AY100" t="s">
        <v>74</v>
      </c>
      <c r="AZ100" t="s">
        <v>74</v>
      </c>
      <c r="BA100" t="s">
        <v>74</v>
      </c>
      <c r="BB100" t="s">
        <v>74</v>
      </c>
      <c r="BC100" t="s">
        <v>74</v>
      </c>
      <c r="BD100">
        <v>103557</v>
      </c>
      <c r="BE100" t="s">
        <v>2123</v>
      </c>
      <c r="BF100" t="str">
        <f>HYPERLINK("http://dx.doi.org/10.1016/j.dsr.2021.103557","http://dx.doi.org/10.1016/j.dsr.2021.103557")</f>
        <v>http://dx.doi.org/10.1016/j.dsr.2021.103557</v>
      </c>
      <c r="BG100" t="s">
        <v>74</v>
      </c>
      <c r="BH100" t="s">
        <v>74</v>
      </c>
      <c r="BI100">
        <v>19</v>
      </c>
      <c r="BJ100" t="s">
        <v>1134</v>
      </c>
      <c r="BK100" t="s">
        <v>128</v>
      </c>
      <c r="BL100" t="s">
        <v>1134</v>
      </c>
      <c r="BM100" t="s">
        <v>2124</v>
      </c>
      <c r="BN100" t="s">
        <v>74</v>
      </c>
      <c r="BO100" t="s">
        <v>2125</v>
      </c>
      <c r="BP100" t="s">
        <v>74</v>
      </c>
      <c r="BQ100" t="s">
        <v>74</v>
      </c>
      <c r="BR100" t="s">
        <v>102</v>
      </c>
      <c r="BS100" t="s">
        <v>2126</v>
      </c>
      <c r="BT100" t="str">
        <f>HYPERLINK("https%3A%2F%2Fwww.webofscience.com%2Fwos%2Fwoscc%2Ffull-record%2FWOS:000881317800001","View Full Record in Web of Science")</f>
        <v>View Full Record in Web of Science</v>
      </c>
    </row>
    <row r="101" spans="1:72" x14ac:dyDescent="0.15">
      <c r="A101" t="s">
        <v>72</v>
      </c>
      <c r="B101" t="s">
        <v>2127</v>
      </c>
      <c r="C101" t="s">
        <v>74</v>
      </c>
      <c r="D101" t="s">
        <v>74</v>
      </c>
      <c r="E101" t="s">
        <v>74</v>
      </c>
      <c r="F101" t="s">
        <v>2128</v>
      </c>
      <c r="G101" t="s">
        <v>74</v>
      </c>
      <c r="H101" t="s">
        <v>74</v>
      </c>
      <c r="I101" t="s">
        <v>2129</v>
      </c>
      <c r="J101" t="s">
        <v>2130</v>
      </c>
      <c r="K101" t="s">
        <v>74</v>
      </c>
      <c r="L101" t="s">
        <v>74</v>
      </c>
      <c r="M101" t="s">
        <v>78</v>
      </c>
      <c r="N101" t="s">
        <v>79</v>
      </c>
      <c r="O101" t="s">
        <v>74</v>
      </c>
      <c r="P101" t="s">
        <v>74</v>
      </c>
      <c r="Q101" t="s">
        <v>74</v>
      </c>
      <c r="R101" t="s">
        <v>74</v>
      </c>
      <c r="S101" t="s">
        <v>74</v>
      </c>
      <c r="T101" t="s">
        <v>2131</v>
      </c>
      <c r="U101" t="s">
        <v>2132</v>
      </c>
      <c r="V101" t="s">
        <v>2133</v>
      </c>
      <c r="W101" t="s">
        <v>2134</v>
      </c>
      <c r="X101" t="s">
        <v>2135</v>
      </c>
      <c r="Y101" t="s">
        <v>2136</v>
      </c>
      <c r="Z101" t="s">
        <v>2137</v>
      </c>
      <c r="AA101" t="s">
        <v>2138</v>
      </c>
      <c r="AB101" t="s">
        <v>2139</v>
      </c>
      <c r="AC101" t="s">
        <v>2140</v>
      </c>
      <c r="AD101" t="s">
        <v>2141</v>
      </c>
      <c r="AE101" t="s">
        <v>2142</v>
      </c>
      <c r="AF101" t="s">
        <v>74</v>
      </c>
      <c r="AG101">
        <v>143</v>
      </c>
      <c r="AH101">
        <v>30</v>
      </c>
      <c r="AI101">
        <v>35</v>
      </c>
      <c r="AJ101">
        <v>1</v>
      </c>
      <c r="AK101">
        <v>5</v>
      </c>
      <c r="AL101" t="s">
        <v>2143</v>
      </c>
      <c r="AM101" t="s">
        <v>2144</v>
      </c>
      <c r="AN101" t="s">
        <v>2145</v>
      </c>
      <c r="AO101" t="s">
        <v>2146</v>
      </c>
      <c r="AP101" t="s">
        <v>74</v>
      </c>
      <c r="AQ101" t="s">
        <v>74</v>
      </c>
      <c r="AR101" t="s">
        <v>2147</v>
      </c>
      <c r="AS101" t="s">
        <v>2148</v>
      </c>
      <c r="AT101" t="s">
        <v>535</v>
      </c>
      <c r="AU101">
        <v>2021</v>
      </c>
      <c r="AV101">
        <v>16</v>
      </c>
      <c r="AW101">
        <v>8</v>
      </c>
      <c r="AX101" t="s">
        <v>74</v>
      </c>
      <c r="AY101" t="s">
        <v>74</v>
      </c>
      <c r="AZ101" t="s">
        <v>74</v>
      </c>
      <c r="BA101" t="s">
        <v>74</v>
      </c>
      <c r="BB101" t="s">
        <v>74</v>
      </c>
      <c r="BC101" t="s">
        <v>74</v>
      </c>
      <c r="BD101" t="s">
        <v>74</v>
      </c>
      <c r="BE101" t="s">
        <v>2149</v>
      </c>
      <c r="BF101" t="str">
        <f>HYPERLINK("http://dx.doi.org/10.1088/1748-0221/16/08/P08035","http://dx.doi.org/10.1088/1748-0221/16/08/P08035")</f>
        <v>http://dx.doi.org/10.1088/1748-0221/16/08/P08035</v>
      </c>
      <c r="BG101" t="s">
        <v>74</v>
      </c>
      <c r="BH101" t="s">
        <v>74</v>
      </c>
      <c r="BI101">
        <v>41</v>
      </c>
      <c r="BJ101" t="s">
        <v>2150</v>
      </c>
      <c r="BK101" t="s">
        <v>128</v>
      </c>
      <c r="BL101" t="s">
        <v>2150</v>
      </c>
      <c r="BM101" t="s">
        <v>2151</v>
      </c>
      <c r="BN101" t="s">
        <v>74</v>
      </c>
      <c r="BO101" t="s">
        <v>2152</v>
      </c>
      <c r="BP101" t="s">
        <v>74</v>
      </c>
      <c r="BQ101" t="s">
        <v>74</v>
      </c>
      <c r="BR101" t="s">
        <v>102</v>
      </c>
      <c r="BS101" t="s">
        <v>2153</v>
      </c>
      <c r="BT101" t="str">
        <f>HYPERLINK("https%3A%2F%2Fwww.webofscience.com%2Fwos%2Fwoscc%2Ffull-record%2FWOS:000696805000004","View Full Record in Web of Science")</f>
        <v>View Full Record in Web of Science</v>
      </c>
    </row>
    <row r="102" spans="1:72" x14ac:dyDescent="0.15">
      <c r="A102" t="s">
        <v>72</v>
      </c>
      <c r="B102" t="s">
        <v>2154</v>
      </c>
      <c r="C102" t="s">
        <v>74</v>
      </c>
      <c r="D102" t="s">
        <v>74</v>
      </c>
      <c r="E102" t="s">
        <v>74</v>
      </c>
      <c r="F102" t="s">
        <v>2155</v>
      </c>
      <c r="G102" t="s">
        <v>74</v>
      </c>
      <c r="H102" t="s">
        <v>74</v>
      </c>
      <c r="I102" t="s">
        <v>2156</v>
      </c>
      <c r="J102" t="s">
        <v>2157</v>
      </c>
      <c r="K102" t="s">
        <v>74</v>
      </c>
      <c r="L102" t="s">
        <v>74</v>
      </c>
      <c r="M102" t="s">
        <v>78</v>
      </c>
      <c r="N102" t="s">
        <v>79</v>
      </c>
      <c r="O102" t="s">
        <v>74</v>
      </c>
      <c r="P102" t="s">
        <v>74</v>
      </c>
      <c r="Q102" t="s">
        <v>74</v>
      </c>
      <c r="R102" t="s">
        <v>74</v>
      </c>
      <c r="S102" t="s">
        <v>74</v>
      </c>
      <c r="T102" t="s">
        <v>2158</v>
      </c>
      <c r="U102" t="s">
        <v>2159</v>
      </c>
      <c r="V102" t="s">
        <v>2160</v>
      </c>
      <c r="W102" t="s">
        <v>2161</v>
      </c>
      <c r="X102" t="s">
        <v>2162</v>
      </c>
      <c r="Y102" t="s">
        <v>2163</v>
      </c>
      <c r="Z102" t="s">
        <v>2164</v>
      </c>
      <c r="AA102" t="s">
        <v>2165</v>
      </c>
      <c r="AB102" t="s">
        <v>2166</v>
      </c>
      <c r="AC102" t="s">
        <v>74</v>
      </c>
      <c r="AD102" t="s">
        <v>74</v>
      </c>
      <c r="AE102" t="s">
        <v>74</v>
      </c>
      <c r="AF102" t="s">
        <v>74</v>
      </c>
      <c r="AG102">
        <v>45</v>
      </c>
      <c r="AH102">
        <v>6</v>
      </c>
      <c r="AI102">
        <v>6</v>
      </c>
      <c r="AJ102">
        <v>0</v>
      </c>
      <c r="AK102">
        <v>3</v>
      </c>
      <c r="AL102" t="s">
        <v>1101</v>
      </c>
      <c r="AM102" t="s">
        <v>1102</v>
      </c>
      <c r="AN102" t="s">
        <v>1103</v>
      </c>
      <c r="AO102" t="s">
        <v>74</v>
      </c>
      <c r="AP102" t="s">
        <v>2167</v>
      </c>
      <c r="AQ102" t="s">
        <v>74</v>
      </c>
      <c r="AR102" t="s">
        <v>2168</v>
      </c>
      <c r="AS102" t="s">
        <v>2169</v>
      </c>
      <c r="AT102" t="s">
        <v>535</v>
      </c>
      <c r="AU102">
        <v>2021</v>
      </c>
      <c r="AV102">
        <v>21</v>
      </c>
      <c r="AW102">
        <v>16</v>
      </c>
      <c r="AX102" t="s">
        <v>74</v>
      </c>
      <c r="AY102" t="s">
        <v>74</v>
      </c>
      <c r="AZ102" t="s">
        <v>74</v>
      </c>
      <c r="BA102" t="s">
        <v>74</v>
      </c>
      <c r="BB102" t="s">
        <v>74</v>
      </c>
      <c r="BC102" t="s">
        <v>74</v>
      </c>
      <c r="BD102">
        <v>5342</v>
      </c>
      <c r="BE102" t="s">
        <v>2170</v>
      </c>
      <c r="BF102" t="str">
        <f>HYPERLINK("http://dx.doi.org/10.3390/s21165342","http://dx.doi.org/10.3390/s21165342")</f>
        <v>http://dx.doi.org/10.3390/s21165342</v>
      </c>
      <c r="BG102" t="s">
        <v>74</v>
      </c>
      <c r="BH102" t="s">
        <v>74</v>
      </c>
      <c r="BI102">
        <v>23</v>
      </c>
      <c r="BJ102" t="s">
        <v>2171</v>
      </c>
      <c r="BK102" t="s">
        <v>128</v>
      </c>
      <c r="BL102" t="s">
        <v>2172</v>
      </c>
      <c r="BM102" t="s">
        <v>2173</v>
      </c>
      <c r="BN102">
        <v>34450784</v>
      </c>
      <c r="BO102" t="s">
        <v>311</v>
      </c>
      <c r="BP102" t="s">
        <v>74</v>
      </c>
      <c r="BQ102" t="s">
        <v>74</v>
      </c>
      <c r="BR102" t="s">
        <v>102</v>
      </c>
      <c r="BS102" t="s">
        <v>2174</v>
      </c>
      <c r="BT102" t="str">
        <f>HYPERLINK("https%3A%2F%2Fwww.webofscience.com%2Fwos%2Fwoscc%2Ffull-record%2FWOS:000690086900001","View Full Record in Web of Science")</f>
        <v>View Full Record in Web of Science</v>
      </c>
    </row>
    <row r="103" spans="1:72" x14ac:dyDescent="0.15">
      <c r="A103" t="s">
        <v>72</v>
      </c>
      <c r="B103" t="s">
        <v>2175</v>
      </c>
      <c r="C103" t="s">
        <v>74</v>
      </c>
      <c r="D103" t="s">
        <v>74</v>
      </c>
      <c r="E103" t="s">
        <v>74</v>
      </c>
      <c r="F103" t="s">
        <v>2176</v>
      </c>
      <c r="G103" t="s">
        <v>74</v>
      </c>
      <c r="H103" t="s">
        <v>74</v>
      </c>
      <c r="I103" t="s">
        <v>2177</v>
      </c>
      <c r="J103" t="s">
        <v>2178</v>
      </c>
      <c r="K103" t="s">
        <v>74</v>
      </c>
      <c r="L103" t="s">
        <v>74</v>
      </c>
      <c r="M103" t="s">
        <v>78</v>
      </c>
      <c r="N103" t="s">
        <v>79</v>
      </c>
      <c r="O103" t="s">
        <v>74</v>
      </c>
      <c r="P103" t="s">
        <v>74</v>
      </c>
      <c r="Q103" t="s">
        <v>74</v>
      </c>
      <c r="R103" t="s">
        <v>74</v>
      </c>
      <c r="S103" t="s">
        <v>74</v>
      </c>
      <c r="T103" t="s">
        <v>2179</v>
      </c>
      <c r="U103" t="s">
        <v>2180</v>
      </c>
      <c r="V103" t="s">
        <v>2181</v>
      </c>
      <c r="W103" t="s">
        <v>2182</v>
      </c>
      <c r="X103" t="s">
        <v>2183</v>
      </c>
      <c r="Y103" t="s">
        <v>2184</v>
      </c>
      <c r="Z103" t="s">
        <v>2185</v>
      </c>
      <c r="AA103" t="s">
        <v>74</v>
      </c>
      <c r="AB103" t="s">
        <v>2186</v>
      </c>
      <c r="AC103" t="s">
        <v>2187</v>
      </c>
      <c r="AD103" t="s">
        <v>2188</v>
      </c>
      <c r="AE103" t="s">
        <v>2189</v>
      </c>
      <c r="AF103" t="s">
        <v>74</v>
      </c>
      <c r="AG103">
        <v>82</v>
      </c>
      <c r="AH103">
        <v>5</v>
      </c>
      <c r="AI103">
        <v>5</v>
      </c>
      <c r="AJ103">
        <v>0</v>
      </c>
      <c r="AK103">
        <v>5</v>
      </c>
      <c r="AL103" t="s">
        <v>2190</v>
      </c>
      <c r="AM103" t="s">
        <v>228</v>
      </c>
      <c r="AN103" t="s">
        <v>2191</v>
      </c>
      <c r="AO103" t="s">
        <v>2192</v>
      </c>
      <c r="AP103" t="s">
        <v>2193</v>
      </c>
      <c r="AQ103" t="s">
        <v>74</v>
      </c>
      <c r="AR103" t="s">
        <v>2194</v>
      </c>
      <c r="AS103" t="s">
        <v>2195</v>
      </c>
      <c r="AT103" t="s">
        <v>535</v>
      </c>
      <c r="AU103">
        <v>2021</v>
      </c>
      <c r="AV103">
        <v>192</v>
      </c>
      <c r="AW103">
        <v>4</v>
      </c>
      <c r="AX103" t="s">
        <v>74</v>
      </c>
      <c r="AY103" t="s">
        <v>74</v>
      </c>
      <c r="AZ103" t="s">
        <v>74</v>
      </c>
      <c r="BA103" t="s">
        <v>74</v>
      </c>
      <c r="BB103">
        <v>1195</v>
      </c>
      <c r="BC103">
        <v>1236</v>
      </c>
      <c r="BD103" t="s">
        <v>74</v>
      </c>
      <c r="BE103" t="s">
        <v>2196</v>
      </c>
      <c r="BF103" t="str">
        <f>HYPERLINK("http://dx.doi.org/10.1093/zoolinnean/zlaa143","http://dx.doi.org/10.1093/zoolinnean/zlaa143")</f>
        <v>http://dx.doi.org/10.1093/zoolinnean/zlaa143</v>
      </c>
      <c r="BG103" t="s">
        <v>74</v>
      </c>
      <c r="BH103" t="s">
        <v>74</v>
      </c>
      <c r="BI103">
        <v>42</v>
      </c>
      <c r="BJ103" t="s">
        <v>2197</v>
      </c>
      <c r="BK103" t="s">
        <v>128</v>
      </c>
      <c r="BL103" t="s">
        <v>2197</v>
      </c>
      <c r="BM103" t="s">
        <v>2198</v>
      </c>
      <c r="BN103" t="s">
        <v>74</v>
      </c>
      <c r="BO103" t="s">
        <v>2199</v>
      </c>
      <c r="BP103" t="s">
        <v>74</v>
      </c>
      <c r="BQ103" t="s">
        <v>74</v>
      </c>
      <c r="BR103" t="s">
        <v>102</v>
      </c>
      <c r="BS103" t="s">
        <v>2200</v>
      </c>
      <c r="BT103" t="str">
        <f>HYPERLINK("https%3A%2F%2Fwww.webofscience.com%2Fwos%2Fwoscc%2Ffull-record%2FWOS:000693738800009","View Full Record in Web of Science")</f>
        <v>View Full Record in Web of Science</v>
      </c>
    </row>
    <row r="104" spans="1:72" x14ac:dyDescent="0.15">
      <c r="A104" t="s">
        <v>72</v>
      </c>
      <c r="B104" t="s">
        <v>2201</v>
      </c>
      <c r="C104" t="s">
        <v>74</v>
      </c>
      <c r="D104" t="s">
        <v>74</v>
      </c>
      <c r="E104" t="s">
        <v>74</v>
      </c>
      <c r="F104" t="s">
        <v>2202</v>
      </c>
      <c r="G104" t="s">
        <v>74</v>
      </c>
      <c r="H104" t="s">
        <v>74</v>
      </c>
      <c r="I104" t="s">
        <v>2203</v>
      </c>
      <c r="J104" t="s">
        <v>2204</v>
      </c>
      <c r="K104" t="s">
        <v>74</v>
      </c>
      <c r="L104" t="s">
        <v>74</v>
      </c>
      <c r="M104" t="s">
        <v>78</v>
      </c>
      <c r="N104" t="s">
        <v>79</v>
      </c>
      <c r="O104" t="s">
        <v>74</v>
      </c>
      <c r="P104" t="s">
        <v>74</v>
      </c>
      <c r="Q104" t="s">
        <v>74</v>
      </c>
      <c r="R104" t="s">
        <v>74</v>
      </c>
      <c r="S104" t="s">
        <v>74</v>
      </c>
      <c r="T104" t="s">
        <v>2205</v>
      </c>
      <c r="U104" t="s">
        <v>2206</v>
      </c>
      <c r="V104" t="s">
        <v>2207</v>
      </c>
      <c r="W104" t="s">
        <v>2208</v>
      </c>
      <c r="X104" t="s">
        <v>2209</v>
      </c>
      <c r="Y104" t="s">
        <v>2210</v>
      </c>
      <c r="Z104" t="s">
        <v>2211</v>
      </c>
      <c r="AA104" t="s">
        <v>2212</v>
      </c>
      <c r="AB104" t="s">
        <v>2213</v>
      </c>
      <c r="AC104" t="s">
        <v>2214</v>
      </c>
      <c r="AD104" t="s">
        <v>2215</v>
      </c>
      <c r="AE104" t="s">
        <v>2216</v>
      </c>
      <c r="AF104" t="s">
        <v>74</v>
      </c>
      <c r="AG104">
        <v>51</v>
      </c>
      <c r="AH104">
        <v>8</v>
      </c>
      <c r="AI104">
        <v>8</v>
      </c>
      <c r="AJ104">
        <v>3</v>
      </c>
      <c r="AK104">
        <v>35</v>
      </c>
      <c r="AL104" t="s">
        <v>2143</v>
      </c>
      <c r="AM104" t="s">
        <v>2144</v>
      </c>
      <c r="AN104" t="s">
        <v>2145</v>
      </c>
      <c r="AO104" t="s">
        <v>2217</v>
      </c>
      <c r="AP104" t="s">
        <v>74</v>
      </c>
      <c r="AQ104" t="s">
        <v>74</v>
      </c>
      <c r="AR104" t="s">
        <v>2218</v>
      </c>
      <c r="AS104" t="s">
        <v>2219</v>
      </c>
      <c r="AT104" t="s">
        <v>535</v>
      </c>
      <c r="AU104">
        <v>2021</v>
      </c>
      <c r="AV104">
        <v>16</v>
      </c>
      <c r="AW104">
        <v>8</v>
      </c>
      <c r="AX104" t="s">
        <v>74</v>
      </c>
      <c r="AY104" t="s">
        <v>74</v>
      </c>
      <c r="AZ104" t="s">
        <v>74</v>
      </c>
      <c r="BA104" t="s">
        <v>74</v>
      </c>
      <c r="BB104" t="s">
        <v>74</v>
      </c>
      <c r="BC104" t="s">
        <v>74</v>
      </c>
      <c r="BD104">
        <v>84009</v>
      </c>
      <c r="BE104" t="s">
        <v>2220</v>
      </c>
      <c r="BF104" t="str">
        <f>HYPERLINK("http://dx.doi.org/10.1088/1748-9326/ac0be2","http://dx.doi.org/10.1088/1748-9326/ac0be2")</f>
        <v>http://dx.doi.org/10.1088/1748-9326/ac0be2</v>
      </c>
      <c r="BG104" t="s">
        <v>74</v>
      </c>
      <c r="BH104" t="s">
        <v>74</v>
      </c>
      <c r="BI104">
        <v>14</v>
      </c>
      <c r="BJ104" t="s">
        <v>635</v>
      </c>
      <c r="BK104" t="s">
        <v>128</v>
      </c>
      <c r="BL104" t="s">
        <v>636</v>
      </c>
      <c r="BM104" t="s">
        <v>2221</v>
      </c>
      <c r="BN104" t="s">
        <v>74</v>
      </c>
      <c r="BO104" t="s">
        <v>486</v>
      </c>
      <c r="BP104" t="s">
        <v>74</v>
      </c>
      <c r="BQ104" t="s">
        <v>74</v>
      </c>
      <c r="BR104" t="s">
        <v>102</v>
      </c>
      <c r="BS104" t="s">
        <v>2222</v>
      </c>
      <c r="BT104" t="str">
        <f>HYPERLINK("https%3A%2F%2Fwww.webofscience.com%2Fwos%2Fwoscc%2Ffull-record%2FWOS:000675616500001","View Full Record in Web of Science")</f>
        <v>View Full Record in Web of Science</v>
      </c>
    </row>
    <row r="105" spans="1:72" x14ac:dyDescent="0.15">
      <c r="A105" t="s">
        <v>72</v>
      </c>
      <c r="B105" t="s">
        <v>2223</v>
      </c>
      <c r="C105" t="s">
        <v>74</v>
      </c>
      <c r="D105" t="s">
        <v>74</v>
      </c>
      <c r="E105" t="s">
        <v>74</v>
      </c>
      <c r="F105" t="s">
        <v>2224</v>
      </c>
      <c r="G105" t="s">
        <v>74</v>
      </c>
      <c r="H105" t="s">
        <v>74</v>
      </c>
      <c r="I105" t="s">
        <v>2225</v>
      </c>
      <c r="J105" t="s">
        <v>2226</v>
      </c>
      <c r="K105" t="s">
        <v>74</v>
      </c>
      <c r="L105" t="s">
        <v>74</v>
      </c>
      <c r="M105" t="s">
        <v>78</v>
      </c>
      <c r="N105" t="s">
        <v>79</v>
      </c>
      <c r="O105" t="s">
        <v>74</v>
      </c>
      <c r="P105" t="s">
        <v>74</v>
      </c>
      <c r="Q105" t="s">
        <v>74</v>
      </c>
      <c r="R105" t="s">
        <v>74</v>
      </c>
      <c r="S105" t="s">
        <v>74</v>
      </c>
      <c r="T105" t="s">
        <v>2227</v>
      </c>
      <c r="U105" t="s">
        <v>2228</v>
      </c>
      <c r="V105" t="s">
        <v>2229</v>
      </c>
      <c r="W105" t="s">
        <v>2230</v>
      </c>
      <c r="X105" t="s">
        <v>2231</v>
      </c>
      <c r="Y105" t="s">
        <v>2232</v>
      </c>
      <c r="Z105" t="s">
        <v>2233</v>
      </c>
      <c r="AA105" t="s">
        <v>2234</v>
      </c>
      <c r="AB105" t="s">
        <v>2235</v>
      </c>
      <c r="AC105" t="s">
        <v>2236</v>
      </c>
      <c r="AD105" t="s">
        <v>2237</v>
      </c>
      <c r="AE105" t="s">
        <v>2238</v>
      </c>
      <c r="AF105" t="s">
        <v>74</v>
      </c>
      <c r="AG105">
        <v>55</v>
      </c>
      <c r="AH105">
        <v>8</v>
      </c>
      <c r="AI105">
        <v>9</v>
      </c>
      <c r="AJ105">
        <v>2</v>
      </c>
      <c r="AK105">
        <v>16</v>
      </c>
      <c r="AL105" t="s">
        <v>649</v>
      </c>
      <c r="AM105" t="s">
        <v>2239</v>
      </c>
      <c r="AN105" t="s">
        <v>2240</v>
      </c>
      <c r="AO105" t="s">
        <v>2241</v>
      </c>
      <c r="AP105" t="s">
        <v>2242</v>
      </c>
      <c r="AQ105" t="s">
        <v>74</v>
      </c>
      <c r="AR105" t="s">
        <v>2243</v>
      </c>
      <c r="AS105" t="s">
        <v>2244</v>
      </c>
      <c r="AT105" t="s">
        <v>535</v>
      </c>
      <c r="AU105">
        <v>2021</v>
      </c>
      <c r="AV105">
        <v>67</v>
      </c>
      <c r="AW105">
        <v>264</v>
      </c>
      <c r="AX105" t="s">
        <v>74</v>
      </c>
      <c r="AY105" t="s">
        <v>74</v>
      </c>
      <c r="AZ105" t="s">
        <v>74</v>
      </c>
      <c r="BA105" t="s">
        <v>74</v>
      </c>
      <c r="BB105">
        <v>603</v>
      </c>
      <c r="BC105">
        <v>612</v>
      </c>
      <c r="BD105" t="s">
        <v>2245</v>
      </c>
      <c r="BE105" t="s">
        <v>2246</v>
      </c>
      <c r="BF105" t="str">
        <f>HYPERLINK("http://dx.doi.org/10.1017/jog.2021.14","http://dx.doi.org/10.1017/jog.2021.14")</f>
        <v>http://dx.doi.org/10.1017/jog.2021.14</v>
      </c>
      <c r="BG105" t="s">
        <v>74</v>
      </c>
      <c r="BH105" t="s">
        <v>74</v>
      </c>
      <c r="BI105">
        <v>10</v>
      </c>
      <c r="BJ105" t="s">
        <v>151</v>
      </c>
      <c r="BK105" t="s">
        <v>128</v>
      </c>
      <c r="BL105" t="s">
        <v>152</v>
      </c>
      <c r="BM105" t="s">
        <v>2247</v>
      </c>
      <c r="BN105" t="s">
        <v>74</v>
      </c>
      <c r="BO105" t="s">
        <v>311</v>
      </c>
      <c r="BP105" t="s">
        <v>74</v>
      </c>
      <c r="BQ105" t="s">
        <v>74</v>
      </c>
      <c r="BR105" t="s">
        <v>102</v>
      </c>
      <c r="BS105" t="s">
        <v>2248</v>
      </c>
      <c r="BT105" t="str">
        <f>HYPERLINK("https%3A%2F%2Fwww.webofscience.com%2Fwos%2Fwoscc%2Ffull-record%2FWOS:000670030500003","View Full Record in Web of Science")</f>
        <v>View Full Record in Web of Science</v>
      </c>
    </row>
    <row r="106" spans="1:72" x14ac:dyDescent="0.15">
      <c r="A106" t="s">
        <v>72</v>
      </c>
      <c r="B106" t="s">
        <v>2249</v>
      </c>
      <c r="C106" t="s">
        <v>74</v>
      </c>
      <c r="D106" t="s">
        <v>74</v>
      </c>
      <c r="E106" t="s">
        <v>74</v>
      </c>
      <c r="F106" t="s">
        <v>2250</v>
      </c>
      <c r="G106" t="s">
        <v>74</v>
      </c>
      <c r="H106" t="s">
        <v>74</v>
      </c>
      <c r="I106" t="s">
        <v>2251</v>
      </c>
      <c r="J106" t="s">
        <v>2226</v>
      </c>
      <c r="K106" t="s">
        <v>74</v>
      </c>
      <c r="L106" t="s">
        <v>74</v>
      </c>
      <c r="M106" t="s">
        <v>78</v>
      </c>
      <c r="N106" t="s">
        <v>79</v>
      </c>
      <c r="O106" t="s">
        <v>74</v>
      </c>
      <c r="P106" t="s">
        <v>74</v>
      </c>
      <c r="Q106" t="s">
        <v>74</v>
      </c>
      <c r="R106" t="s">
        <v>74</v>
      </c>
      <c r="S106" t="s">
        <v>74</v>
      </c>
      <c r="T106" t="s">
        <v>2252</v>
      </c>
      <c r="U106" t="s">
        <v>2253</v>
      </c>
      <c r="V106" t="s">
        <v>2254</v>
      </c>
      <c r="W106" t="s">
        <v>2255</v>
      </c>
      <c r="X106" t="s">
        <v>2256</v>
      </c>
      <c r="Y106" t="s">
        <v>2257</v>
      </c>
      <c r="Z106" t="s">
        <v>2258</v>
      </c>
      <c r="AA106" t="s">
        <v>2259</v>
      </c>
      <c r="AB106" t="s">
        <v>2260</v>
      </c>
      <c r="AC106" t="s">
        <v>2261</v>
      </c>
      <c r="AD106" t="s">
        <v>2262</v>
      </c>
      <c r="AE106" t="s">
        <v>2263</v>
      </c>
      <c r="AF106" t="s">
        <v>74</v>
      </c>
      <c r="AG106">
        <v>67</v>
      </c>
      <c r="AH106">
        <v>7</v>
      </c>
      <c r="AI106">
        <v>7</v>
      </c>
      <c r="AJ106">
        <v>0</v>
      </c>
      <c r="AK106">
        <v>9</v>
      </c>
      <c r="AL106" t="s">
        <v>649</v>
      </c>
      <c r="AM106" t="s">
        <v>2239</v>
      </c>
      <c r="AN106" t="s">
        <v>2240</v>
      </c>
      <c r="AO106" t="s">
        <v>2241</v>
      </c>
      <c r="AP106" t="s">
        <v>2242</v>
      </c>
      <c r="AQ106" t="s">
        <v>74</v>
      </c>
      <c r="AR106" t="s">
        <v>2243</v>
      </c>
      <c r="AS106" t="s">
        <v>2244</v>
      </c>
      <c r="AT106" t="s">
        <v>535</v>
      </c>
      <c r="AU106">
        <v>2021</v>
      </c>
      <c r="AV106">
        <v>67</v>
      </c>
      <c r="AW106">
        <v>264</v>
      </c>
      <c r="AX106" t="s">
        <v>74</v>
      </c>
      <c r="AY106" t="s">
        <v>74</v>
      </c>
      <c r="AZ106" t="s">
        <v>74</v>
      </c>
      <c r="BA106" t="s">
        <v>74</v>
      </c>
      <c r="BB106">
        <v>641</v>
      </c>
      <c r="BC106">
        <v>652</v>
      </c>
      <c r="BD106" t="s">
        <v>2264</v>
      </c>
      <c r="BE106" t="s">
        <v>2265</v>
      </c>
      <c r="BF106" t="str">
        <f>HYPERLINK("http://dx.doi.org/10.1017/jog.2021.17","http://dx.doi.org/10.1017/jog.2021.17")</f>
        <v>http://dx.doi.org/10.1017/jog.2021.17</v>
      </c>
      <c r="BG106" t="s">
        <v>74</v>
      </c>
      <c r="BH106" t="s">
        <v>74</v>
      </c>
      <c r="BI106">
        <v>12</v>
      </c>
      <c r="BJ106" t="s">
        <v>151</v>
      </c>
      <c r="BK106" t="s">
        <v>128</v>
      </c>
      <c r="BL106" t="s">
        <v>152</v>
      </c>
      <c r="BM106" t="s">
        <v>2247</v>
      </c>
      <c r="BN106" t="s">
        <v>74</v>
      </c>
      <c r="BO106" t="s">
        <v>2266</v>
      </c>
      <c r="BP106" t="s">
        <v>74</v>
      </c>
      <c r="BQ106" t="s">
        <v>74</v>
      </c>
      <c r="BR106" t="s">
        <v>102</v>
      </c>
      <c r="BS106" t="s">
        <v>2267</v>
      </c>
      <c r="BT106" t="str">
        <f>HYPERLINK("https%3A%2F%2Fwww.webofscience.com%2Fwos%2Fwoscc%2Ffull-record%2FWOS:000670030500006","View Full Record in Web of Science")</f>
        <v>View Full Record in Web of Science</v>
      </c>
    </row>
    <row r="107" spans="1:72" x14ac:dyDescent="0.15">
      <c r="A107" t="s">
        <v>72</v>
      </c>
      <c r="B107" t="s">
        <v>2268</v>
      </c>
      <c r="C107" t="s">
        <v>74</v>
      </c>
      <c r="D107" t="s">
        <v>74</v>
      </c>
      <c r="E107" t="s">
        <v>74</v>
      </c>
      <c r="F107" t="s">
        <v>2269</v>
      </c>
      <c r="G107" t="s">
        <v>74</v>
      </c>
      <c r="H107" t="s">
        <v>74</v>
      </c>
      <c r="I107" t="s">
        <v>2270</v>
      </c>
      <c r="J107" t="s">
        <v>2226</v>
      </c>
      <c r="K107" t="s">
        <v>74</v>
      </c>
      <c r="L107" t="s">
        <v>74</v>
      </c>
      <c r="M107" t="s">
        <v>78</v>
      </c>
      <c r="N107" t="s">
        <v>79</v>
      </c>
      <c r="O107" t="s">
        <v>74</v>
      </c>
      <c r="P107" t="s">
        <v>74</v>
      </c>
      <c r="Q107" t="s">
        <v>74</v>
      </c>
      <c r="R107" t="s">
        <v>74</v>
      </c>
      <c r="S107" t="s">
        <v>74</v>
      </c>
      <c r="T107" t="s">
        <v>2271</v>
      </c>
      <c r="U107" t="s">
        <v>2272</v>
      </c>
      <c r="V107" t="s">
        <v>2273</v>
      </c>
      <c r="W107" t="s">
        <v>2274</v>
      </c>
      <c r="X107" t="s">
        <v>2275</v>
      </c>
      <c r="Y107" t="s">
        <v>2276</v>
      </c>
      <c r="Z107" t="s">
        <v>2277</v>
      </c>
      <c r="AA107" t="s">
        <v>2278</v>
      </c>
      <c r="AB107" t="s">
        <v>2279</v>
      </c>
      <c r="AC107" t="s">
        <v>2280</v>
      </c>
      <c r="AD107" t="s">
        <v>2280</v>
      </c>
      <c r="AE107" t="s">
        <v>2281</v>
      </c>
      <c r="AF107" t="s">
        <v>74</v>
      </c>
      <c r="AG107">
        <v>71</v>
      </c>
      <c r="AH107">
        <v>10</v>
      </c>
      <c r="AI107">
        <v>12</v>
      </c>
      <c r="AJ107">
        <v>5</v>
      </c>
      <c r="AK107">
        <v>23</v>
      </c>
      <c r="AL107" t="s">
        <v>649</v>
      </c>
      <c r="AM107" t="s">
        <v>2239</v>
      </c>
      <c r="AN107" t="s">
        <v>2240</v>
      </c>
      <c r="AO107" t="s">
        <v>2241</v>
      </c>
      <c r="AP107" t="s">
        <v>2242</v>
      </c>
      <c r="AQ107" t="s">
        <v>74</v>
      </c>
      <c r="AR107" t="s">
        <v>2243</v>
      </c>
      <c r="AS107" t="s">
        <v>2244</v>
      </c>
      <c r="AT107" t="s">
        <v>535</v>
      </c>
      <c r="AU107">
        <v>2021</v>
      </c>
      <c r="AV107">
        <v>67</v>
      </c>
      <c r="AW107">
        <v>264</v>
      </c>
      <c r="AX107" t="s">
        <v>74</v>
      </c>
      <c r="AY107" t="s">
        <v>74</v>
      </c>
      <c r="AZ107" t="s">
        <v>74</v>
      </c>
      <c r="BA107" t="s">
        <v>74</v>
      </c>
      <c r="BB107">
        <v>685</v>
      </c>
      <c r="BC107">
        <v>696</v>
      </c>
      <c r="BD107" t="s">
        <v>2282</v>
      </c>
      <c r="BE107" t="s">
        <v>2283</v>
      </c>
      <c r="BF107" t="str">
        <f>HYPERLINK("http://dx.doi.org/10.1017/jog.2021.47","http://dx.doi.org/10.1017/jog.2021.47")</f>
        <v>http://dx.doi.org/10.1017/jog.2021.47</v>
      </c>
      <c r="BG107" t="s">
        <v>74</v>
      </c>
      <c r="BH107" t="s">
        <v>74</v>
      </c>
      <c r="BI107">
        <v>12</v>
      </c>
      <c r="BJ107" t="s">
        <v>151</v>
      </c>
      <c r="BK107" t="s">
        <v>128</v>
      </c>
      <c r="BL107" t="s">
        <v>152</v>
      </c>
      <c r="BM107" t="s">
        <v>2247</v>
      </c>
      <c r="BN107" t="s">
        <v>74</v>
      </c>
      <c r="BO107" t="s">
        <v>638</v>
      </c>
      <c r="BP107" t="s">
        <v>74</v>
      </c>
      <c r="BQ107" t="s">
        <v>74</v>
      </c>
      <c r="BR107" t="s">
        <v>102</v>
      </c>
      <c r="BS107" t="s">
        <v>2284</v>
      </c>
      <c r="BT107" t="str">
        <f>HYPERLINK("https%3A%2F%2Fwww.webofscience.com%2Fwos%2Fwoscc%2Ffull-record%2FWOS:000670030500009","View Full Record in Web of Science")</f>
        <v>View Full Record in Web of Science</v>
      </c>
    </row>
    <row r="108" spans="1:72" x14ac:dyDescent="0.15">
      <c r="A108" t="s">
        <v>72</v>
      </c>
      <c r="B108" t="s">
        <v>2285</v>
      </c>
      <c r="C108" t="s">
        <v>74</v>
      </c>
      <c r="D108" t="s">
        <v>74</v>
      </c>
      <c r="E108" t="s">
        <v>74</v>
      </c>
      <c r="F108" t="s">
        <v>2286</v>
      </c>
      <c r="G108" t="s">
        <v>74</v>
      </c>
      <c r="H108" t="s">
        <v>74</v>
      </c>
      <c r="I108" t="s">
        <v>2287</v>
      </c>
      <c r="J108" t="s">
        <v>2288</v>
      </c>
      <c r="K108" t="s">
        <v>74</v>
      </c>
      <c r="L108" t="s">
        <v>74</v>
      </c>
      <c r="M108" t="s">
        <v>78</v>
      </c>
      <c r="N108" t="s">
        <v>79</v>
      </c>
      <c r="O108" t="s">
        <v>74</v>
      </c>
      <c r="P108" t="s">
        <v>74</v>
      </c>
      <c r="Q108" t="s">
        <v>74</v>
      </c>
      <c r="R108" t="s">
        <v>74</v>
      </c>
      <c r="S108" t="s">
        <v>74</v>
      </c>
      <c r="T108" t="s">
        <v>2289</v>
      </c>
      <c r="U108" t="s">
        <v>2290</v>
      </c>
      <c r="V108" t="s">
        <v>2291</v>
      </c>
      <c r="W108" t="s">
        <v>2292</v>
      </c>
      <c r="X108" t="s">
        <v>2293</v>
      </c>
      <c r="Y108" t="s">
        <v>724</v>
      </c>
      <c r="Z108" t="s">
        <v>725</v>
      </c>
      <c r="AA108" t="s">
        <v>74</v>
      </c>
      <c r="AB108" t="s">
        <v>2294</v>
      </c>
      <c r="AC108" t="s">
        <v>74</v>
      </c>
      <c r="AD108" t="s">
        <v>74</v>
      </c>
      <c r="AE108" t="s">
        <v>74</v>
      </c>
      <c r="AF108" t="s">
        <v>74</v>
      </c>
      <c r="AG108">
        <v>79</v>
      </c>
      <c r="AH108">
        <v>4</v>
      </c>
      <c r="AI108">
        <v>4</v>
      </c>
      <c r="AJ108">
        <v>0</v>
      </c>
      <c r="AK108">
        <v>2</v>
      </c>
      <c r="AL108" t="s">
        <v>450</v>
      </c>
      <c r="AM108" t="s">
        <v>650</v>
      </c>
      <c r="AN108" t="s">
        <v>1957</v>
      </c>
      <c r="AO108" t="s">
        <v>2295</v>
      </c>
      <c r="AP108" t="s">
        <v>2296</v>
      </c>
      <c r="AQ108" t="s">
        <v>74</v>
      </c>
      <c r="AR108" t="s">
        <v>2297</v>
      </c>
      <c r="AS108" t="s">
        <v>2298</v>
      </c>
      <c r="AT108" t="s">
        <v>535</v>
      </c>
      <c r="AU108">
        <v>2021</v>
      </c>
      <c r="AV108">
        <v>83</v>
      </c>
      <c r="AW108">
        <v>8</v>
      </c>
      <c r="AX108" t="s">
        <v>74</v>
      </c>
      <c r="AY108" t="s">
        <v>74</v>
      </c>
      <c r="AZ108" t="s">
        <v>74</v>
      </c>
      <c r="BA108" t="s">
        <v>74</v>
      </c>
      <c r="BB108" t="s">
        <v>74</v>
      </c>
      <c r="BC108" t="s">
        <v>74</v>
      </c>
      <c r="BD108">
        <v>49</v>
      </c>
      <c r="BE108" t="s">
        <v>2299</v>
      </c>
      <c r="BF108" t="str">
        <f>HYPERLINK("http://dx.doi.org/10.1007/s00445-021-01475-y","http://dx.doi.org/10.1007/s00445-021-01475-y")</f>
        <v>http://dx.doi.org/10.1007/s00445-021-01475-y</v>
      </c>
      <c r="BG108" t="s">
        <v>74</v>
      </c>
      <c r="BH108" t="s">
        <v>74</v>
      </c>
      <c r="BI108">
        <v>21</v>
      </c>
      <c r="BJ108" t="s">
        <v>405</v>
      </c>
      <c r="BK108" t="s">
        <v>128</v>
      </c>
      <c r="BL108" t="s">
        <v>406</v>
      </c>
      <c r="BM108" t="s">
        <v>2300</v>
      </c>
      <c r="BN108" t="s">
        <v>74</v>
      </c>
      <c r="BO108" t="s">
        <v>291</v>
      </c>
      <c r="BP108" t="s">
        <v>74</v>
      </c>
      <c r="BQ108" t="s">
        <v>74</v>
      </c>
      <c r="BR108" t="s">
        <v>102</v>
      </c>
      <c r="BS108" t="s">
        <v>2301</v>
      </c>
      <c r="BT108" t="str">
        <f>HYPERLINK("https%3A%2F%2Fwww.webofscience.com%2Fwos%2Fwoscc%2Ffull-record%2FWOS:000669883700001","View Full Record in Web of Science")</f>
        <v>View Full Record in Web of Science</v>
      </c>
    </row>
    <row r="109" spans="1:72" x14ac:dyDescent="0.15">
      <c r="A109" t="s">
        <v>72</v>
      </c>
      <c r="B109" t="s">
        <v>2302</v>
      </c>
      <c r="C109" t="s">
        <v>74</v>
      </c>
      <c r="D109" t="s">
        <v>74</v>
      </c>
      <c r="E109" t="s">
        <v>74</v>
      </c>
      <c r="F109" t="s">
        <v>2303</v>
      </c>
      <c r="G109" t="s">
        <v>74</v>
      </c>
      <c r="H109" t="s">
        <v>74</v>
      </c>
      <c r="I109" t="s">
        <v>2304</v>
      </c>
      <c r="J109" t="s">
        <v>2305</v>
      </c>
      <c r="K109" t="s">
        <v>74</v>
      </c>
      <c r="L109" t="s">
        <v>74</v>
      </c>
      <c r="M109" t="s">
        <v>78</v>
      </c>
      <c r="N109" t="s">
        <v>79</v>
      </c>
      <c r="O109" t="s">
        <v>74</v>
      </c>
      <c r="P109" t="s">
        <v>74</v>
      </c>
      <c r="Q109" t="s">
        <v>74</v>
      </c>
      <c r="R109" t="s">
        <v>74</v>
      </c>
      <c r="S109" t="s">
        <v>74</v>
      </c>
      <c r="T109" t="s">
        <v>2306</v>
      </c>
      <c r="U109" t="s">
        <v>2307</v>
      </c>
      <c r="V109" t="s">
        <v>2308</v>
      </c>
      <c r="W109" t="s">
        <v>2309</v>
      </c>
      <c r="X109" t="s">
        <v>2310</v>
      </c>
      <c r="Y109" t="s">
        <v>2311</v>
      </c>
      <c r="Z109" t="s">
        <v>2312</v>
      </c>
      <c r="AA109" t="s">
        <v>2313</v>
      </c>
      <c r="AB109" t="s">
        <v>2314</v>
      </c>
      <c r="AC109" t="s">
        <v>2315</v>
      </c>
      <c r="AD109" t="s">
        <v>2316</v>
      </c>
      <c r="AE109" t="s">
        <v>2317</v>
      </c>
      <c r="AF109" t="s">
        <v>74</v>
      </c>
      <c r="AG109">
        <v>142</v>
      </c>
      <c r="AH109">
        <v>9</v>
      </c>
      <c r="AI109">
        <v>10</v>
      </c>
      <c r="AJ109">
        <v>2</v>
      </c>
      <c r="AK109">
        <v>25</v>
      </c>
      <c r="AL109" t="s">
        <v>227</v>
      </c>
      <c r="AM109" t="s">
        <v>228</v>
      </c>
      <c r="AN109" t="s">
        <v>229</v>
      </c>
      <c r="AO109" t="s">
        <v>2318</v>
      </c>
      <c r="AP109" t="s">
        <v>2319</v>
      </c>
      <c r="AQ109" t="s">
        <v>74</v>
      </c>
      <c r="AR109" t="s">
        <v>2320</v>
      </c>
      <c r="AS109" t="s">
        <v>2321</v>
      </c>
      <c r="AT109" t="s">
        <v>535</v>
      </c>
      <c r="AU109">
        <v>2021</v>
      </c>
      <c r="AV109">
        <v>170</v>
      </c>
      <c r="AW109" t="s">
        <v>74</v>
      </c>
      <c r="AX109" t="s">
        <v>74</v>
      </c>
      <c r="AY109" t="s">
        <v>74</v>
      </c>
      <c r="AZ109" t="s">
        <v>74</v>
      </c>
      <c r="BA109" t="s">
        <v>74</v>
      </c>
      <c r="BB109" t="s">
        <v>74</v>
      </c>
      <c r="BC109" t="s">
        <v>74</v>
      </c>
      <c r="BD109">
        <v>105430</v>
      </c>
      <c r="BE109" t="s">
        <v>2322</v>
      </c>
      <c r="BF109" t="str">
        <f>HYPERLINK("http://dx.doi.org/10.1016/j.marenvres.2021.105430","http://dx.doi.org/10.1016/j.marenvres.2021.105430")</f>
        <v>http://dx.doi.org/10.1016/j.marenvres.2021.105430</v>
      </c>
      <c r="BG109" t="s">
        <v>74</v>
      </c>
      <c r="BH109" t="s">
        <v>2323</v>
      </c>
      <c r="BI109">
        <v>13</v>
      </c>
      <c r="BJ109" t="s">
        <v>2324</v>
      </c>
      <c r="BK109" t="s">
        <v>128</v>
      </c>
      <c r="BL109" t="s">
        <v>2325</v>
      </c>
      <c r="BM109" t="s">
        <v>2326</v>
      </c>
      <c r="BN109">
        <v>34340030</v>
      </c>
      <c r="BO109" t="s">
        <v>74</v>
      </c>
      <c r="BP109" t="s">
        <v>74</v>
      </c>
      <c r="BQ109" t="s">
        <v>74</v>
      </c>
      <c r="BR109" t="s">
        <v>102</v>
      </c>
      <c r="BS109" t="s">
        <v>2327</v>
      </c>
      <c r="BT109" t="str">
        <f>HYPERLINK("https%3A%2F%2Fwww.webofscience.com%2Fwos%2Fwoscc%2Ffull-record%2FWOS:000691784700004","View Full Record in Web of Science")</f>
        <v>View Full Record in Web of Science</v>
      </c>
    </row>
    <row r="110" spans="1:72" x14ac:dyDescent="0.15">
      <c r="A110" t="s">
        <v>72</v>
      </c>
      <c r="B110" t="s">
        <v>2328</v>
      </c>
      <c r="C110" t="s">
        <v>74</v>
      </c>
      <c r="D110" t="s">
        <v>74</v>
      </c>
      <c r="E110" t="s">
        <v>74</v>
      </c>
      <c r="F110" t="s">
        <v>2329</v>
      </c>
      <c r="G110" t="s">
        <v>74</v>
      </c>
      <c r="H110" t="s">
        <v>74</v>
      </c>
      <c r="I110" t="s">
        <v>2330</v>
      </c>
      <c r="J110" t="s">
        <v>2331</v>
      </c>
      <c r="K110" t="s">
        <v>74</v>
      </c>
      <c r="L110" t="s">
        <v>74</v>
      </c>
      <c r="M110" t="s">
        <v>78</v>
      </c>
      <c r="N110" t="s">
        <v>79</v>
      </c>
      <c r="O110" t="s">
        <v>74</v>
      </c>
      <c r="P110" t="s">
        <v>74</v>
      </c>
      <c r="Q110" t="s">
        <v>74</v>
      </c>
      <c r="R110" t="s">
        <v>74</v>
      </c>
      <c r="S110" t="s">
        <v>74</v>
      </c>
      <c r="T110" t="s">
        <v>74</v>
      </c>
      <c r="U110" t="s">
        <v>2332</v>
      </c>
      <c r="V110" t="s">
        <v>2333</v>
      </c>
      <c r="W110" t="s">
        <v>2334</v>
      </c>
      <c r="X110" t="s">
        <v>2335</v>
      </c>
      <c r="Y110" t="s">
        <v>2336</v>
      </c>
      <c r="Z110" t="s">
        <v>2337</v>
      </c>
      <c r="AA110" t="s">
        <v>2338</v>
      </c>
      <c r="AB110" t="s">
        <v>2339</v>
      </c>
      <c r="AC110" t="s">
        <v>2340</v>
      </c>
      <c r="AD110" t="s">
        <v>2341</v>
      </c>
      <c r="AE110" t="s">
        <v>2342</v>
      </c>
      <c r="AF110" t="s">
        <v>74</v>
      </c>
      <c r="AG110">
        <v>226</v>
      </c>
      <c r="AH110">
        <v>9</v>
      </c>
      <c r="AI110">
        <v>10</v>
      </c>
      <c r="AJ110">
        <v>19</v>
      </c>
      <c r="AK110">
        <v>105</v>
      </c>
      <c r="AL110" t="s">
        <v>89</v>
      </c>
      <c r="AM110" t="s">
        <v>90</v>
      </c>
      <c r="AN110" t="s">
        <v>91</v>
      </c>
      <c r="AO110" t="s">
        <v>2343</v>
      </c>
      <c r="AP110" t="s">
        <v>2344</v>
      </c>
      <c r="AQ110" t="s">
        <v>74</v>
      </c>
      <c r="AR110" t="s">
        <v>2345</v>
      </c>
      <c r="AS110" t="s">
        <v>2346</v>
      </c>
      <c r="AT110" t="s">
        <v>402</v>
      </c>
      <c r="AU110">
        <v>2021</v>
      </c>
      <c r="AV110">
        <v>220</v>
      </c>
      <c r="AW110" t="s">
        <v>74</v>
      </c>
      <c r="AX110" t="s">
        <v>74</v>
      </c>
      <c r="AY110" t="s">
        <v>74</v>
      </c>
      <c r="AZ110" t="s">
        <v>74</v>
      </c>
      <c r="BA110" t="s">
        <v>74</v>
      </c>
      <c r="BB110" t="s">
        <v>74</v>
      </c>
      <c r="BC110" t="s">
        <v>74</v>
      </c>
      <c r="BD110">
        <v>103753</v>
      </c>
      <c r="BE110" t="s">
        <v>2347</v>
      </c>
      <c r="BF110" t="str">
        <f>HYPERLINK("http://dx.doi.org/10.1016/j.earscirev.2021.103753","http://dx.doi.org/10.1016/j.earscirev.2021.103753")</f>
        <v>http://dx.doi.org/10.1016/j.earscirev.2021.103753</v>
      </c>
      <c r="BG110" t="s">
        <v>74</v>
      </c>
      <c r="BH110" t="s">
        <v>2323</v>
      </c>
      <c r="BI110">
        <v>19</v>
      </c>
      <c r="BJ110" t="s">
        <v>405</v>
      </c>
      <c r="BK110" t="s">
        <v>128</v>
      </c>
      <c r="BL110" t="s">
        <v>406</v>
      </c>
      <c r="BM110" t="s">
        <v>2348</v>
      </c>
      <c r="BN110" t="s">
        <v>74</v>
      </c>
      <c r="BO110" t="s">
        <v>74</v>
      </c>
      <c r="BP110" t="s">
        <v>74</v>
      </c>
      <c r="BQ110" t="s">
        <v>74</v>
      </c>
      <c r="BR110" t="s">
        <v>102</v>
      </c>
      <c r="BS110" t="s">
        <v>2349</v>
      </c>
      <c r="BT110" t="str">
        <f>HYPERLINK("https%3A%2F%2Fwww.webofscience.com%2Fwos%2Fwoscc%2Ffull-record%2FWOS:000703179300001","View Full Record in Web of Science")</f>
        <v>View Full Record in Web of Science</v>
      </c>
    </row>
    <row r="111" spans="1:72" x14ac:dyDescent="0.15">
      <c r="A111" t="s">
        <v>72</v>
      </c>
      <c r="B111" t="s">
        <v>2350</v>
      </c>
      <c r="C111" t="s">
        <v>74</v>
      </c>
      <c r="D111" t="s">
        <v>74</v>
      </c>
      <c r="E111" t="s">
        <v>74</v>
      </c>
      <c r="F111" t="s">
        <v>2351</v>
      </c>
      <c r="G111" t="s">
        <v>74</v>
      </c>
      <c r="H111" t="s">
        <v>74</v>
      </c>
      <c r="I111" t="s">
        <v>2352</v>
      </c>
      <c r="J111" t="s">
        <v>107</v>
      </c>
      <c r="K111" t="s">
        <v>74</v>
      </c>
      <c r="L111" t="s">
        <v>74</v>
      </c>
      <c r="M111" t="s">
        <v>78</v>
      </c>
      <c r="N111" t="s">
        <v>79</v>
      </c>
      <c r="O111" t="s">
        <v>74</v>
      </c>
      <c r="P111" t="s">
        <v>74</v>
      </c>
      <c r="Q111" t="s">
        <v>74</v>
      </c>
      <c r="R111" t="s">
        <v>74</v>
      </c>
      <c r="S111" t="s">
        <v>74</v>
      </c>
      <c r="T111" t="s">
        <v>2353</v>
      </c>
      <c r="U111" t="s">
        <v>2354</v>
      </c>
      <c r="V111" t="s">
        <v>2355</v>
      </c>
      <c r="W111" t="s">
        <v>2356</v>
      </c>
      <c r="X111" t="s">
        <v>2357</v>
      </c>
      <c r="Y111" t="s">
        <v>2358</v>
      </c>
      <c r="Z111" t="s">
        <v>2359</v>
      </c>
      <c r="AA111" t="s">
        <v>2360</v>
      </c>
      <c r="AB111" t="s">
        <v>2361</v>
      </c>
      <c r="AC111" t="s">
        <v>2362</v>
      </c>
      <c r="AD111" t="s">
        <v>2362</v>
      </c>
      <c r="AE111" t="s">
        <v>2363</v>
      </c>
      <c r="AF111" t="s">
        <v>74</v>
      </c>
      <c r="AG111">
        <v>32</v>
      </c>
      <c r="AH111">
        <v>4</v>
      </c>
      <c r="AI111">
        <v>4</v>
      </c>
      <c r="AJ111">
        <v>1</v>
      </c>
      <c r="AK111">
        <v>8</v>
      </c>
      <c r="AL111" t="s">
        <v>119</v>
      </c>
      <c r="AM111" t="s">
        <v>120</v>
      </c>
      <c r="AN111" t="s">
        <v>121</v>
      </c>
      <c r="AO111" t="s">
        <v>74</v>
      </c>
      <c r="AP111" t="s">
        <v>122</v>
      </c>
      <c r="AQ111" t="s">
        <v>74</v>
      </c>
      <c r="AR111" t="s">
        <v>123</v>
      </c>
      <c r="AS111" t="s">
        <v>124</v>
      </c>
      <c r="AT111" t="s">
        <v>2364</v>
      </c>
      <c r="AU111">
        <v>2021</v>
      </c>
      <c r="AV111">
        <v>8</v>
      </c>
      <c r="AW111" t="s">
        <v>74</v>
      </c>
      <c r="AX111" t="s">
        <v>74</v>
      </c>
      <c r="AY111" t="s">
        <v>74</v>
      </c>
      <c r="AZ111" t="s">
        <v>74</v>
      </c>
      <c r="BA111" t="s">
        <v>74</v>
      </c>
      <c r="BB111" t="s">
        <v>74</v>
      </c>
      <c r="BC111" t="s">
        <v>74</v>
      </c>
      <c r="BD111">
        <v>689280</v>
      </c>
      <c r="BE111" t="s">
        <v>2365</v>
      </c>
      <c r="BF111" t="str">
        <f>HYPERLINK("http://dx.doi.org/10.3389/fmars.2021.689280","http://dx.doi.org/10.3389/fmars.2021.689280")</f>
        <v>http://dx.doi.org/10.3389/fmars.2021.689280</v>
      </c>
      <c r="BG111" t="s">
        <v>74</v>
      </c>
      <c r="BH111" t="s">
        <v>74</v>
      </c>
      <c r="BI111">
        <v>17</v>
      </c>
      <c r="BJ111" t="s">
        <v>127</v>
      </c>
      <c r="BK111" t="s">
        <v>128</v>
      </c>
      <c r="BL111" t="s">
        <v>129</v>
      </c>
      <c r="BM111" t="s">
        <v>2366</v>
      </c>
      <c r="BN111" t="s">
        <v>74</v>
      </c>
      <c r="BO111" t="s">
        <v>2367</v>
      </c>
      <c r="BP111" t="s">
        <v>74</v>
      </c>
      <c r="BQ111" t="s">
        <v>74</v>
      </c>
      <c r="BR111" t="s">
        <v>102</v>
      </c>
      <c r="BS111" t="s">
        <v>2368</v>
      </c>
      <c r="BT111" t="str">
        <f>HYPERLINK("https%3A%2F%2Fwww.webofscience.com%2Fwos%2Fwoscc%2Ffull-record%2FWOS:000683303500001","View Full Record in Web of Science")</f>
        <v>View Full Record in Web of Science</v>
      </c>
    </row>
    <row r="112" spans="1:72" x14ac:dyDescent="0.15">
      <c r="A112" t="s">
        <v>72</v>
      </c>
      <c r="B112" t="s">
        <v>2369</v>
      </c>
      <c r="C112" t="s">
        <v>74</v>
      </c>
      <c r="D112" t="s">
        <v>74</v>
      </c>
      <c r="E112" t="s">
        <v>74</v>
      </c>
      <c r="F112" t="s">
        <v>2370</v>
      </c>
      <c r="G112" t="s">
        <v>74</v>
      </c>
      <c r="H112" t="s">
        <v>74</v>
      </c>
      <c r="I112" t="s">
        <v>2371</v>
      </c>
      <c r="J112" t="s">
        <v>2372</v>
      </c>
      <c r="K112" t="s">
        <v>74</v>
      </c>
      <c r="L112" t="s">
        <v>74</v>
      </c>
      <c r="M112" t="s">
        <v>78</v>
      </c>
      <c r="N112" t="s">
        <v>79</v>
      </c>
      <c r="O112" t="s">
        <v>74</v>
      </c>
      <c r="P112" t="s">
        <v>74</v>
      </c>
      <c r="Q112" t="s">
        <v>74</v>
      </c>
      <c r="R112" t="s">
        <v>74</v>
      </c>
      <c r="S112" t="s">
        <v>74</v>
      </c>
      <c r="T112" t="s">
        <v>2373</v>
      </c>
      <c r="U112" t="s">
        <v>74</v>
      </c>
      <c r="V112" t="s">
        <v>2374</v>
      </c>
      <c r="W112" t="s">
        <v>2375</v>
      </c>
      <c r="X112" t="s">
        <v>2376</v>
      </c>
      <c r="Y112" t="s">
        <v>2377</v>
      </c>
      <c r="Z112" t="s">
        <v>2378</v>
      </c>
      <c r="AA112" t="s">
        <v>74</v>
      </c>
      <c r="AB112" t="s">
        <v>2379</v>
      </c>
      <c r="AC112" t="s">
        <v>2380</v>
      </c>
      <c r="AD112" t="s">
        <v>2381</v>
      </c>
      <c r="AE112" t="s">
        <v>2382</v>
      </c>
      <c r="AF112" t="s">
        <v>74</v>
      </c>
      <c r="AG112">
        <v>30</v>
      </c>
      <c r="AH112">
        <v>2</v>
      </c>
      <c r="AI112">
        <v>2</v>
      </c>
      <c r="AJ112">
        <v>1</v>
      </c>
      <c r="AK112">
        <v>3</v>
      </c>
      <c r="AL112" t="s">
        <v>227</v>
      </c>
      <c r="AM112" t="s">
        <v>228</v>
      </c>
      <c r="AN112" t="s">
        <v>229</v>
      </c>
      <c r="AO112" t="s">
        <v>2383</v>
      </c>
      <c r="AP112" t="s">
        <v>2384</v>
      </c>
      <c r="AQ112" t="s">
        <v>74</v>
      </c>
      <c r="AR112" t="s">
        <v>2385</v>
      </c>
      <c r="AS112" t="s">
        <v>2386</v>
      </c>
      <c r="AT112" t="s">
        <v>2387</v>
      </c>
      <c r="AU112">
        <v>2021</v>
      </c>
      <c r="AV112">
        <v>68</v>
      </c>
      <c r="AW112">
        <v>6</v>
      </c>
      <c r="AX112" t="s">
        <v>74</v>
      </c>
      <c r="AY112" t="s">
        <v>74</v>
      </c>
      <c r="AZ112" t="s">
        <v>74</v>
      </c>
      <c r="BA112" t="s">
        <v>74</v>
      </c>
      <c r="BB112">
        <v>2661</v>
      </c>
      <c r="BC112">
        <v>2675</v>
      </c>
      <c r="BD112" t="s">
        <v>74</v>
      </c>
      <c r="BE112" t="s">
        <v>2388</v>
      </c>
      <c r="BF112" t="str">
        <f>HYPERLINK("http://dx.doi.org/10.1016/j.asr.2021.05.032","http://dx.doi.org/10.1016/j.asr.2021.05.032")</f>
        <v>http://dx.doi.org/10.1016/j.asr.2021.05.032</v>
      </c>
      <c r="BG112" t="s">
        <v>74</v>
      </c>
      <c r="BH112" t="s">
        <v>2323</v>
      </c>
      <c r="BI112">
        <v>15</v>
      </c>
      <c r="BJ112" t="s">
        <v>2389</v>
      </c>
      <c r="BK112" t="s">
        <v>128</v>
      </c>
      <c r="BL112" t="s">
        <v>2390</v>
      </c>
      <c r="BM112" t="s">
        <v>2391</v>
      </c>
      <c r="BN112" t="s">
        <v>74</v>
      </c>
      <c r="BO112" t="s">
        <v>408</v>
      </c>
      <c r="BP112" t="s">
        <v>74</v>
      </c>
      <c r="BQ112" t="s">
        <v>74</v>
      </c>
      <c r="BR112" t="s">
        <v>102</v>
      </c>
      <c r="BS112" t="s">
        <v>2392</v>
      </c>
      <c r="BT112" t="str">
        <f>HYPERLINK("https%3A%2F%2Fwww.webofscience.com%2Fwos%2Fwoscc%2Ffull-record%2FWOS:000681378900012","View Full Record in Web of Science")</f>
        <v>View Full Record in Web of Science</v>
      </c>
    </row>
    <row r="113" spans="1:72" x14ac:dyDescent="0.15">
      <c r="A113" t="s">
        <v>72</v>
      </c>
      <c r="B113" t="s">
        <v>2393</v>
      </c>
      <c r="C113" t="s">
        <v>74</v>
      </c>
      <c r="D113" t="s">
        <v>74</v>
      </c>
      <c r="E113" t="s">
        <v>74</v>
      </c>
      <c r="F113" t="s">
        <v>2394</v>
      </c>
      <c r="G113" t="s">
        <v>74</v>
      </c>
      <c r="H113" t="s">
        <v>74</v>
      </c>
      <c r="I113" t="s">
        <v>2395</v>
      </c>
      <c r="J113" t="s">
        <v>2396</v>
      </c>
      <c r="K113" t="s">
        <v>74</v>
      </c>
      <c r="L113" t="s">
        <v>74</v>
      </c>
      <c r="M113" t="s">
        <v>78</v>
      </c>
      <c r="N113" t="s">
        <v>79</v>
      </c>
      <c r="O113" t="s">
        <v>74</v>
      </c>
      <c r="P113" t="s">
        <v>74</v>
      </c>
      <c r="Q113" t="s">
        <v>74</v>
      </c>
      <c r="R113" t="s">
        <v>74</v>
      </c>
      <c r="S113" t="s">
        <v>74</v>
      </c>
      <c r="T113" t="s">
        <v>74</v>
      </c>
      <c r="U113" t="s">
        <v>2397</v>
      </c>
      <c r="V113" t="s">
        <v>2398</v>
      </c>
      <c r="W113" t="s">
        <v>2399</v>
      </c>
      <c r="X113" t="s">
        <v>2400</v>
      </c>
      <c r="Y113" t="s">
        <v>2401</v>
      </c>
      <c r="Z113" t="s">
        <v>2402</v>
      </c>
      <c r="AA113" t="s">
        <v>2403</v>
      </c>
      <c r="AB113" t="s">
        <v>2404</v>
      </c>
      <c r="AC113" t="s">
        <v>2405</v>
      </c>
      <c r="AD113" t="s">
        <v>2406</v>
      </c>
      <c r="AE113" t="s">
        <v>2407</v>
      </c>
      <c r="AF113" t="s">
        <v>74</v>
      </c>
      <c r="AG113">
        <v>61</v>
      </c>
      <c r="AH113">
        <v>6</v>
      </c>
      <c r="AI113">
        <v>6</v>
      </c>
      <c r="AJ113">
        <v>0</v>
      </c>
      <c r="AK113">
        <v>4</v>
      </c>
      <c r="AL113" t="s">
        <v>143</v>
      </c>
      <c r="AM113" t="s">
        <v>144</v>
      </c>
      <c r="AN113" t="s">
        <v>145</v>
      </c>
      <c r="AO113" t="s">
        <v>2408</v>
      </c>
      <c r="AP113" t="s">
        <v>2409</v>
      </c>
      <c r="AQ113" t="s">
        <v>74</v>
      </c>
      <c r="AR113" t="s">
        <v>2396</v>
      </c>
      <c r="AS113" t="s">
        <v>2410</v>
      </c>
      <c r="AT113" t="s">
        <v>2364</v>
      </c>
      <c r="AU113">
        <v>2021</v>
      </c>
      <c r="AV113">
        <v>15</v>
      </c>
      <c r="AW113">
        <v>7</v>
      </c>
      <c r="AX113" t="s">
        <v>74</v>
      </c>
      <c r="AY113" t="s">
        <v>74</v>
      </c>
      <c r="AZ113" t="s">
        <v>74</v>
      </c>
      <c r="BA113" t="s">
        <v>74</v>
      </c>
      <c r="BB113">
        <v>3523</v>
      </c>
      <c r="BC113">
        <v>3538</v>
      </c>
      <c r="BD113" t="s">
        <v>74</v>
      </c>
      <c r="BE113" t="s">
        <v>2411</v>
      </c>
      <c r="BF113" t="str">
        <f>HYPERLINK("http://dx.doi.org/10.5194/tc-15-3523-2021","http://dx.doi.org/10.5194/tc-15-3523-2021")</f>
        <v>http://dx.doi.org/10.5194/tc-15-3523-2021</v>
      </c>
      <c r="BG113" t="s">
        <v>74</v>
      </c>
      <c r="BH113" t="s">
        <v>74</v>
      </c>
      <c r="BI113">
        <v>16</v>
      </c>
      <c r="BJ113" t="s">
        <v>151</v>
      </c>
      <c r="BK113" t="s">
        <v>128</v>
      </c>
      <c r="BL113" t="s">
        <v>152</v>
      </c>
      <c r="BM113" t="s">
        <v>2412</v>
      </c>
      <c r="BN113" t="s">
        <v>74</v>
      </c>
      <c r="BO113" t="s">
        <v>353</v>
      </c>
      <c r="BP113" t="s">
        <v>74</v>
      </c>
      <c r="BQ113" t="s">
        <v>74</v>
      </c>
      <c r="BR113" t="s">
        <v>102</v>
      </c>
      <c r="BS113" t="s">
        <v>2413</v>
      </c>
      <c r="BT113" t="str">
        <f>HYPERLINK("https%3A%2F%2Fwww.webofscience.com%2Fwos%2Fwoscc%2Ffull-record%2FWOS:000679857400001","View Full Record in Web of Science")</f>
        <v>View Full Record in Web of Science</v>
      </c>
    </row>
    <row r="114" spans="1:72" x14ac:dyDescent="0.15">
      <c r="A114" t="s">
        <v>72</v>
      </c>
      <c r="B114" t="s">
        <v>2414</v>
      </c>
      <c r="C114" t="s">
        <v>74</v>
      </c>
      <c r="D114" t="s">
        <v>74</v>
      </c>
      <c r="E114" t="s">
        <v>74</v>
      </c>
      <c r="F114" t="s">
        <v>2415</v>
      </c>
      <c r="G114" t="s">
        <v>74</v>
      </c>
      <c r="H114" t="s">
        <v>74</v>
      </c>
      <c r="I114" t="s">
        <v>2416</v>
      </c>
      <c r="J114" t="s">
        <v>159</v>
      </c>
      <c r="K114" t="s">
        <v>74</v>
      </c>
      <c r="L114" t="s">
        <v>74</v>
      </c>
      <c r="M114" t="s">
        <v>78</v>
      </c>
      <c r="N114" t="s">
        <v>79</v>
      </c>
      <c r="O114" t="s">
        <v>74</v>
      </c>
      <c r="P114" t="s">
        <v>74</v>
      </c>
      <c r="Q114" t="s">
        <v>74</v>
      </c>
      <c r="R114" t="s">
        <v>74</v>
      </c>
      <c r="S114" t="s">
        <v>74</v>
      </c>
      <c r="T114" t="s">
        <v>74</v>
      </c>
      <c r="U114" t="s">
        <v>2417</v>
      </c>
      <c r="V114" t="s">
        <v>2418</v>
      </c>
      <c r="W114" t="s">
        <v>2419</v>
      </c>
      <c r="X114" t="s">
        <v>2420</v>
      </c>
      <c r="Y114" t="s">
        <v>2421</v>
      </c>
      <c r="Z114" t="s">
        <v>2422</v>
      </c>
      <c r="AA114" t="s">
        <v>2423</v>
      </c>
      <c r="AB114" t="s">
        <v>2424</v>
      </c>
      <c r="AC114" t="s">
        <v>2425</v>
      </c>
      <c r="AD114" t="s">
        <v>2426</v>
      </c>
      <c r="AE114" t="s">
        <v>2427</v>
      </c>
      <c r="AF114" t="s">
        <v>74</v>
      </c>
      <c r="AG114">
        <v>37</v>
      </c>
      <c r="AH114">
        <v>6</v>
      </c>
      <c r="AI114">
        <v>6</v>
      </c>
      <c r="AJ114">
        <v>0</v>
      </c>
      <c r="AK114">
        <v>3</v>
      </c>
      <c r="AL114" t="s">
        <v>143</v>
      </c>
      <c r="AM114" t="s">
        <v>144</v>
      </c>
      <c r="AN114" t="s">
        <v>145</v>
      </c>
      <c r="AO114" t="s">
        <v>171</v>
      </c>
      <c r="AP114" t="s">
        <v>172</v>
      </c>
      <c r="AQ114" t="s">
        <v>74</v>
      </c>
      <c r="AR114" t="s">
        <v>173</v>
      </c>
      <c r="AS114" t="s">
        <v>174</v>
      </c>
      <c r="AT114" t="s">
        <v>2364</v>
      </c>
      <c r="AU114">
        <v>2021</v>
      </c>
      <c r="AV114">
        <v>17</v>
      </c>
      <c r="AW114">
        <v>4</v>
      </c>
      <c r="AX114" t="s">
        <v>74</v>
      </c>
      <c r="AY114" t="s">
        <v>74</v>
      </c>
      <c r="AZ114" t="s">
        <v>74</v>
      </c>
      <c r="BA114" t="s">
        <v>74</v>
      </c>
      <c r="BB114">
        <v>1587</v>
      </c>
      <c r="BC114">
        <v>1605</v>
      </c>
      <c r="BD114" t="s">
        <v>74</v>
      </c>
      <c r="BE114" t="s">
        <v>2428</v>
      </c>
      <c r="BF114" t="str">
        <f>HYPERLINK("http://dx.doi.org/10.5194/cp-17-1587-2021","http://dx.doi.org/10.5194/cp-17-1587-2021")</f>
        <v>http://dx.doi.org/10.5194/cp-17-1587-2021</v>
      </c>
      <c r="BG114" t="s">
        <v>74</v>
      </c>
      <c r="BH114" t="s">
        <v>74</v>
      </c>
      <c r="BI114">
        <v>19</v>
      </c>
      <c r="BJ114" t="s">
        <v>176</v>
      </c>
      <c r="BK114" t="s">
        <v>128</v>
      </c>
      <c r="BL114" t="s">
        <v>177</v>
      </c>
      <c r="BM114" t="s">
        <v>2429</v>
      </c>
      <c r="BN114" t="s">
        <v>74</v>
      </c>
      <c r="BO114" t="s">
        <v>353</v>
      </c>
      <c r="BP114" t="s">
        <v>74</v>
      </c>
      <c r="BQ114" t="s">
        <v>74</v>
      </c>
      <c r="BR114" t="s">
        <v>102</v>
      </c>
      <c r="BS114" t="s">
        <v>2430</v>
      </c>
      <c r="BT114" t="str">
        <f>HYPERLINK("https%3A%2F%2Fwww.webofscience.com%2Fwos%2Fwoscc%2Ffull-record%2FWOS:000680162400001","View Full Record in Web of Science")</f>
        <v>View Full Record in Web of Science</v>
      </c>
    </row>
    <row r="115" spans="1:72" x14ac:dyDescent="0.15">
      <c r="A115" t="s">
        <v>72</v>
      </c>
      <c r="B115" t="s">
        <v>2431</v>
      </c>
      <c r="C115" t="s">
        <v>74</v>
      </c>
      <c r="D115" t="s">
        <v>74</v>
      </c>
      <c r="E115" t="s">
        <v>74</v>
      </c>
      <c r="F115" t="s">
        <v>2432</v>
      </c>
      <c r="G115" t="s">
        <v>74</v>
      </c>
      <c r="H115" t="s">
        <v>74</v>
      </c>
      <c r="I115" t="s">
        <v>2433</v>
      </c>
      <c r="J115" t="s">
        <v>2434</v>
      </c>
      <c r="K115" t="s">
        <v>74</v>
      </c>
      <c r="L115" t="s">
        <v>74</v>
      </c>
      <c r="M115" t="s">
        <v>78</v>
      </c>
      <c r="N115" t="s">
        <v>79</v>
      </c>
      <c r="O115" t="s">
        <v>74</v>
      </c>
      <c r="P115" t="s">
        <v>74</v>
      </c>
      <c r="Q115" t="s">
        <v>74</v>
      </c>
      <c r="R115" t="s">
        <v>74</v>
      </c>
      <c r="S115" t="s">
        <v>74</v>
      </c>
      <c r="T115" t="s">
        <v>2435</v>
      </c>
      <c r="U115" t="s">
        <v>2436</v>
      </c>
      <c r="V115" t="s">
        <v>2437</v>
      </c>
      <c r="W115" t="s">
        <v>2438</v>
      </c>
      <c r="X115" t="s">
        <v>2439</v>
      </c>
      <c r="Y115" t="s">
        <v>2440</v>
      </c>
      <c r="Z115" t="s">
        <v>2441</v>
      </c>
      <c r="AA115" t="s">
        <v>2442</v>
      </c>
      <c r="AB115" t="s">
        <v>2443</v>
      </c>
      <c r="AC115" t="s">
        <v>2444</v>
      </c>
      <c r="AD115" t="s">
        <v>2445</v>
      </c>
      <c r="AE115" t="s">
        <v>2446</v>
      </c>
      <c r="AF115" t="s">
        <v>74</v>
      </c>
      <c r="AG115">
        <v>34</v>
      </c>
      <c r="AH115">
        <v>2</v>
      </c>
      <c r="AI115">
        <v>2</v>
      </c>
      <c r="AJ115">
        <v>0</v>
      </c>
      <c r="AK115">
        <v>6</v>
      </c>
      <c r="AL115" t="s">
        <v>197</v>
      </c>
      <c r="AM115" t="s">
        <v>198</v>
      </c>
      <c r="AN115" t="s">
        <v>199</v>
      </c>
      <c r="AO115" t="s">
        <v>2447</v>
      </c>
      <c r="AP115" t="s">
        <v>2448</v>
      </c>
      <c r="AQ115" t="s">
        <v>74</v>
      </c>
      <c r="AR115" t="s">
        <v>2449</v>
      </c>
      <c r="AS115" t="s">
        <v>2450</v>
      </c>
      <c r="AT115" t="s">
        <v>430</v>
      </c>
      <c r="AU115">
        <v>2021</v>
      </c>
      <c r="AV115">
        <v>147</v>
      </c>
      <c r="AW115">
        <v>739</v>
      </c>
      <c r="AX115" t="s">
        <v>74</v>
      </c>
      <c r="AY115" t="s">
        <v>74</v>
      </c>
      <c r="AZ115" t="s">
        <v>74</v>
      </c>
      <c r="BA115" t="s">
        <v>74</v>
      </c>
      <c r="BB115">
        <v>3286</v>
      </c>
      <c r="BC115">
        <v>3296</v>
      </c>
      <c r="BD115" t="s">
        <v>74</v>
      </c>
      <c r="BE115" t="s">
        <v>2451</v>
      </c>
      <c r="BF115" t="str">
        <f>HYPERLINK("http://dx.doi.org/10.1002/qj.4128","http://dx.doi.org/10.1002/qj.4128")</f>
        <v>http://dx.doi.org/10.1002/qj.4128</v>
      </c>
      <c r="BG115" t="s">
        <v>74</v>
      </c>
      <c r="BH115" t="s">
        <v>2323</v>
      </c>
      <c r="BI115">
        <v>11</v>
      </c>
      <c r="BJ115" t="s">
        <v>567</v>
      </c>
      <c r="BK115" t="s">
        <v>128</v>
      </c>
      <c r="BL115" t="s">
        <v>567</v>
      </c>
      <c r="BM115" t="s">
        <v>2452</v>
      </c>
      <c r="BN115" t="s">
        <v>74</v>
      </c>
      <c r="BO115" t="s">
        <v>74</v>
      </c>
      <c r="BP115" t="s">
        <v>74</v>
      </c>
      <c r="BQ115" t="s">
        <v>74</v>
      </c>
      <c r="BR115" t="s">
        <v>102</v>
      </c>
      <c r="BS115" t="s">
        <v>2453</v>
      </c>
      <c r="BT115" t="str">
        <f>HYPERLINK("https%3A%2F%2Fwww.webofscience.com%2Fwos%2Fwoscc%2Ffull-record%2FWOS:000678840400001","View Full Record in Web of Science")</f>
        <v>View Full Record in Web of Science</v>
      </c>
    </row>
    <row r="116" spans="1:72" x14ac:dyDescent="0.15">
      <c r="A116" t="s">
        <v>72</v>
      </c>
      <c r="B116" t="s">
        <v>2454</v>
      </c>
      <c r="C116" t="s">
        <v>74</v>
      </c>
      <c r="D116" t="s">
        <v>74</v>
      </c>
      <c r="E116" t="s">
        <v>74</v>
      </c>
      <c r="F116" t="s">
        <v>2455</v>
      </c>
      <c r="G116" t="s">
        <v>74</v>
      </c>
      <c r="H116" t="s">
        <v>74</v>
      </c>
      <c r="I116" t="s">
        <v>2456</v>
      </c>
      <c r="J116" t="s">
        <v>2457</v>
      </c>
      <c r="K116" t="s">
        <v>74</v>
      </c>
      <c r="L116" t="s">
        <v>74</v>
      </c>
      <c r="M116" t="s">
        <v>78</v>
      </c>
      <c r="N116" t="s">
        <v>79</v>
      </c>
      <c r="O116" t="s">
        <v>74</v>
      </c>
      <c r="P116" t="s">
        <v>74</v>
      </c>
      <c r="Q116" t="s">
        <v>74</v>
      </c>
      <c r="R116" t="s">
        <v>74</v>
      </c>
      <c r="S116" t="s">
        <v>74</v>
      </c>
      <c r="T116" t="s">
        <v>74</v>
      </c>
      <c r="U116" t="s">
        <v>2458</v>
      </c>
      <c r="V116" t="s">
        <v>2459</v>
      </c>
      <c r="W116" t="s">
        <v>2460</v>
      </c>
      <c r="X116" t="s">
        <v>2461</v>
      </c>
      <c r="Y116" t="s">
        <v>2462</v>
      </c>
      <c r="Z116" t="s">
        <v>2463</v>
      </c>
      <c r="AA116" t="s">
        <v>2464</v>
      </c>
      <c r="AB116" t="s">
        <v>2465</v>
      </c>
      <c r="AC116" t="s">
        <v>2466</v>
      </c>
      <c r="AD116" t="s">
        <v>2467</v>
      </c>
      <c r="AE116" t="s">
        <v>2468</v>
      </c>
      <c r="AF116" t="s">
        <v>74</v>
      </c>
      <c r="AG116">
        <v>35</v>
      </c>
      <c r="AH116">
        <v>5</v>
      </c>
      <c r="AI116">
        <v>8</v>
      </c>
      <c r="AJ116">
        <v>0</v>
      </c>
      <c r="AK116">
        <v>3</v>
      </c>
      <c r="AL116" t="s">
        <v>864</v>
      </c>
      <c r="AM116" t="s">
        <v>865</v>
      </c>
      <c r="AN116" t="s">
        <v>866</v>
      </c>
      <c r="AO116" t="s">
        <v>2469</v>
      </c>
      <c r="AP116" t="s">
        <v>2470</v>
      </c>
      <c r="AQ116" t="s">
        <v>74</v>
      </c>
      <c r="AR116" t="s">
        <v>2471</v>
      </c>
      <c r="AS116" t="s">
        <v>2472</v>
      </c>
      <c r="AT116" t="s">
        <v>2473</v>
      </c>
      <c r="AU116">
        <v>2021</v>
      </c>
      <c r="AV116">
        <v>48</v>
      </c>
      <c r="AW116">
        <v>14</v>
      </c>
      <c r="AX116" t="s">
        <v>74</v>
      </c>
      <c r="AY116" t="s">
        <v>74</v>
      </c>
      <c r="AZ116" t="s">
        <v>74</v>
      </c>
      <c r="BA116" t="s">
        <v>74</v>
      </c>
      <c r="BB116" t="s">
        <v>74</v>
      </c>
      <c r="BC116" t="s">
        <v>74</v>
      </c>
      <c r="BD116" t="s">
        <v>2474</v>
      </c>
      <c r="BE116" t="s">
        <v>2475</v>
      </c>
      <c r="BF116" t="str">
        <f>HYPERLINK("http://dx.doi.org/10.1029/2020GL092356","http://dx.doi.org/10.1029/2020GL092356")</f>
        <v>http://dx.doi.org/10.1029/2020GL092356</v>
      </c>
      <c r="BG116" t="s">
        <v>74</v>
      </c>
      <c r="BH116" t="s">
        <v>74</v>
      </c>
      <c r="BI116">
        <v>11</v>
      </c>
      <c r="BJ116" t="s">
        <v>405</v>
      </c>
      <c r="BK116" t="s">
        <v>128</v>
      </c>
      <c r="BL116" t="s">
        <v>406</v>
      </c>
      <c r="BM116" t="s">
        <v>2476</v>
      </c>
      <c r="BN116" t="s">
        <v>74</v>
      </c>
      <c r="BO116" t="s">
        <v>74</v>
      </c>
      <c r="BP116" t="s">
        <v>74</v>
      </c>
      <c r="BQ116" t="s">
        <v>74</v>
      </c>
      <c r="BR116" t="s">
        <v>102</v>
      </c>
      <c r="BS116" t="s">
        <v>2477</v>
      </c>
      <c r="BT116" t="str">
        <f>HYPERLINK("https%3A%2F%2Fwww.webofscience.com%2Fwos%2Fwoscc%2Ffull-record%2FWOS:000711496700008","View Full Record in Web of Science")</f>
        <v>View Full Record in Web of Science</v>
      </c>
    </row>
    <row r="117" spans="1:72" x14ac:dyDescent="0.15">
      <c r="A117" t="s">
        <v>72</v>
      </c>
      <c r="B117" t="s">
        <v>2478</v>
      </c>
      <c r="C117" t="s">
        <v>74</v>
      </c>
      <c r="D117" t="s">
        <v>74</v>
      </c>
      <c r="E117" t="s">
        <v>74</v>
      </c>
      <c r="F117" t="s">
        <v>2479</v>
      </c>
      <c r="G117" t="s">
        <v>74</v>
      </c>
      <c r="H117" t="s">
        <v>74</v>
      </c>
      <c r="I117" t="s">
        <v>2480</v>
      </c>
      <c r="J117" t="s">
        <v>2457</v>
      </c>
      <c r="K117" t="s">
        <v>74</v>
      </c>
      <c r="L117" t="s">
        <v>74</v>
      </c>
      <c r="M117" t="s">
        <v>78</v>
      </c>
      <c r="N117" t="s">
        <v>79</v>
      </c>
      <c r="O117" t="s">
        <v>74</v>
      </c>
      <c r="P117" t="s">
        <v>74</v>
      </c>
      <c r="Q117" t="s">
        <v>74</v>
      </c>
      <c r="R117" t="s">
        <v>74</v>
      </c>
      <c r="S117" t="s">
        <v>74</v>
      </c>
      <c r="T117" t="s">
        <v>2481</v>
      </c>
      <c r="U117" t="s">
        <v>2482</v>
      </c>
      <c r="V117" t="s">
        <v>2483</v>
      </c>
      <c r="W117" t="s">
        <v>2484</v>
      </c>
      <c r="X117" t="s">
        <v>2485</v>
      </c>
      <c r="Y117" t="s">
        <v>2486</v>
      </c>
      <c r="Z117" t="s">
        <v>2487</v>
      </c>
      <c r="AA117" t="s">
        <v>2488</v>
      </c>
      <c r="AB117" t="s">
        <v>2489</v>
      </c>
      <c r="AC117" t="s">
        <v>2490</v>
      </c>
      <c r="AD117" t="s">
        <v>2491</v>
      </c>
      <c r="AE117" t="s">
        <v>2492</v>
      </c>
      <c r="AF117" t="s">
        <v>74</v>
      </c>
      <c r="AG117">
        <v>62</v>
      </c>
      <c r="AH117">
        <v>9</v>
      </c>
      <c r="AI117">
        <v>14</v>
      </c>
      <c r="AJ117">
        <v>1</v>
      </c>
      <c r="AK117">
        <v>8</v>
      </c>
      <c r="AL117" t="s">
        <v>864</v>
      </c>
      <c r="AM117" t="s">
        <v>865</v>
      </c>
      <c r="AN117" t="s">
        <v>866</v>
      </c>
      <c r="AO117" t="s">
        <v>2469</v>
      </c>
      <c r="AP117" t="s">
        <v>2470</v>
      </c>
      <c r="AQ117" t="s">
        <v>74</v>
      </c>
      <c r="AR117" t="s">
        <v>2471</v>
      </c>
      <c r="AS117" t="s">
        <v>2472</v>
      </c>
      <c r="AT117" t="s">
        <v>2473</v>
      </c>
      <c r="AU117">
        <v>2021</v>
      </c>
      <c r="AV117">
        <v>48</v>
      </c>
      <c r="AW117">
        <v>14</v>
      </c>
      <c r="AX117" t="s">
        <v>74</v>
      </c>
      <c r="AY117" t="s">
        <v>74</v>
      </c>
      <c r="AZ117" t="s">
        <v>74</v>
      </c>
      <c r="BA117" t="s">
        <v>74</v>
      </c>
      <c r="BB117" t="s">
        <v>74</v>
      </c>
      <c r="BC117" t="s">
        <v>74</v>
      </c>
      <c r="BD117" t="s">
        <v>2493</v>
      </c>
      <c r="BE117" t="s">
        <v>2494</v>
      </c>
      <c r="BF117" t="str">
        <f>HYPERLINK("http://dx.doi.org/10.1029/2021GL093103","http://dx.doi.org/10.1029/2021GL093103")</f>
        <v>http://dx.doi.org/10.1029/2021GL093103</v>
      </c>
      <c r="BG117" t="s">
        <v>74</v>
      </c>
      <c r="BH117" t="s">
        <v>74</v>
      </c>
      <c r="BI117">
        <v>11</v>
      </c>
      <c r="BJ117" t="s">
        <v>405</v>
      </c>
      <c r="BK117" t="s">
        <v>128</v>
      </c>
      <c r="BL117" t="s">
        <v>406</v>
      </c>
      <c r="BM117" t="s">
        <v>2476</v>
      </c>
      <c r="BN117" t="s">
        <v>74</v>
      </c>
      <c r="BO117" t="s">
        <v>2495</v>
      </c>
      <c r="BP117" t="s">
        <v>74</v>
      </c>
      <c r="BQ117" t="s">
        <v>74</v>
      </c>
      <c r="BR117" t="s">
        <v>102</v>
      </c>
      <c r="BS117" t="s">
        <v>2496</v>
      </c>
      <c r="BT117" t="str">
        <f>HYPERLINK("https%3A%2F%2Fwww.webofscience.com%2Fwos%2Fwoscc%2Ffull-record%2FWOS:000711496700024","View Full Record in Web of Science")</f>
        <v>View Full Record in Web of Science</v>
      </c>
    </row>
    <row r="118" spans="1:72" x14ac:dyDescent="0.15">
      <c r="A118" t="s">
        <v>72</v>
      </c>
      <c r="B118" t="s">
        <v>2497</v>
      </c>
      <c r="C118" t="s">
        <v>74</v>
      </c>
      <c r="D118" t="s">
        <v>74</v>
      </c>
      <c r="E118" t="s">
        <v>74</v>
      </c>
      <c r="F118" t="s">
        <v>2498</v>
      </c>
      <c r="G118" t="s">
        <v>74</v>
      </c>
      <c r="H118" t="s">
        <v>74</v>
      </c>
      <c r="I118" t="s">
        <v>2499</v>
      </c>
      <c r="J118" t="s">
        <v>2457</v>
      </c>
      <c r="K118" t="s">
        <v>74</v>
      </c>
      <c r="L118" t="s">
        <v>74</v>
      </c>
      <c r="M118" t="s">
        <v>78</v>
      </c>
      <c r="N118" t="s">
        <v>79</v>
      </c>
      <c r="O118" t="s">
        <v>74</v>
      </c>
      <c r="P118" t="s">
        <v>74</v>
      </c>
      <c r="Q118" t="s">
        <v>74</v>
      </c>
      <c r="R118" t="s">
        <v>74</v>
      </c>
      <c r="S118" t="s">
        <v>74</v>
      </c>
      <c r="T118" t="s">
        <v>2500</v>
      </c>
      <c r="U118" t="s">
        <v>2501</v>
      </c>
      <c r="V118" t="s">
        <v>2502</v>
      </c>
      <c r="W118" t="s">
        <v>2503</v>
      </c>
      <c r="X118" t="s">
        <v>2504</v>
      </c>
      <c r="Y118" t="s">
        <v>2505</v>
      </c>
      <c r="Z118" t="s">
        <v>2506</v>
      </c>
      <c r="AA118" t="s">
        <v>2507</v>
      </c>
      <c r="AB118" t="s">
        <v>2508</v>
      </c>
      <c r="AC118" t="s">
        <v>2509</v>
      </c>
      <c r="AD118" t="s">
        <v>2510</v>
      </c>
      <c r="AE118" t="s">
        <v>2511</v>
      </c>
      <c r="AF118" t="s">
        <v>74</v>
      </c>
      <c r="AG118">
        <v>68</v>
      </c>
      <c r="AH118">
        <v>8</v>
      </c>
      <c r="AI118">
        <v>9</v>
      </c>
      <c r="AJ118">
        <v>0</v>
      </c>
      <c r="AK118">
        <v>3</v>
      </c>
      <c r="AL118" t="s">
        <v>864</v>
      </c>
      <c r="AM118" t="s">
        <v>865</v>
      </c>
      <c r="AN118" t="s">
        <v>866</v>
      </c>
      <c r="AO118" t="s">
        <v>2469</v>
      </c>
      <c r="AP118" t="s">
        <v>2470</v>
      </c>
      <c r="AQ118" t="s">
        <v>74</v>
      </c>
      <c r="AR118" t="s">
        <v>2471</v>
      </c>
      <c r="AS118" t="s">
        <v>2472</v>
      </c>
      <c r="AT118" t="s">
        <v>2473</v>
      </c>
      <c r="AU118">
        <v>2021</v>
      </c>
      <c r="AV118">
        <v>48</v>
      </c>
      <c r="AW118">
        <v>14</v>
      </c>
      <c r="AX118" t="s">
        <v>74</v>
      </c>
      <c r="AY118" t="s">
        <v>74</v>
      </c>
      <c r="AZ118" t="s">
        <v>74</v>
      </c>
      <c r="BA118" t="s">
        <v>74</v>
      </c>
      <c r="BB118" t="s">
        <v>74</v>
      </c>
      <c r="BC118" t="s">
        <v>74</v>
      </c>
      <c r="BD118" t="s">
        <v>2512</v>
      </c>
      <c r="BE118" t="s">
        <v>2513</v>
      </c>
      <c r="BF118" t="str">
        <f>HYPERLINK("http://dx.doi.org/10.1029/2021GL092450","http://dx.doi.org/10.1029/2021GL092450")</f>
        <v>http://dx.doi.org/10.1029/2021GL092450</v>
      </c>
      <c r="BG118" t="s">
        <v>74</v>
      </c>
      <c r="BH118" t="s">
        <v>74</v>
      </c>
      <c r="BI118">
        <v>11</v>
      </c>
      <c r="BJ118" t="s">
        <v>405</v>
      </c>
      <c r="BK118" t="s">
        <v>128</v>
      </c>
      <c r="BL118" t="s">
        <v>406</v>
      </c>
      <c r="BM118" t="s">
        <v>2476</v>
      </c>
      <c r="BN118" t="s">
        <v>74</v>
      </c>
      <c r="BO118" t="s">
        <v>2514</v>
      </c>
      <c r="BP118" t="s">
        <v>74</v>
      </c>
      <c r="BQ118" t="s">
        <v>74</v>
      </c>
      <c r="BR118" t="s">
        <v>102</v>
      </c>
      <c r="BS118" t="s">
        <v>2515</v>
      </c>
      <c r="BT118" t="str">
        <f>HYPERLINK("https%3A%2F%2Fwww.webofscience.com%2Fwos%2Fwoscc%2Ffull-record%2FWOS:000711496700012","View Full Record in Web of Science")</f>
        <v>View Full Record in Web of Science</v>
      </c>
    </row>
    <row r="119" spans="1:72" x14ac:dyDescent="0.15">
      <c r="A119" t="s">
        <v>72</v>
      </c>
      <c r="B119" t="s">
        <v>2516</v>
      </c>
      <c r="C119" t="s">
        <v>74</v>
      </c>
      <c r="D119" t="s">
        <v>74</v>
      </c>
      <c r="E119" t="s">
        <v>74</v>
      </c>
      <c r="F119" t="s">
        <v>2517</v>
      </c>
      <c r="G119" t="s">
        <v>74</v>
      </c>
      <c r="H119" t="s">
        <v>74</v>
      </c>
      <c r="I119" t="s">
        <v>2518</v>
      </c>
      <c r="J119" t="s">
        <v>2457</v>
      </c>
      <c r="K119" t="s">
        <v>74</v>
      </c>
      <c r="L119" t="s">
        <v>74</v>
      </c>
      <c r="M119" t="s">
        <v>78</v>
      </c>
      <c r="N119" t="s">
        <v>79</v>
      </c>
      <c r="O119" t="s">
        <v>74</v>
      </c>
      <c r="P119" t="s">
        <v>74</v>
      </c>
      <c r="Q119" t="s">
        <v>74</v>
      </c>
      <c r="R119" t="s">
        <v>74</v>
      </c>
      <c r="S119" t="s">
        <v>74</v>
      </c>
      <c r="T119" t="s">
        <v>2519</v>
      </c>
      <c r="U119" t="s">
        <v>2520</v>
      </c>
      <c r="V119" t="s">
        <v>2521</v>
      </c>
      <c r="W119" t="s">
        <v>2522</v>
      </c>
      <c r="X119" t="s">
        <v>2523</v>
      </c>
      <c r="Y119" t="s">
        <v>2524</v>
      </c>
      <c r="Z119" t="s">
        <v>2525</v>
      </c>
      <c r="AA119" t="s">
        <v>74</v>
      </c>
      <c r="AB119" t="s">
        <v>2526</v>
      </c>
      <c r="AC119" t="s">
        <v>2527</v>
      </c>
      <c r="AD119" t="s">
        <v>2528</v>
      </c>
      <c r="AE119" t="s">
        <v>2529</v>
      </c>
      <c r="AF119" t="s">
        <v>74</v>
      </c>
      <c r="AG119">
        <v>53</v>
      </c>
      <c r="AH119">
        <v>17</v>
      </c>
      <c r="AI119">
        <v>18</v>
      </c>
      <c r="AJ119">
        <v>3</v>
      </c>
      <c r="AK119">
        <v>24</v>
      </c>
      <c r="AL119" t="s">
        <v>864</v>
      </c>
      <c r="AM119" t="s">
        <v>865</v>
      </c>
      <c r="AN119" t="s">
        <v>866</v>
      </c>
      <c r="AO119" t="s">
        <v>2469</v>
      </c>
      <c r="AP119" t="s">
        <v>2470</v>
      </c>
      <c r="AQ119" t="s">
        <v>74</v>
      </c>
      <c r="AR119" t="s">
        <v>2471</v>
      </c>
      <c r="AS119" t="s">
        <v>2472</v>
      </c>
      <c r="AT119" t="s">
        <v>2473</v>
      </c>
      <c r="AU119">
        <v>2021</v>
      </c>
      <c r="AV119">
        <v>48</v>
      </c>
      <c r="AW119">
        <v>14</v>
      </c>
      <c r="AX119" t="s">
        <v>74</v>
      </c>
      <c r="AY119" t="s">
        <v>74</v>
      </c>
      <c r="AZ119" t="s">
        <v>74</v>
      </c>
      <c r="BA119" t="s">
        <v>74</v>
      </c>
      <c r="BB119" t="s">
        <v>74</v>
      </c>
      <c r="BC119" t="s">
        <v>74</v>
      </c>
      <c r="BD119" t="s">
        <v>2530</v>
      </c>
      <c r="BE119" t="s">
        <v>2531</v>
      </c>
      <c r="BF119" t="str">
        <f>HYPERLINK("http://dx.doi.org/10.1029/2020GL091089","http://dx.doi.org/10.1029/2020GL091089")</f>
        <v>http://dx.doi.org/10.1029/2020GL091089</v>
      </c>
      <c r="BG119" t="s">
        <v>74</v>
      </c>
      <c r="BH119" t="s">
        <v>74</v>
      </c>
      <c r="BI119">
        <v>11</v>
      </c>
      <c r="BJ119" t="s">
        <v>405</v>
      </c>
      <c r="BK119" t="s">
        <v>128</v>
      </c>
      <c r="BL119" t="s">
        <v>406</v>
      </c>
      <c r="BM119" t="s">
        <v>2476</v>
      </c>
      <c r="BN119" t="s">
        <v>74</v>
      </c>
      <c r="BO119" t="s">
        <v>74</v>
      </c>
      <c r="BP119" t="s">
        <v>74</v>
      </c>
      <c r="BQ119" t="s">
        <v>74</v>
      </c>
      <c r="BR119" t="s">
        <v>102</v>
      </c>
      <c r="BS119" t="s">
        <v>2532</v>
      </c>
      <c r="BT119" t="str">
        <f>HYPERLINK("https%3A%2F%2Fwww.webofscience.com%2Fwos%2Fwoscc%2Ffull-record%2FWOS:000711496700018","View Full Record in Web of Science")</f>
        <v>View Full Record in Web of Science</v>
      </c>
    </row>
    <row r="120" spans="1:72" x14ac:dyDescent="0.15">
      <c r="A120" t="s">
        <v>72</v>
      </c>
      <c r="B120" t="s">
        <v>2533</v>
      </c>
      <c r="C120" t="s">
        <v>74</v>
      </c>
      <c r="D120" t="s">
        <v>74</v>
      </c>
      <c r="E120" t="s">
        <v>74</v>
      </c>
      <c r="F120" t="s">
        <v>2534</v>
      </c>
      <c r="G120" t="s">
        <v>74</v>
      </c>
      <c r="H120" t="s">
        <v>74</v>
      </c>
      <c r="I120" t="s">
        <v>2535</v>
      </c>
      <c r="J120" t="s">
        <v>2457</v>
      </c>
      <c r="K120" t="s">
        <v>74</v>
      </c>
      <c r="L120" t="s">
        <v>74</v>
      </c>
      <c r="M120" t="s">
        <v>78</v>
      </c>
      <c r="N120" t="s">
        <v>79</v>
      </c>
      <c r="O120" t="s">
        <v>74</v>
      </c>
      <c r="P120" t="s">
        <v>74</v>
      </c>
      <c r="Q120" t="s">
        <v>74</v>
      </c>
      <c r="R120" t="s">
        <v>74</v>
      </c>
      <c r="S120" t="s">
        <v>74</v>
      </c>
      <c r="T120" t="s">
        <v>2536</v>
      </c>
      <c r="U120" t="s">
        <v>2537</v>
      </c>
      <c r="V120" t="s">
        <v>2538</v>
      </c>
      <c r="W120" t="s">
        <v>2539</v>
      </c>
      <c r="X120" t="s">
        <v>2540</v>
      </c>
      <c r="Y120" t="s">
        <v>2541</v>
      </c>
      <c r="Z120" t="s">
        <v>2542</v>
      </c>
      <c r="AA120" t="s">
        <v>2543</v>
      </c>
      <c r="AB120" t="s">
        <v>2544</v>
      </c>
      <c r="AC120" t="s">
        <v>2545</v>
      </c>
      <c r="AD120" t="s">
        <v>2546</v>
      </c>
      <c r="AE120" t="s">
        <v>2547</v>
      </c>
      <c r="AF120" t="s">
        <v>74</v>
      </c>
      <c r="AG120">
        <v>55</v>
      </c>
      <c r="AH120">
        <v>13</v>
      </c>
      <c r="AI120">
        <v>15</v>
      </c>
      <c r="AJ120">
        <v>0</v>
      </c>
      <c r="AK120">
        <v>14</v>
      </c>
      <c r="AL120" t="s">
        <v>864</v>
      </c>
      <c r="AM120" t="s">
        <v>865</v>
      </c>
      <c r="AN120" t="s">
        <v>866</v>
      </c>
      <c r="AO120" t="s">
        <v>2469</v>
      </c>
      <c r="AP120" t="s">
        <v>2470</v>
      </c>
      <c r="AQ120" t="s">
        <v>74</v>
      </c>
      <c r="AR120" t="s">
        <v>2471</v>
      </c>
      <c r="AS120" t="s">
        <v>2472</v>
      </c>
      <c r="AT120" t="s">
        <v>2473</v>
      </c>
      <c r="AU120">
        <v>2021</v>
      </c>
      <c r="AV120">
        <v>48</v>
      </c>
      <c r="AW120">
        <v>14</v>
      </c>
      <c r="AX120" t="s">
        <v>74</v>
      </c>
      <c r="AY120" t="s">
        <v>74</v>
      </c>
      <c r="AZ120" t="s">
        <v>74</v>
      </c>
      <c r="BA120" t="s">
        <v>74</v>
      </c>
      <c r="BB120" t="s">
        <v>74</v>
      </c>
      <c r="BC120" t="s">
        <v>74</v>
      </c>
      <c r="BD120" t="s">
        <v>2548</v>
      </c>
      <c r="BE120" t="s">
        <v>2549</v>
      </c>
      <c r="BF120" t="str">
        <f>HYPERLINK("http://dx.doi.org/10.1029/2020GL091095","http://dx.doi.org/10.1029/2020GL091095")</f>
        <v>http://dx.doi.org/10.1029/2020GL091095</v>
      </c>
      <c r="BG120" t="s">
        <v>74</v>
      </c>
      <c r="BH120" t="s">
        <v>74</v>
      </c>
      <c r="BI120">
        <v>11</v>
      </c>
      <c r="BJ120" t="s">
        <v>405</v>
      </c>
      <c r="BK120" t="s">
        <v>128</v>
      </c>
      <c r="BL120" t="s">
        <v>406</v>
      </c>
      <c r="BM120" t="s">
        <v>2476</v>
      </c>
      <c r="BN120">
        <v>34433993</v>
      </c>
      <c r="BO120" t="s">
        <v>2514</v>
      </c>
      <c r="BP120" t="s">
        <v>74</v>
      </c>
      <c r="BQ120" t="s">
        <v>74</v>
      </c>
      <c r="BR120" t="s">
        <v>102</v>
      </c>
      <c r="BS120" t="s">
        <v>2550</v>
      </c>
      <c r="BT120" t="str">
        <f>HYPERLINK("https%3A%2F%2Fwww.webofscience.com%2Fwos%2Fwoscc%2Ffull-record%2FWOS:000711496700065","View Full Record in Web of Science")</f>
        <v>View Full Record in Web of Science</v>
      </c>
    </row>
    <row r="121" spans="1:72" x14ac:dyDescent="0.15">
      <c r="A121" t="s">
        <v>72</v>
      </c>
      <c r="B121" t="s">
        <v>2551</v>
      </c>
      <c r="C121" t="s">
        <v>74</v>
      </c>
      <c r="D121" t="s">
        <v>74</v>
      </c>
      <c r="E121" t="s">
        <v>74</v>
      </c>
      <c r="F121" t="s">
        <v>2552</v>
      </c>
      <c r="G121" t="s">
        <v>74</v>
      </c>
      <c r="H121" t="s">
        <v>74</v>
      </c>
      <c r="I121" t="s">
        <v>2553</v>
      </c>
      <c r="J121" t="s">
        <v>2554</v>
      </c>
      <c r="K121" t="s">
        <v>74</v>
      </c>
      <c r="L121" t="s">
        <v>74</v>
      </c>
      <c r="M121" t="s">
        <v>78</v>
      </c>
      <c r="N121" t="s">
        <v>79</v>
      </c>
      <c r="O121" t="s">
        <v>74</v>
      </c>
      <c r="P121" t="s">
        <v>74</v>
      </c>
      <c r="Q121" t="s">
        <v>74</v>
      </c>
      <c r="R121" t="s">
        <v>74</v>
      </c>
      <c r="S121" t="s">
        <v>74</v>
      </c>
      <c r="T121" t="s">
        <v>2555</v>
      </c>
      <c r="U121" t="s">
        <v>2556</v>
      </c>
      <c r="V121" t="s">
        <v>2557</v>
      </c>
      <c r="W121" t="s">
        <v>2558</v>
      </c>
      <c r="X121" t="s">
        <v>2559</v>
      </c>
      <c r="Y121" t="s">
        <v>2560</v>
      </c>
      <c r="Z121" t="s">
        <v>2561</v>
      </c>
      <c r="AA121" t="s">
        <v>2562</v>
      </c>
      <c r="AB121" t="s">
        <v>2563</v>
      </c>
      <c r="AC121" t="s">
        <v>2564</v>
      </c>
      <c r="AD121" t="s">
        <v>2565</v>
      </c>
      <c r="AE121" t="s">
        <v>2566</v>
      </c>
      <c r="AF121" t="s">
        <v>74</v>
      </c>
      <c r="AG121">
        <v>47</v>
      </c>
      <c r="AH121">
        <v>5</v>
      </c>
      <c r="AI121">
        <v>5</v>
      </c>
      <c r="AJ121">
        <v>2</v>
      </c>
      <c r="AK121">
        <v>14</v>
      </c>
      <c r="AL121" t="s">
        <v>281</v>
      </c>
      <c r="AM121" t="s">
        <v>228</v>
      </c>
      <c r="AN121" t="s">
        <v>282</v>
      </c>
      <c r="AO121" t="s">
        <v>2567</v>
      </c>
      <c r="AP121" t="s">
        <v>2568</v>
      </c>
      <c r="AQ121" t="s">
        <v>74</v>
      </c>
      <c r="AR121" t="s">
        <v>2569</v>
      </c>
      <c r="AS121" t="s">
        <v>2570</v>
      </c>
      <c r="AT121" t="s">
        <v>287</v>
      </c>
      <c r="AU121">
        <v>2021</v>
      </c>
      <c r="AV121">
        <v>262</v>
      </c>
      <c r="AW121" t="s">
        <v>74</v>
      </c>
      <c r="AX121" t="s">
        <v>74</v>
      </c>
      <c r="AY121" t="s">
        <v>74</v>
      </c>
      <c r="AZ121" t="s">
        <v>74</v>
      </c>
      <c r="BA121" t="s">
        <v>74</v>
      </c>
      <c r="BB121" t="s">
        <v>74</v>
      </c>
      <c r="BC121" t="s">
        <v>74</v>
      </c>
      <c r="BD121">
        <v>118634</v>
      </c>
      <c r="BE121" t="s">
        <v>2571</v>
      </c>
      <c r="BF121" t="str">
        <f>HYPERLINK("http://dx.doi.org/10.1016/j.atmosenv.2021.118634","http://dx.doi.org/10.1016/j.atmosenv.2021.118634")</f>
        <v>http://dx.doi.org/10.1016/j.atmosenv.2021.118634</v>
      </c>
      <c r="BG121" t="s">
        <v>74</v>
      </c>
      <c r="BH121" t="s">
        <v>2323</v>
      </c>
      <c r="BI121">
        <v>11</v>
      </c>
      <c r="BJ121" t="s">
        <v>635</v>
      </c>
      <c r="BK121" t="s">
        <v>128</v>
      </c>
      <c r="BL121" t="s">
        <v>636</v>
      </c>
      <c r="BM121" t="s">
        <v>2572</v>
      </c>
      <c r="BN121" t="s">
        <v>74</v>
      </c>
      <c r="BO121" t="s">
        <v>74</v>
      </c>
      <c r="BP121" t="s">
        <v>74</v>
      </c>
      <c r="BQ121" t="s">
        <v>74</v>
      </c>
      <c r="BR121" t="s">
        <v>102</v>
      </c>
      <c r="BS121" t="s">
        <v>2573</v>
      </c>
      <c r="BT121" t="str">
        <f>HYPERLINK("https%3A%2F%2Fwww.webofscience.com%2Fwos%2Fwoscc%2Ffull-record%2FWOS:000691215300001","View Full Record in Web of Science")</f>
        <v>View Full Record in Web of Science</v>
      </c>
    </row>
    <row r="122" spans="1:72" x14ac:dyDescent="0.15">
      <c r="A122" t="s">
        <v>72</v>
      </c>
      <c r="B122" t="s">
        <v>2574</v>
      </c>
      <c r="C122" t="s">
        <v>74</v>
      </c>
      <c r="D122" t="s">
        <v>74</v>
      </c>
      <c r="E122" t="s">
        <v>74</v>
      </c>
      <c r="F122" t="s">
        <v>2575</v>
      </c>
      <c r="G122" t="s">
        <v>74</v>
      </c>
      <c r="H122" t="s">
        <v>74</v>
      </c>
      <c r="I122" t="s">
        <v>2576</v>
      </c>
      <c r="J122" t="s">
        <v>77</v>
      </c>
      <c r="K122" t="s">
        <v>74</v>
      </c>
      <c r="L122" t="s">
        <v>74</v>
      </c>
      <c r="M122" t="s">
        <v>78</v>
      </c>
      <c r="N122" t="s">
        <v>79</v>
      </c>
      <c r="O122" t="s">
        <v>74</v>
      </c>
      <c r="P122" t="s">
        <v>74</v>
      </c>
      <c r="Q122" t="s">
        <v>74</v>
      </c>
      <c r="R122" t="s">
        <v>74</v>
      </c>
      <c r="S122" t="s">
        <v>74</v>
      </c>
      <c r="T122" t="s">
        <v>2577</v>
      </c>
      <c r="U122" t="s">
        <v>2578</v>
      </c>
      <c r="V122" t="s">
        <v>2579</v>
      </c>
      <c r="W122" t="s">
        <v>2580</v>
      </c>
      <c r="X122" t="s">
        <v>2581</v>
      </c>
      <c r="Y122" t="s">
        <v>2582</v>
      </c>
      <c r="Z122" t="s">
        <v>2583</v>
      </c>
      <c r="AA122" t="s">
        <v>74</v>
      </c>
      <c r="AB122" t="s">
        <v>2584</v>
      </c>
      <c r="AC122" t="s">
        <v>2585</v>
      </c>
      <c r="AD122" t="s">
        <v>2586</v>
      </c>
      <c r="AE122" t="s">
        <v>2587</v>
      </c>
      <c r="AF122" t="s">
        <v>74</v>
      </c>
      <c r="AG122">
        <v>55</v>
      </c>
      <c r="AH122">
        <v>4</v>
      </c>
      <c r="AI122">
        <v>4</v>
      </c>
      <c r="AJ122">
        <v>2</v>
      </c>
      <c r="AK122">
        <v>21</v>
      </c>
      <c r="AL122" t="s">
        <v>89</v>
      </c>
      <c r="AM122" t="s">
        <v>90</v>
      </c>
      <c r="AN122" t="s">
        <v>91</v>
      </c>
      <c r="AO122" t="s">
        <v>92</v>
      </c>
      <c r="AP122" t="s">
        <v>93</v>
      </c>
      <c r="AQ122" t="s">
        <v>74</v>
      </c>
      <c r="AR122" t="s">
        <v>94</v>
      </c>
      <c r="AS122" t="s">
        <v>95</v>
      </c>
      <c r="AT122" t="s">
        <v>96</v>
      </c>
      <c r="AU122">
        <v>2021</v>
      </c>
      <c r="AV122">
        <v>243</v>
      </c>
      <c r="AW122" t="s">
        <v>74</v>
      </c>
      <c r="AX122" t="s">
        <v>74</v>
      </c>
      <c r="AY122" t="s">
        <v>74</v>
      </c>
      <c r="AZ122" t="s">
        <v>74</v>
      </c>
      <c r="BA122" t="s">
        <v>74</v>
      </c>
      <c r="BB122" t="s">
        <v>74</v>
      </c>
      <c r="BC122" t="s">
        <v>74</v>
      </c>
      <c r="BD122">
        <v>106074</v>
      </c>
      <c r="BE122" t="s">
        <v>2588</v>
      </c>
      <c r="BF122" t="str">
        <f>HYPERLINK("http://dx.doi.org/10.1016/j.fishres.2021.106074","http://dx.doi.org/10.1016/j.fishres.2021.106074")</f>
        <v>http://dx.doi.org/10.1016/j.fishres.2021.106074</v>
      </c>
      <c r="BG122" t="s">
        <v>74</v>
      </c>
      <c r="BH122" t="s">
        <v>2323</v>
      </c>
      <c r="BI122">
        <v>7</v>
      </c>
      <c r="BJ122" t="s">
        <v>99</v>
      </c>
      <c r="BK122" t="s">
        <v>128</v>
      </c>
      <c r="BL122" t="s">
        <v>99</v>
      </c>
      <c r="BM122" t="s">
        <v>2589</v>
      </c>
      <c r="BN122" t="s">
        <v>74</v>
      </c>
      <c r="BO122" t="s">
        <v>291</v>
      </c>
      <c r="BP122" t="s">
        <v>74</v>
      </c>
      <c r="BQ122" t="s">
        <v>74</v>
      </c>
      <c r="BR122" t="s">
        <v>102</v>
      </c>
      <c r="BS122" t="s">
        <v>2590</v>
      </c>
      <c r="BT122" t="str">
        <f>HYPERLINK("https%3A%2F%2Fwww.webofscience.com%2Fwos%2Fwoscc%2Ffull-record%2FWOS:000690441900007","View Full Record in Web of Science")</f>
        <v>View Full Record in Web of Science</v>
      </c>
    </row>
    <row r="123" spans="1:72" x14ac:dyDescent="0.15">
      <c r="A123" t="s">
        <v>72</v>
      </c>
      <c r="B123" t="s">
        <v>2591</v>
      </c>
      <c r="C123" t="s">
        <v>74</v>
      </c>
      <c r="D123" t="s">
        <v>74</v>
      </c>
      <c r="E123" t="s">
        <v>74</v>
      </c>
      <c r="F123" t="s">
        <v>2592</v>
      </c>
      <c r="G123" t="s">
        <v>74</v>
      </c>
      <c r="H123" t="s">
        <v>74</v>
      </c>
      <c r="I123" t="s">
        <v>2593</v>
      </c>
      <c r="J123" t="s">
        <v>2594</v>
      </c>
      <c r="K123" t="s">
        <v>74</v>
      </c>
      <c r="L123" t="s">
        <v>74</v>
      </c>
      <c r="M123" t="s">
        <v>78</v>
      </c>
      <c r="N123" t="s">
        <v>79</v>
      </c>
      <c r="O123" t="s">
        <v>74</v>
      </c>
      <c r="P123" t="s">
        <v>74</v>
      </c>
      <c r="Q123" t="s">
        <v>74</v>
      </c>
      <c r="R123" t="s">
        <v>74</v>
      </c>
      <c r="S123" t="s">
        <v>74</v>
      </c>
      <c r="T123" t="s">
        <v>74</v>
      </c>
      <c r="U123" t="s">
        <v>2595</v>
      </c>
      <c r="V123" t="s">
        <v>2596</v>
      </c>
      <c r="W123" t="s">
        <v>2597</v>
      </c>
      <c r="X123" t="s">
        <v>2598</v>
      </c>
      <c r="Y123" t="s">
        <v>2599</v>
      </c>
      <c r="Z123" t="s">
        <v>2600</v>
      </c>
      <c r="AA123" t="s">
        <v>74</v>
      </c>
      <c r="AB123" t="s">
        <v>2601</v>
      </c>
      <c r="AC123" t="s">
        <v>2602</v>
      </c>
      <c r="AD123" t="s">
        <v>2603</v>
      </c>
      <c r="AE123" t="s">
        <v>2604</v>
      </c>
      <c r="AF123" t="s">
        <v>74</v>
      </c>
      <c r="AG123">
        <v>78</v>
      </c>
      <c r="AH123">
        <v>12</v>
      </c>
      <c r="AI123">
        <v>14</v>
      </c>
      <c r="AJ123">
        <v>1</v>
      </c>
      <c r="AK123">
        <v>5</v>
      </c>
      <c r="AL123" t="s">
        <v>395</v>
      </c>
      <c r="AM123" t="s">
        <v>396</v>
      </c>
      <c r="AN123" t="s">
        <v>397</v>
      </c>
      <c r="AO123" t="s">
        <v>2605</v>
      </c>
      <c r="AP123" t="s">
        <v>74</v>
      </c>
      <c r="AQ123" t="s">
        <v>74</v>
      </c>
      <c r="AR123" t="s">
        <v>2606</v>
      </c>
      <c r="AS123" t="s">
        <v>2607</v>
      </c>
      <c r="AT123" t="s">
        <v>2473</v>
      </c>
      <c r="AU123">
        <v>2021</v>
      </c>
      <c r="AV123">
        <v>11</v>
      </c>
      <c r="AW123">
        <v>1</v>
      </c>
      <c r="AX123" t="s">
        <v>74</v>
      </c>
      <c r="AY123" t="s">
        <v>74</v>
      </c>
      <c r="AZ123" t="s">
        <v>74</v>
      </c>
      <c r="BA123" t="s">
        <v>74</v>
      </c>
      <c r="BB123" t="s">
        <v>74</v>
      </c>
      <c r="BC123" t="s">
        <v>74</v>
      </c>
      <c r="BD123">
        <v>15380</v>
      </c>
      <c r="BE123" t="s">
        <v>2608</v>
      </c>
      <c r="BF123" t="str">
        <f>HYPERLINK("http://dx.doi.org/10.1038/s41598-021-94861-7","http://dx.doi.org/10.1038/s41598-021-94861-7")</f>
        <v>http://dx.doi.org/10.1038/s41598-021-94861-7</v>
      </c>
      <c r="BG123" t="s">
        <v>74</v>
      </c>
      <c r="BH123" t="s">
        <v>74</v>
      </c>
      <c r="BI123">
        <v>15</v>
      </c>
      <c r="BJ123" t="s">
        <v>2609</v>
      </c>
      <c r="BK123" t="s">
        <v>128</v>
      </c>
      <c r="BL123" t="s">
        <v>2610</v>
      </c>
      <c r="BM123" t="s">
        <v>2611</v>
      </c>
      <c r="BN123">
        <v>34321573</v>
      </c>
      <c r="BO123" t="s">
        <v>311</v>
      </c>
      <c r="BP123" t="s">
        <v>74</v>
      </c>
      <c r="BQ123" t="s">
        <v>74</v>
      </c>
      <c r="BR123" t="s">
        <v>102</v>
      </c>
      <c r="BS123" t="s">
        <v>2612</v>
      </c>
      <c r="BT123" t="str">
        <f>HYPERLINK("https%3A%2F%2Fwww.webofscience.com%2Fwos%2Fwoscc%2Ffull-record%2FWOS:000683353600041","View Full Record in Web of Science")</f>
        <v>View Full Record in Web of Science</v>
      </c>
    </row>
    <row r="124" spans="1:72" x14ac:dyDescent="0.15">
      <c r="A124" t="s">
        <v>72</v>
      </c>
      <c r="B124" t="s">
        <v>2613</v>
      </c>
      <c r="C124" t="s">
        <v>74</v>
      </c>
      <c r="D124" t="s">
        <v>74</v>
      </c>
      <c r="E124" t="s">
        <v>74</v>
      </c>
      <c r="F124" t="s">
        <v>2614</v>
      </c>
      <c r="G124" t="s">
        <v>74</v>
      </c>
      <c r="H124" t="s">
        <v>74</v>
      </c>
      <c r="I124" t="s">
        <v>2615</v>
      </c>
      <c r="J124" t="s">
        <v>107</v>
      </c>
      <c r="K124" t="s">
        <v>74</v>
      </c>
      <c r="L124" t="s">
        <v>74</v>
      </c>
      <c r="M124" t="s">
        <v>78</v>
      </c>
      <c r="N124" t="s">
        <v>79</v>
      </c>
      <c r="O124" t="s">
        <v>74</v>
      </c>
      <c r="P124" t="s">
        <v>74</v>
      </c>
      <c r="Q124" t="s">
        <v>74</v>
      </c>
      <c r="R124" t="s">
        <v>74</v>
      </c>
      <c r="S124" t="s">
        <v>74</v>
      </c>
      <c r="T124" t="s">
        <v>2616</v>
      </c>
      <c r="U124" t="s">
        <v>2617</v>
      </c>
      <c r="V124" t="s">
        <v>2618</v>
      </c>
      <c r="W124" t="s">
        <v>2619</v>
      </c>
      <c r="X124" t="s">
        <v>2620</v>
      </c>
      <c r="Y124" t="s">
        <v>2621</v>
      </c>
      <c r="Z124" t="s">
        <v>2622</v>
      </c>
      <c r="AA124" t="s">
        <v>2623</v>
      </c>
      <c r="AB124" t="s">
        <v>2624</v>
      </c>
      <c r="AC124" t="s">
        <v>2625</v>
      </c>
      <c r="AD124" t="s">
        <v>2626</v>
      </c>
      <c r="AE124" t="s">
        <v>2627</v>
      </c>
      <c r="AF124" t="s">
        <v>74</v>
      </c>
      <c r="AG124">
        <v>31</v>
      </c>
      <c r="AH124">
        <v>1</v>
      </c>
      <c r="AI124">
        <v>1</v>
      </c>
      <c r="AJ124">
        <v>1</v>
      </c>
      <c r="AK124">
        <v>9</v>
      </c>
      <c r="AL124" t="s">
        <v>119</v>
      </c>
      <c r="AM124" t="s">
        <v>120</v>
      </c>
      <c r="AN124" t="s">
        <v>121</v>
      </c>
      <c r="AO124" t="s">
        <v>74</v>
      </c>
      <c r="AP124" t="s">
        <v>122</v>
      </c>
      <c r="AQ124" t="s">
        <v>74</v>
      </c>
      <c r="AR124" t="s">
        <v>123</v>
      </c>
      <c r="AS124" t="s">
        <v>124</v>
      </c>
      <c r="AT124" t="s">
        <v>2473</v>
      </c>
      <c r="AU124">
        <v>2021</v>
      </c>
      <c r="AV124">
        <v>8</v>
      </c>
      <c r="AW124" t="s">
        <v>74</v>
      </c>
      <c r="AX124" t="s">
        <v>74</v>
      </c>
      <c r="AY124" t="s">
        <v>74</v>
      </c>
      <c r="AZ124" t="s">
        <v>74</v>
      </c>
      <c r="BA124" t="s">
        <v>74</v>
      </c>
      <c r="BB124" t="s">
        <v>74</v>
      </c>
      <c r="BC124" t="s">
        <v>74</v>
      </c>
      <c r="BD124">
        <v>660152</v>
      </c>
      <c r="BE124" t="s">
        <v>2628</v>
      </c>
      <c r="BF124" t="str">
        <f>HYPERLINK("http://dx.doi.org/10.3389/fmars.2021.660152","http://dx.doi.org/10.3389/fmars.2021.660152")</f>
        <v>http://dx.doi.org/10.3389/fmars.2021.660152</v>
      </c>
      <c r="BG124" t="s">
        <v>74</v>
      </c>
      <c r="BH124" t="s">
        <v>74</v>
      </c>
      <c r="BI124">
        <v>8</v>
      </c>
      <c r="BJ124" t="s">
        <v>127</v>
      </c>
      <c r="BK124" t="s">
        <v>128</v>
      </c>
      <c r="BL124" t="s">
        <v>129</v>
      </c>
      <c r="BM124" t="s">
        <v>2629</v>
      </c>
      <c r="BN124" t="s">
        <v>74</v>
      </c>
      <c r="BO124" t="s">
        <v>2630</v>
      </c>
      <c r="BP124" t="s">
        <v>74</v>
      </c>
      <c r="BQ124" t="s">
        <v>74</v>
      </c>
      <c r="BR124" t="s">
        <v>102</v>
      </c>
      <c r="BS124" t="s">
        <v>2631</v>
      </c>
      <c r="BT124" t="str">
        <f>HYPERLINK("https%3A%2F%2Fwww.webofscience.com%2Fwos%2Fwoscc%2Ffull-record%2FWOS:000683290300001","View Full Record in Web of Science")</f>
        <v>View Full Record in Web of Science</v>
      </c>
    </row>
    <row r="125" spans="1:72" x14ac:dyDescent="0.15">
      <c r="A125" t="s">
        <v>72</v>
      </c>
      <c r="B125" t="s">
        <v>2632</v>
      </c>
      <c r="C125" t="s">
        <v>74</v>
      </c>
      <c r="D125" t="s">
        <v>74</v>
      </c>
      <c r="E125" t="s">
        <v>74</v>
      </c>
      <c r="F125" t="s">
        <v>2633</v>
      </c>
      <c r="G125" t="s">
        <v>74</v>
      </c>
      <c r="H125" t="s">
        <v>74</v>
      </c>
      <c r="I125" t="s">
        <v>2634</v>
      </c>
      <c r="J125" t="s">
        <v>2635</v>
      </c>
      <c r="K125" t="s">
        <v>74</v>
      </c>
      <c r="L125" t="s">
        <v>74</v>
      </c>
      <c r="M125" t="s">
        <v>78</v>
      </c>
      <c r="N125" t="s">
        <v>79</v>
      </c>
      <c r="O125" t="s">
        <v>74</v>
      </c>
      <c r="P125" t="s">
        <v>74</v>
      </c>
      <c r="Q125" t="s">
        <v>74</v>
      </c>
      <c r="R125" t="s">
        <v>74</v>
      </c>
      <c r="S125" t="s">
        <v>74</v>
      </c>
      <c r="T125" t="s">
        <v>2636</v>
      </c>
      <c r="U125" t="s">
        <v>2637</v>
      </c>
      <c r="V125" t="s">
        <v>2638</v>
      </c>
      <c r="W125" t="s">
        <v>2639</v>
      </c>
      <c r="X125" t="s">
        <v>2640</v>
      </c>
      <c r="Y125" t="s">
        <v>2641</v>
      </c>
      <c r="Z125" t="s">
        <v>2642</v>
      </c>
      <c r="AA125" t="s">
        <v>2643</v>
      </c>
      <c r="AB125" t="s">
        <v>2644</v>
      </c>
      <c r="AC125" t="s">
        <v>2645</v>
      </c>
      <c r="AD125" t="s">
        <v>2645</v>
      </c>
      <c r="AE125" t="s">
        <v>2646</v>
      </c>
      <c r="AF125" t="s">
        <v>74</v>
      </c>
      <c r="AG125">
        <v>80</v>
      </c>
      <c r="AH125">
        <v>2</v>
      </c>
      <c r="AI125">
        <v>2</v>
      </c>
      <c r="AJ125">
        <v>1</v>
      </c>
      <c r="AK125">
        <v>5</v>
      </c>
      <c r="AL125" t="s">
        <v>197</v>
      </c>
      <c r="AM125" t="s">
        <v>198</v>
      </c>
      <c r="AN125" t="s">
        <v>2647</v>
      </c>
      <c r="AO125" t="s">
        <v>74</v>
      </c>
      <c r="AP125" t="s">
        <v>2648</v>
      </c>
      <c r="AQ125" t="s">
        <v>74</v>
      </c>
      <c r="AR125" t="s">
        <v>2649</v>
      </c>
      <c r="AS125" t="s">
        <v>2650</v>
      </c>
      <c r="AT125" t="s">
        <v>2651</v>
      </c>
      <c r="AU125">
        <v>2022</v>
      </c>
      <c r="AV125">
        <v>8</v>
      </c>
      <c r="AW125">
        <v>1</v>
      </c>
      <c r="AX125" t="s">
        <v>74</v>
      </c>
      <c r="AY125" t="s">
        <v>74</v>
      </c>
      <c r="AZ125" t="s">
        <v>74</v>
      </c>
      <c r="BA125" t="s">
        <v>74</v>
      </c>
      <c r="BB125">
        <v>105</v>
      </c>
      <c r="BC125">
        <v>118</v>
      </c>
      <c r="BD125" t="s">
        <v>74</v>
      </c>
      <c r="BE125" t="s">
        <v>2652</v>
      </c>
      <c r="BF125" t="str">
        <f>HYPERLINK("http://dx.doi.org/10.1002/rse2.230","http://dx.doi.org/10.1002/rse2.230")</f>
        <v>http://dx.doi.org/10.1002/rse2.230</v>
      </c>
      <c r="BG125" t="s">
        <v>74</v>
      </c>
      <c r="BH125" t="s">
        <v>2323</v>
      </c>
      <c r="BI125">
        <v>14</v>
      </c>
      <c r="BJ125" t="s">
        <v>2653</v>
      </c>
      <c r="BK125" t="s">
        <v>128</v>
      </c>
      <c r="BL125" t="s">
        <v>2654</v>
      </c>
      <c r="BM125" t="s">
        <v>2655</v>
      </c>
      <c r="BN125" t="s">
        <v>74</v>
      </c>
      <c r="BO125" t="s">
        <v>238</v>
      </c>
      <c r="BP125" t="s">
        <v>74</v>
      </c>
      <c r="BQ125" t="s">
        <v>74</v>
      </c>
      <c r="BR125" t="s">
        <v>102</v>
      </c>
      <c r="BS125" t="s">
        <v>2656</v>
      </c>
      <c r="BT125" t="str">
        <f>HYPERLINK("https%3A%2F%2Fwww.webofscience.com%2Fwos%2Fwoscc%2Ffull-record%2FWOS:000678021000001","View Full Record in Web of Science")</f>
        <v>View Full Record in Web of Science</v>
      </c>
    </row>
    <row r="126" spans="1:72" x14ac:dyDescent="0.15">
      <c r="A126" t="s">
        <v>72</v>
      </c>
      <c r="B126" t="s">
        <v>2657</v>
      </c>
      <c r="C126" t="s">
        <v>74</v>
      </c>
      <c r="D126" t="s">
        <v>74</v>
      </c>
      <c r="E126" t="s">
        <v>74</v>
      </c>
      <c r="F126" t="s">
        <v>2658</v>
      </c>
      <c r="G126" t="s">
        <v>74</v>
      </c>
      <c r="H126" t="s">
        <v>74</v>
      </c>
      <c r="I126" t="s">
        <v>2659</v>
      </c>
      <c r="J126" t="s">
        <v>2660</v>
      </c>
      <c r="K126" t="s">
        <v>74</v>
      </c>
      <c r="L126" t="s">
        <v>74</v>
      </c>
      <c r="M126" t="s">
        <v>78</v>
      </c>
      <c r="N126" t="s">
        <v>79</v>
      </c>
      <c r="O126" t="s">
        <v>74</v>
      </c>
      <c r="P126" t="s">
        <v>74</v>
      </c>
      <c r="Q126" t="s">
        <v>74</v>
      </c>
      <c r="R126" t="s">
        <v>74</v>
      </c>
      <c r="S126" t="s">
        <v>74</v>
      </c>
      <c r="T126" t="s">
        <v>2661</v>
      </c>
      <c r="U126" t="s">
        <v>2662</v>
      </c>
      <c r="V126" t="s">
        <v>2663</v>
      </c>
      <c r="W126" t="s">
        <v>2664</v>
      </c>
      <c r="X126" t="s">
        <v>2665</v>
      </c>
      <c r="Y126" t="s">
        <v>2666</v>
      </c>
      <c r="Z126" t="s">
        <v>2667</v>
      </c>
      <c r="AA126" t="s">
        <v>74</v>
      </c>
      <c r="AB126" t="s">
        <v>2668</v>
      </c>
      <c r="AC126" t="s">
        <v>74</v>
      </c>
      <c r="AD126" t="s">
        <v>74</v>
      </c>
      <c r="AE126" t="s">
        <v>74</v>
      </c>
      <c r="AF126" t="s">
        <v>74</v>
      </c>
      <c r="AG126">
        <v>38</v>
      </c>
      <c r="AH126">
        <v>2</v>
      </c>
      <c r="AI126">
        <v>2</v>
      </c>
      <c r="AJ126">
        <v>0</v>
      </c>
      <c r="AK126">
        <v>4</v>
      </c>
      <c r="AL126" t="s">
        <v>281</v>
      </c>
      <c r="AM126" t="s">
        <v>228</v>
      </c>
      <c r="AN126" t="s">
        <v>282</v>
      </c>
      <c r="AO126" t="s">
        <v>2669</v>
      </c>
      <c r="AP126" t="s">
        <v>2670</v>
      </c>
      <c r="AQ126" t="s">
        <v>74</v>
      </c>
      <c r="AR126" t="s">
        <v>2671</v>
      </c>
      <c r="AS126" t="s">
        <v>2672</v>
      </c>
      <c r="AT126" t="s">
        <v>287</v>
      </c>
      <c r="AU126">
        <v>2021</v>
      </c>
      <c r="AV126">
        <v>222</v>
      </c>
      <c r="AW126" t="s">
        <v>74</v>
      </c>
      <c r="AX126" t="s">
        <v>74</v>
      </c>
      <c r="AY126" t="s">
        <v>74</v>
      </c>
      <c r="AZ126" t="s">
        <v>74</v>
      </c>
      <c r="BA126" t="s">
        <v>74</v>
      </c>
      <c r="BB126" t="s">
        <v>74</v>
      </c>
      <c r="BC126" t="s">
        <v>74</v>
      </c>
      <c r="BD126">
        <v>105723</v>
      </c>
      <c r="BE126" t="s">
        <v>2673</v>
      </c>
      <c r="BF126" t="str">
        <f>HYPERLINK("http://dx.doi.org/10.1016/j.jastp.2021.105723","http://dx.doi.org/10.1016/j.jastp.2021.105723")</f>
        <v>http://dx.doi.org/10.1016/j.jastp.2021.105723</v>
      </c>
      <c r="BG126" t="s">
        <v>74</v>
      </c>
      <c r="BH126" t="s">
        <v>2323</v>
      </c>
      <c r="BI126">
        <v>12</v>
      </c>
      <c r="BJ126" t="s">
        <v>2674</v>
      </c>
      <c r="BK126" t="s">
        <v>128</v>
      </c>
      <c r="BL126" t="s">
        <v>2674</v>
      </c>
      <c r="BM126" t="s">
        <v>2675</v>
      </c>
      <c r="BN126" t="s">
        <v>74</v>
      </c>
      <c r="BO126" t="s">
        <v>74</v>
      </c>
      <c r="BP126" t="s">
        <v>74</v>
      </c>
      <c r="BQ126" t="s">
        <v>74</v>
      </c>
      <c r="BR126" t="s">
        <v>102</v>
      </c>
      <c r="BS126" t="s">
        <v>2676</v>
      </c>
      <c r="BT126" t="str">
        <f>HYPERLINK("https%3A%2F%2Fwww.webofscience.com%2Fwos%2Fwoscc%2Ffull-record%2FWOS:000685092100002","View Full Record in Web of Science")</f>
        <v>View Full Record in Web of Science</v>
      </c>
    </row>
    <row r="127" spans="1:72" x14ac:dyDescent="0.15">
      <c r="A127" t="s">
        <v>72</v>
      </c>
      <c r="B127" t="s">
        <v>2677</v>
      </c>
      <c r="C127" t="s">
        <v>74</v>
      </c>
      <c r="D127" t="s">
        <v>74</v>
      </c>
      <c r="E127" t="s">
        <v>74</v>
      </c>
      <c r="F127" t="s">
        <v>2678</v>
      </c>
      <c r="G127" t="s">
        <v>74</v>
      </c>
      <c r="H127" t="s">
        <v>74</v>
      </c>
      <c r="I127" t="s">
        <v>2679</v>
      </c>
      <c r="J127" t="s">
        <v>2680</v>
      </c>
      <c r="K127" t="s">
        <v>74</v>
      </c>
      <c r="L127" t="s">
        <v>74</v>
      </c>
      <c r="M127" t="s">
        <v>78</v>
      </c>
      <c r="N127" t="s">
        <v>79</v>
      </c>
      <c r="O127" t="s">
        <v>74</v>
      </c>
      <c r="P127" t="s">
        <v>74</v>
      </c>
      <c r="Q127" t="s">
        <v>74</v>
      </c>
      <c r="R127" t="s">
        <v>74</v>
      </c>
      <c r="S127" t="s">
        <v>74</v>
      </c>
      <c r="T127" t="s">
        <v>2681</v>
      </c>
      <c r="U127" t="s">
        <v>2682</v>
      </c>
      <c r="V127" t="s">
        <v>2683</v>
      </c>
      <c r="W127" t="s">
        <v>2684</v>
      </c>
      <c r="X127" t="s">
        <v>2685</v>
      </c>
      <c r="Y127" t="s">
        <v>2686</v>
      </c>
      <c r="Z127" t="s">
        <v>2687</v>
      </c>
      <c r="AA127" t="s">
        <v>2688</v>
      </c>
      <c r="AB127" t="s">
        <v>2689</v>
      </c>
      <c r="AC127" t="s">
        <v>2690</v>
      </c>
      <c r="AD127" t="s">
        <v>2690</v>
      </c>
      <c r="AE127" t="s">
        <v>2691</v>
      </c>
      <c r="AF127" t="s">
        <v>74</v>
      </c>
      <c r="AG127">
        <v>76</v>
      </c>
      <c r="AH127">
        <v>6</v>
      </c>
      <c r="AI127">
        <v>6</v>
      </c>
      <c r="AJ127">
        <v>2</v>
      </c>
      <c r="AK127">
        <v>15</v>
      </c>
      <c r="AL127" t="s">
        <v>197</v>
      </c>
      <c r="AM127" t="s">
        <v>198</v>
      </c>
      <c r="AN127" t="s">
        <v>199</v>
      </c>
      <c r="AO127" t="s">
        <v>2692</v>
      </c>
      <c r="AP127" t="s">
        <v>74</v>
      </c>
      <c r="AQ127" t="s">
        <v>74</v>
      </c>
      <c r="AR127" t="s">
        <v>2693</v>
      </c>
      <c r="AS127" t="s">
        <v>2694</v>
      </c>
      <c r="AT127" t="s">
        <v>535</v>
      </c>
      <c r="AU127">
        <v>2021</v>
      </c>
      <c r="AV127">
        <v>11</v>
      </c>
      <c r="AW127">
        <v>16</v>
      </c>
      <c r="AX127" t="s">
        <v>74</v>
      </c>
      <c r="AY127" t="s">
        <v>74</v>
      </c>
      <c r="AZ127" t="s">
        <v>74</v>
      </c>
      <c r="BA127" t="s">
        <v>74</v>
      </c>
      <c r="BB127">
        <v>11333</v>
      </c>
      <c r="BC127">
        <v>11344</v>
      </c>
      <c r="BD127" t="s">
        <v>74</v>
      </c>
      <c r="BE127" t="s">
        <v>2695</v>
      </c>
      <c r="BF127" t="str">
        <f>HYPERLINK("http://dx.doi.org/10.1002/ece3.7919","http://dx.doi.org/10.1002/ece3.7919")</f>
        <v>http://dx.doi.org/10.1002/ece3.7919</v>
      </c>
      <c r="BG127" t="s">
        <v>74</v>
      </c>
      <c r="BH127" t="s">
        <v>2323</v>
      </c>
      <c r="BI127">
        <v>12</v>
      </c>
      <c r="BJ127" t="s">
        <v>2696</v>
      </c>
      <c r="BK127" t="s">
        <v>128</v>
      </c>
      <c r="BL127" t="s">
        <v>2697</v>
      </c>
      <c r="BM127" t="s">
        <v>2698</v>
      </c>
      <c r="BN127">
        <v>34429922</v>
      </c>
      <c r="BO127" t="s">
        <v>238</v>
      </c>
      <c r="BP127" t="s">
        <v>74</v>
      </c>
      <c r="BQ127" t="s">
        <v>74</v>
      </c>
      <c r="BR127" t="s">
        <v>102</v>
      </c>
      <c r="BS127" t="s">
        <v>2699</v>
      </c>
      <c r="BT127" t="str">
        <f>HYPERLINK("https%3A%2F%2Fwww.webofscience.com%2Fwos%2Fwoscc%2Ffull-record%2FWOS:000679021700001","View Full Record in Web of Science")</f>
        <v>View Full Record in Web of Science</v>
      </c>
    </row>
    <row r="128" spans="1:72" x14ac:dyDescent="0.15">
      <c r="A128" t="s">
        <v>72</v>
      </c>
      <c r="B128" t="s">
        <v>2700</v>
      </c>
      <c r="C128" t="s">
        <v>74</v>
      </c>
      <c r="D128" t="s">
        <v>74</v>
      </c>
      <c r="E128" t="s">
        <v>74</v>
      </c>
      <c r="F128" t="s">
        <v>2701</v>
      </c>
      <c r="G128" t="s">
        <v>74</v>
      </c>
      <c r="H128" t="s">
        <v>74</v>
      </c>
      <c r="I128" t="s">
        <v>2702</v>
      </c>
      <c r="J128" t="s">
        <v>2703</v>
      </c>
      <c r="K128" t="s">
        <v>74</v>
      </c>
      <c r="L128" t="s">
        <v>74</v>
      </c>
      <c r="M128" t="s">
        <v>78</v>
      </c>
      <c r="N128" t="s">
        <v>79</v>
      </c>
      <c r="O128" t="s">
        <v>74</v>
      </c>
      <c r="P128" t="s">
        <v>74</v>
      </c>
      <c r="Q128" t="s">
        <v>74</v>
      </c>
      <c r="R128" t="s">
        <v>74</v>
      </c>
      <c r="S128" t="s">
        <v>74</v>
      </c>
      <c r="T128" t="s">
        <v>2704</v>
      </c>
      <c r="U128" t="s">
        <v>2705</v>
      </c>
      <c r="V128" t="s">
        <v>2706</v>
      </c>
      <c r="W128" t="s">
        <v>2707</v>
      </c>
      <c r="X128" t="s">
        <v>2708</v>
      </c>
      <c r="Y128" t="s">
        <v>2709</v>
      </c>
      <c r="Z128" t="s">
        <v>2710</v>
      </c>
      <c r="AA128" t="s">
        <v>2711</v>
      </c>
      <c r="AB128" t="s">
        <v>2712</v>
      </c>
      <c r="AC128" t="s">
        <v>2713</v>
      </c>
      <c r="AD128" t="s">
        <v>2714</v>
      </c>
      <c r="AE128" t="s">
        <v>2715</v>
      </c>
      <c r="AF128" t="s">
        <v>74</v>
      </c>
      <c r="AG128">
        <v>86</v>
      </c>
      <c r="AH128">
        <v>10</v>
      </c>
      <c r="AI128">
        <v>12</v>
      </c>
      <c r="AJ128">
        <v>4</v>
      </c>
      <c r="AK128">
        <v>34</v>
      </c>
      <c r="AL128" t="s">
        <v>2716</v>
      </c>
      <c r="AM128" t="s">
        <v>865</v>
      </c>
      <c r="AN128" t="s">
        <v>2717</v>
      </c>
      <c r="AO128" t="s">
        <v>2718</v>
      </c>
      <c r="AP128" t="s">
        <v>74</v>
      </c>
      <c r="AQ128" t="s">
        <v>74</v>
      </c>
      <c r="AR128" t="s">
        <v>2719</v>
      </c>
      <c r="AS128" t="s">
        <v>2720</v>
      </c>
      <c r="AT128" t="s">
        <v>2721</v>
      </c>
      <c r="AU128">
        <v>2021</v>
      </c>
      <c r="AV128">
        <v>118</v>
      </c>
      <c r="AW128">
        <v>30</v>
      </c>
      <c r="AX128" t="s">
        <v>74</v>
      </c>
      <c r="AY128" t="s">
        <v>74</v>
      </c>
      <c r="AZ128" t="s">
        <v>74</v>
      </c>
      <c r="BA128" t="s">
        <v>74</v>
      </c>
      <c r="BB128" t="s">
        <v>74</v>
      </c>
      <c r="BC128" t="s">
        <v>74</v>
      </c>
      <c r="BD128" t="s">
        <v>2722</v>
      </c>
      <c r="BE128" t="s">
        <v>2723</v>
      </c>
      <c r="BF128" t="str">
        <f>HYPERLINK("http://dx.doi.org/10.1073/pnas.2107238118","http://dx.doi.org/10.1073/pnas.2107238118")</f>
        <v>http://dx.doi.org/10.1073/pnas.2107238118</v>
      </c>
      <c r="BG128" t="s">
        <v>74</v>
      </c>
      <c r="BH128" t="s">
        <v>74</v>
      </c>
      <c r="BI128">
        <v>9</v>
      </c>
      <c r="BJ128" t="s">
        <v>2609</v>
      </c>
      <c r="BK128" t="s">
        <v>128</v>
      </c>
      <c r="BL128" t="s">
        <v>2610</v>
      </c>
      <c r="BM128" t="s">
        <v>2724</v>
      </c>
      <c r="BN128">
        <v>34301906</v>
      </c>
      <c r="BO128" t="s">
        <v>2725</v>
      </c>
      <c r="BP128" t="s">
        <v>74</v>
      </c>
      <c r="BQ128" t="s">
        <v>74</v>
      </c>
      <c r="BR128" t="s">
        <v>102</v>
      </c>
      <c r="BS128" t="s">
        <v>2726</v>
      </c>
      <c r="BT128" t="str">
        <f>HYPERLINK("https%3A%2F%2Fwww.webofscience.com%2Fwos%2Fwoscc%2Ffull-record%2FWOS:000685039100008","View Full Record in Web of Science")</f>
        <v>View Full Record in Web of Science</v>
      </c>
    </row>
    <row r="129" spans="1:72" x14ac:dyDescent="0.15">
      <c r="A129" t="s">
        <v>72</v>
      </c>
      <c r="B129" t="s">
        <v>2727</v>
      </c>
      <c r="C129" t="s">
        <v>74</v>
      </c>
      <c r="D129" t="s">
        <v>74</v>
      </c>
      <c r="E129" t="s">
        <v>74</v>
      </c>
      <c r="F129" t="s">
        <v>2728</v>
      </c>
      <c r="G129" t="s">
        <v>74</v>
      </c>
      <c r="H129" t="s">
        <v>74</v>
      </c>
      <c r="I129" t="s">
        <v>2729</v>
      </c>
      <c r="J129" t="s">
        <v>2730</v>
      </c>
      <c r="K129" t="s">
        <v>74</v>
      </c>
      <c r="L129" t="s">
        <v>74</v>
      </c>
      <c r="M129" t="s">
        <v>78</v>
      </c>
      <c r="N129" t="s">
        <v>79</v>
      </c>
      <c r="O129" t="s">
        <v>74</v>
      </c>
      <c r="P129" t="s">
        <v>74</v>
      </c>
      <c r="Q129" t="s">
        <v>74</v>
      </c>
      <c r="R129" t="s">
        <v>74</v>
      </c>
      <c r="S129" t="s">
        <v>74</v>
      </c>
      <c r="T129" t="s">
        <v>2731</v>
      </c>
      <c r="U129" t="s">
        <v>2732</v>
      </c>
      <c r="V129" t="s">
        <v>2733</v>
      </c>
      <c r="W129" t="s">
        <v>2734</v>
      </c>
      <c r="X129" t="s">
        <v>2735</v>
      </c>
      <c r="Y129" t="s">
        <v>2736</v>
      </c>
      <c r="Z129" t="s">
        <v>2737</v>
      </c>
      <c r="AA129" t="s">
        <v>2738</v>
      </c>
      <c r="AB129" t="s">
        <v>2739</v>
      </c>
      <c r="AC129" t="s">
        <v>2740</v>
      </c>
      <c r="AD129" t="s">
        <v>2741</v>
      </c>
      <c r="AE129" t="s">
        <v>2742</v>
      </c>
      <c r="AF129" t="s">
        <v>74</v>
      </c>
      <c r="AG129">
        <v>41</v>
      </c>
      <c r="AH129">
        <v>2</v>
      </c>
      <c r="AI129">
        <v>2</v>
      </c>
      <c r="AJ129">
        <v>0</v>
      </c>
      <c r="AK129">
        <v>9</v>
      </c>
      <c r="AL129" t="s">
        <v>119</v>
      </c>
      <c r="AM129" t="s">
        <v>120</v>
      </c>
      <c r="AN129" t="s">
        <v>121</v>
      </c>
      <c r="AO129" t="s">
        <v>74</v>
      </c>
      <c r="AP129" t="s">
        <v>2743</v>
      </c>
      <c r="AQ129" t="s">
        <v>74</v>
      </c>
      <c r="AR129" t="s">
        <v>2744</v>
      </c>
      <c r="AS129" t="s">
        <v>2745</v>
      </c>
      <c r="AT129" t="s">
        <v>2721</v>
      </c>
      <c r="AU129">
        <v>2021</v>
      </c>
      <c r="AV129">
        <v>8</v>
      </c>
      <c r="AW129" t="s">
        <v>74</v>
      </c>
      <c r="AX129" t="s">
        <v>74</v>
      </c>
      <c r="AY129" t="s">
        <v>74</v>
      </c>
      <c r="AZ129" t="s">
        <v>74</v>
      </c>
      <c r="BA129" t="s">
        <v>74</v>
      </c>
      <c r="BB129" t="s">
        <v>74</v>
      </c>
      <c r="BC129" t="s">
        <v>74</v>
      </c>
      <c r="BD129">
        <v>698685</v>
      </c>
      <c r="BE129" t="s">
        <v>2746</v>
      </c>
      <c r="BF129" t="str">
        <f>HYPERLINK("http://dx.doi.org/10.3389/fvets.2021.698685","http://dx.doi.org/10.3389/fvets.2021.698685")</f>
        <v>http://dx.doi.org/10.3389/fvets.2021.698685</v>
      </c>
      <c r="BG129" t="s">
        <v>74</v>
      </c>
      <c r="BH129" t="s">
        <v>74</v>
      </c>
      <c r="BI129">
        <v>13</v>
      </c>
      <c r="BJ129" t="s">
        <v>2747</v>
      </c>
      <c r="BK129" t="s">
        <v>128</v>
      </c>
      <c r="BL129" t="s">
        <v>2747</v>
      </c>
      <c r="BM129" t="s">
        <v>2748</v>
      </c>
      <c r="BN129">
        <v>34386538</v>
      </c>
      <c r="BO129" t="s">
        <v>2749</v>
      </c>
      <c r="BP129" t="s">
        <v>74</v>
      </c>
      <c r="BQ129" t="s">
        <v>74</v>
      </c>
      <c r="BR129" t="s">
        <v>102</v>
      </c>
      <c r="BS129" t="s">
        <v>2750</v>
      </c>
      <c r="BT129" t="str">
        <f>HYPERLINK("https%3A%2F%2Fwww.webofscience.com%2Fwos%2Fwoscc%2Ffull-record%2FWOS:000683305800001","View Full Record in Web of Science")</f>
        <v>View Full Record in Web of Science</v>
      </c>
    </row>
    <row r="130" spans="1:72" x14ac:dyDescent="0.15">
      <c r="A130" t="s">
        <v>72</v>
      </c>
      <c r="B130" t="s">
        <v>2751</v>
      </c>
      <c r="C130" t="s">
        <v>74</v>
      </c>
      <c r="D130" t="s">
        <v>74</v>
      </c>
      <c r="E130" t="s">
        <v>74</v>
      </c>
      <c r="F130" t="s">
        <v>2752</v>
      </c>
      <c r="G130" t="s">
        <v>74</v>
      </c>
      <c r="H130" t="s">
        <v>74</v>
      </c>
      <c r="I130" t="s">
        <v>2753</v>
      </c>
      <c r="J130" t="s">
        <v>2396</v>
      </c>
      <c r="K130" t="s">
        <v>74</v>
      </c>
      <c r="L130" t="s">
        <v>74</v>
      </c>
      <c r="M130" t="s">
        <v>78</v>
      </c>
      <c r="N130" t="s">
        <v>79</v>
      </c>
      <c r="O130" t="s">
        <v>74</v>
      </c>
      <c r="P130" t="s">
        <v>74</v>
      </c>
      <c r="Q130" t="s">
        <v>74</v>
      </c>
      <c r="R130" t="s">
        <v>74</v>
      </c>
      <c r="S130" t="s">
        <v>74</v>
      </c>
      <c r="T130" t="s">
        <v>74</v>
      </c>
      <c r="U130" t="s">
        <v>2754</v>
      </c>
      <c r="V130" t="s">
        <v>2755</v>
      </c>
      <c r="W130" t="s">
        <v>2756</v>
      </c>
      <c r="X130" t="s">
        <v>2757</v>
      </c>
      <c r="Y130" t="s">
        <v>2758</v>
      </c>
      <c r="Z130" t="s">
        <v>2759</v>
      </c>
      <c r="AA130" t="s">
        <v>2760</v>
      </c>
      <c r="AB130" t="s">
        <v>2761</v>
      </c>
      <c r="AC130" t="s">
        <v>2762</v>
      </c>
      <c r="AD130" t="s">
        <v>2763</v>
      </c>
      <c r="AE130" t="s">
        <v>2764</v>
      </c>
      <c r="AF130" t="s">
        <v>74</v>
      </c>
      <c r="AG130">
        <v>39</v>
      </c>
      <c r="AH130">
        <v>0</v>
      </c>
      <c r="AI130">
        <v>0</v>
      </c>
      <c r="AJ130">
        <v>2</v>
      </c>
      <c r="AK130">
        <v>3</v>
      </c>
      <c r="AL130" t="s">
        <v>143</v>
      </c>
      <c r="AM130" t="s">
        <v>144</v>
      </c>
      <c r="AN130" t="s">
        <v>145</v>
      </c>
      <c r="AO130" t="s">
        <v>2408</v>
      </c>
      <c r="AP130" t="s">
        <v>2409</v>
      </c>
      <c r="AQ130" t="s">
        <v>74</v>
      </c>
      <c r="AR130" t="s">
        <v>2396</v>
      </c>
      <c r="AS130" t="s">
        <v>2410</v>
      </c>
      <c r="AT130" t="s">
        <v>2721</v>
      </c>
      <c r="AU130">
        <v>2021</v>
      </c>
      <c r="AV130">
        <v>15</v>
      </c>
      <c r="AW130">
        <v>7</v>
      </c>
      <c r="AX130" t="s">
        <v>74</v>
      </c>
      <c r="AY130" t="s">
        <v>74</v>
      </c>
      <c r="AZ130" t="s">
        <v>74</v>
      </c>
      <c r="BA130" t="s">
        <v>74</v>
      </c>
      <c r="BB130">
        <v>3495</v>
      </c>
      <c r="BC130">
        <v>3505</v>
      </c>
      <c r="BD130" t="s">
        <v>74</v>
      </c>
      <c r="BE130" t="s">
        <v>2765</v>
      </c>
      <c r="BF130" t="str">
        <f>HYPERLINK("http://dx.doi.org/10.5194/tc-15-3495-2021","http://dx.doi.org/10.5194/tc-15-3495-2021")</f>
        <v>http://dx.doi.org/10.5194/tc-15-3495-2021</v>
      </c>
      <c r="BG130" t="s">
        <v>74</v>
      </c>
      <c r="BH130" t="s">
        <v>74</v>
      </c>
      <c r="BI130">
        <v>11</v>
      </c>
      <c r="BJ130" t="s">
        <v>151</v>
      </c>
      <c r="BK130" t="s">
        <v>128</v>
      </c>
      <c r="BL130" t="s">
        <v>152</v>
      </c>
      <c r="BM130" t="s">
        <v>2766</v>
      </c>
      <c r="BN130" t="s">
        <v>74</v>
      </c>
      <c r="BO130" t="s">
        <v>154</v>
      </c>
      <c r="BP130" t="s">
        <v>74</v>
      </c>
      <c r="BQ130" t="s">
        <v>74</v>
      </c>
      <c r="BR130" t="s">
        <v>102</v>
      </c>
      <c r="BS130" t="s">
        <v>2767</v>
      </c>
      <c r="BT130" t="str">
        <f>HYPERLINK("https%3A%2F%2Fwww.webofscience.com%2Fwos%2Fwoscc%2Ffull-record%2FWOS:000678371400001","View Full Record in Web of Science")</f>
        <v>View Full Record in Web of Science</v>
      </c>
    </row>
    <row r="131" spans="1:72" x14ac:dyDescent="0.15">
      <c r="A131" t="s">
        <v>72</v>
      </c>
      <c r="B131" t="s">
        <v>2768</v>
      </c>
      <c r="C131" t="s">
        <v>74</v>
      </c>
      <c r="D131" t="s">
        <v>74</v>
      </c>
      <c r="E131" t="s">
        <v>74</v>
      </c>
      <c r="F131" t="s">
        <v>2769</v>
      </c>
      <c r="G131" t="s">
        <v>74</v>
      </c>
      <c r="H131" t="s">
        <v>74</v>
      </c>
      <c r="I131" t="s">
        <v>2770</v>
      </c>
      <c r="J131" t="s">
        <v>2771</v>
      </c>
      <c r="K131" t="s">
        <v>74</v>
      </c>
      <c r="L131" t="s">
        <v>74</v>
      </c>
      <c r="M131" t="s">
        <v>78</v>
      </c>
      <c r="N131" t="s">
        <v>79</v>
      </c>
      <c r="O131" t="s">
        <v>74</v>
      </c>
      <c r="P131" t="s">
        <v>74</v>
      </c>
      <c r="Q131" t="s">
        <v>74</v>
      </c>
      <c r="R131" t="s">
        <v>74</v>
      </c>
      <c r="S131" t="s">
        <v>74</v>
      </c>
      <c r="T131" t="s">
        <v>74</v>
      </c>
      <c r="U131" t="s">
        <v>2772</v>
      </c>
      <c r="V131" t="s">
        <v>2773</v>
      </c>
      <c r="W131" t="s">
        <v>2774</v>
      </c>
      <c r="X131" t="s">
        <v>2775</v>
      </c>
      <c r="Y131" t="s">
        <v>2776</v>
      </c>
      <c r="Z131" t="s">
        <v>2777</v>
      </c>
      <c r="AA131" t="s">
        <v>2778</v>
      </c>
      <c r="AB131" t="s">
        <v>2779</v>
      </c>
      <c r="AC131" t="s">
        <v>2780</v>
      </c>
      <c r="AD131" t="s">
        <v>2781</v>
      </c>
      <c r="AE131" t="s">
        <v>2782</v>
      </c>
      <c r="AF131" t="s">
        <v>74</v>
      </c>
      <c r="AG131">
        <v>35</v>
      </c>
      <c r="AH131">
        <v>7</v>
      </c>
      <c r="AI131">
        <v>7</v>
      </c>
      <c r="AJ131">
        <v>8</v>
      </c>
      <c r="AK131">
        <v>34</v>
      </c>
      <c r="AL131" t="s">
        <v>143</v>
      </c>
      <c r="AM131" t="s">
        <v>144</v>
      </c>
      <c r="AN131" t="s">
        <v>145</v>
      </c>
      <c r="AO131" t="s">
        <v>2783</v>
      </c>
      <c r="AP131" t="s">
        <v>2784</v>
      </c>
      <c r="AQ131" t="s">
        <v>74</v>
      </c>
      <c r="AR131" t="s">
        <v>2785</v>
      </c>
      <c r="AS131" t="s">
        <v>2786</v>
      </c>
      <c r="AT131" t="s">
        <v>2721</v>
      </c>
      <c r="AU131">
        <v>2021</v>
      </c>
      <c r="AV131">
        <v>14</v>
      </c>
      <c r="AW131">
        <v>7</v>
      </c>
      <c r="AX131" t="s">
        <v>74</v>
      </c>
      <c r="AY131" t="s">
        <v>74</v>
      </c>
      <c r="AZ131" t="s">
        <v>74</v>
      </c>
      <c r="BA131" t="s">
        <v>74</v>
      </c>
      <c r="BB131">
        <v>5049</v>
      </c>
      <c r="BC131">
        <v>5069</v>
      </c>
      <c r="BD131" t="s">
        <v>74</v>
      </c>
      <c r="BE131" t="s">
        <v>2787</v>
      </c>
      <c r="BF131" t="str">
        <f>HYPERLINK("http://dx.doi.org/10.5194/amt-14-5049-2021","http://dx.doi.org/10.5194/amt-14-5049-2021")</f>
        <v>http://dx.doi.org/10.5194/amt-14-5049-2021</v>
      </c>
      <c r="BG131" t="s">
        <v>74</v>
      </c>
      <c r="BH131" t="s">
        <v>74</v>
      </c>
      <c r="BI131">
        <v>21</v>
      </c>
      <c r="BJ131" t="s">
        <v>567</v>
      </c>
      <c r="BK131" t="s">
        <v>128</v>
      </c>
      <c r="BL131" t="s">
        <v>567</v>
      </c>
      <c r="BM131" t="s">
        <v>2788</v>
      </c>
      <c r="BN131" t="s">
        <v>74</v>
      </c>
      <c r="BO131" t="s">
        <v>2789</v>
      </c>
      <c r="BP131" t="s">
        <v>74</v>
      </c>
      <c r="BQ131" t="s">
        <v>74</v>
      </c>
      <c r="BR131" t="s">
        <v>102</v>
      </c>
      <c r="BS131" t="s">
        <v>2790</v>
      </c>
      <c r="BT131" t="str">
        <f>HYPERLINK("https%3A%2F%2Fwww.webofscience.com%2Fwos%2Fwoscc%2Ffull-record%2FWOS:000678370600001","View Full Record in Web of Science")</f>
        <v>View Full Record in Web of Science</v>
      </c>
    </row>
    <row r="132" spans="1:72" x14ac:dyDescent="0.15">
      <c r="A132" t="s">
        <v>72</v>
      </c>
      <c r="B132" t="s">
        <v>2791</v>
      </c>
      <c r="C132" t="s">
        <v>74</v>
      </c>
      <c r="D132" t="s">
        <v>74</v>
      </c>
      <c r="E132" t="s">
        <v>74</v>
      </c>
      <c r="F132" t="s">
        <v>2792</v>
      </c>
      <c r="G132" t="s">
        <v>74</v>
      </c>
      <c r="H132" t="s">
        <v>74</v>
      </c>
      <c r="I132" t="s">
        <v>2793</v>
      </c>
      <c r="J132" t="s">
        <v>2794</v>
      </c>
      <c r="K132" t="s">
        <v>74</v>
      </c>
      <c r="L132" t="s">
        <v>74</v>
      </c>
      <c r="M132" t="s">
        <v>78</v>
      </c>
      <c r="N132" t="s">
        <v>79</v>
      </c>
      <c r="O132" t="s">
        <v>74</v>
      </c>
      <c r="P132" t="s">
        <v>74</v>
      </c>
      <c r="Q132" t="s">
        <v>74</v>
      </c>
      <c r="R132" t="s">
        <v>74</v>
      </c>
      <c r="S132" t="s">
        <v>74</v>
      </c>
      <c r="T132" t="s">
        <v>2795</v>
      </c>
      <c r="U132" t="s">
        <v>2796</v>
      </c>
      <c r="V132" t="s">
        <v>2797</v>
      </c>
      <c r="W132" t="s">
        <v>2798</v>
      </c>
      <c r="X132" t="s">
        <v>2799</v>
      </c>
      <c r="Y132" t="s">
        <v>2800</v>
      </c>
      <c r="Z132" t="s">
        <v>2801</v>
      </c>
      <c r="AA132" t="s">
        <v>74</v>
      </c>
      <c r="AB132" t="s">
        <v>2802</v>
      </c>
      <c r="AC132" t="s">
        <v>2803</v>
      </c>
      <c r="AD132" t="s">
        <v>2804</v>
      </c>
      <c r="AE132" t="s">
        <v>2805</v>
      </c>
      <c r="AF132" t="s">
        <v>74</v>
      </c>
      <c r="AG132">
        <v>151</v>
      </c>
      <c r="AH132">
        <v>69</v>
      </c>
      <c r="AI132">
        <v>74</v>
      </c>
      <c r="AJ132">
        <v>11</v>
      </c>
      <c r="AK132">
        <v>61</v>
      </c>
      <c r="AL132" t="s">
        <v>197</v>
      </c>
      <c r="AM132" t="s">
        <v>198</v>
      </c>
      <c r="AN132" t="s">
        <v>199</v>
      </c>
      <c r="AO132" t="s">
        <v>2806</v>
      </c>
      <c r="AP132" t="s">
        <v>2807</v>
      </c>
      <c r="AQ132" t="s">
        <v>74</v>
      </c>
      <c r="AR132" t="s">
        <v>2808</v>
      </c>
      <c r="AS132" t="s">
        <v>2809</v>
      </c>
      <c r="AT132" t="s">
        <v>96</v>
      </c>
      <c r="AU132">
        <v>2021</v>
      </c>
      <c r="AV132">
        <v>1504</v>
      </c>
      <c r="AW132">
        <v>1</v>
      </c>
      <c r="AX132" t="s">
        <v>74</v>
      </c>
      <c r="AY132" t="s">
        <v>74</v>
      </c>
      <c r="AZ132" t="s">
        <v>431</v>
      </c>
      <c r="BA132" t="s">
        <v>74</v>
      </c>
      <c r="BB132">
        <v>167</v>
      </c>
      <c r="BC132">
        <v>186</v>
      </c>
      <c r="BD132" t="s">
        <v>74</v>
      </c>
      <c r="BE132" t="s">
        <v>2810</v>
      </c>
      <c r="BF132" t="str">
        <f>HYPERLINK("http://dx.doi.org/10.1111/nyas.14673","http://dx.doi.org/10.1111/nyas.14673")</f>
        <v>http://dx.doi.org/10.1111/nyas.14673</v>
      </c>
      <c r="BG132" t="s">
        <v>74</v>
      </c>
      <c r="BH132" t="s">
        <v>2323</v>
      </c>
      <c r="BI132">
        <v>20</v>
      </c>
      <c r="BJ132" t="s">
        <v>2609</v>
      </c>
      <c r="BK132" t="s">
        <v>128</v>
      </c>
      <c r="BL132" t="s">
        <v>2610</v>
      </c>
      <c r="BM132" t="s">
        <v>2811</v>
      </c>
      <c r="BN132">
        <v>34313329</v>
      </c>
      <c r="BO132" t="s">
        <v>238</v>
      </c>
      <c r="BP132" t="s">
        <v>2812</v>
      </c>
      <c r="BQ132" t="s">
        <v>2813</v>
      </c>
      <c r="BR132" t="s">
        <v>102</v>
      </c>
      <c r="BS132" t="s">
        <v>2814</v>
      </c>
      <c r="BT132" t="str">
        <f>HYPERLINK("https%3A%2F%2Fwww.webofscience.com%2Fwos%2Fwoscc%2Ffull-record%2FWOS:000678557300001","View Full Record in Web of Science")</f>
        <v>View Full Record in Web of Science</v>
      </c>
    </row>
    <row r="133" spans="1:72" x14ac:dyDescent="0.15">
      <c r="A133" t="s">
        <v>72</v>
      </c>
      <c r="B133" t="s">
        <v>2815</v>
      </c>
      <c r="C133" t="s">
        <v>74</v>
      </c>
      <c r="D133" t="s">
        <v>74</v>
      </c>
      <c r="E133" t="s">
        <v>74</v>
      </c>
      <c r="F133" t="s">
        <v>2816</v>
      </c>
      <c r="G133" t="s">
        <v>74</v>
      </c>
      <c r="H133" t="s">
        <v>74</v>
      </c>
      <c r="I133" t="s">
        <v>2817</v>
      </c>
      <c r="J133" t="s">
        <v>937</v>
      </c>
      <c r="K133" t="s">
        <v>74</v>
      </c>
      <c r="L133" t="s">
        <v>74</v>
      </c>
      <c r="M133" t="s">
        <v>78</v>
      </c>
      <c r="N133" t="s">
        <v>79</v>
      </c>
      <c r="O133" t="s">
        <v>74</v>
      </c>
      <c r="P133" t="s">
        <v>74</v>
      </c>
      <c r="Q133" t="s">
        <v>74</v>
      </c>
      <c r="R133" t="s">
        <v>74</v>
      </c>
      <c r="S133" t="s">
        <v>74</v>
      </c>
      <c r="T133" t="s">
        <v>74</v>
      </c>
      <c r="U133" t="s">
        <v>2818</v>
      </c>
      <c r="V133" t="s">
        <v>2819</v>
      </c>
      <c r="W133" t="s">
        <v>2820</v>
      </c>
      <c r="X133" t="s">
        <v>2821</v>
      </c>
      <c r="Y133" t="s">
        <v>2822</v>
      </c>
      <c r="Z133" t="s">
        <v>2823</v>
      </c>
      <c r="AA133" t="s">
        <v>74</v>
      </c>
      <c r="AB133" t="s">
        <v>2824</v>
      </c>
      <c r="AC133" t="s">
        <v>2825</v>
      </c>
      <c r="AD133" t="s">
        <v>2826</v>
      </c>
      <c r="AE133" t="s">
        <v>2827</v>
      </c>
      <c r="AF133" t="s">
        <v>74</v>
      </c>
      <c r="AG133">
        <v>93</v>
      </c>
      <c r="AH133">
        <v>8</v>
      </c>
      <c r="AI133">
        <v>8</v>
      </c>
      <c r="AJ133">
        <v>0</v>
      </c>
      <c r="AK133">
        <v>5</v>
      </c>
      <c r="AL133" t="s">
        <v>197</v>
      </c>
      <c r="AM133" t="s">
        <v>198</v>
      </c>
      <c r="AN133" t="s">
        <v>199</v>
      </c>
      <c r="AO133" t="s">
        <v>945</v>
      </c>
      <c r="AP133" t="s">
        <v>946</v>
      </c>
      <c r="AQ133" t="s">
        <v>74</v>
      </c>
      <c r="AR133" t="s">
        <v>947</v>
      </c>
      <c r="AS133" t="s">
        <v>948</v>
      </c>
      <c r="AT133" t="s">
        <v>535</v>
      </c>
      <c r="AU133">
        <v>2021</v>
      </c>
      <c r="AV133">
        <v>56</v>
      </c>
      <c r="AW133">
        <v>8</v>
      </c>
      <c r="AX133" t="s">
        <v>74</v>
      </c>
      <c r="AY133" t="s">
        <v>74</v>
      </c>
      <c r="AZ133" t="s">
        <v>74</v>
      </c>
      <c r="BA133" t="s">
        <v>74</v>
      </c>
      <c r="BB133">
        <v>1531</v>
      </c>
      <c r="BC133">
        <v>1555</v>
      </c>
      <c r="BD133" t="s">
        <v>74</v>
      </c>
      <c r="BE133" t="s">
        <v>2828</v>
      </c>
      <c r="BF133" t="str">
        <f>HYPERLINK("http://dx.doi.org/10.1111/maps.13712","http://dx.doi.org/10.1111/maps.13712")</f>
        <v>http://dx.doi.org/10.1111/maps.13712</v>
      </c>
      <c r="BG133" t="s">
        <v>74</v>
      </c>
      <c r="BH133" t="s">
        <v>2323</v>
      </c>
      <c r="BI133">
        <v>25</v>
      </c>
      <c r="BJ133" t="s">
        <v>289</v>
      </c>
      <c r="BK133" t="s">
        <v>128</v>
      </c>
      <c r="BL133" t="s">
        <v>289</v>
      </c>
      <c r="BM133" t="s">
        <v>2829</v>
      </c>
      <c r="BN133" t="s">
        <v>74</v>
      </c>
      <c r="BO133" t="s">
        <v>238</v>
      </c>
      <c r="BP133" t="s">
        <v>74</v>
      </c>
      <c r="BQ133" t="s">
        <v>74</v>
      </c>
      <c r="BR133" t="s">
        <v>102</v>
      </c>
      <c r="BS133" t="s">
        <v>2830</v>
      </c>
      <c r="BT133" t="str">
        <f>HYPERLINK("https%3A%2F%2Fwww.webofscience.com%2Fwos%2Fwoscc%2Ffull-record%2FWOS:000678491800001","View Full Record in Web of Science")</f>
        <v>View Full Record in Web of Science</v>
      </c>
    </row>
    <row r="134" spans="1:72" x14ac:dyDescent="0.15">
      <c r="A134" t="s">
        <v>72</v>
      </c>
      <c r="B134" t="s">
        <v>2831</v>
      </c>
      <c r="C134" t="s">
        <v>74</v>
      </c>
      <c r="D134" t="s">
        <v>74</v>
      </c>
      <c r="E134" t="s">
        <v>74</v>
      </c>
      <c r="F134" t="s">
        <v>2832</v>
      </c>
      <c r="G134" t="s">
        <v>74</v>
      </c>
      <c r="H134" t="s">
        <v>74</v>
      </c>
      <c r="I134" t="s">
        <v>2833</v>
      </c>
      <c r="J134" t="s">
        <v>2834</v>
      </c>
      <c r="K134" t="s">
        <v>74</v>
      </c>
      <c r="L134" t="s">
        <v>74</v>
      </c>
      <c r="M134" t="s">
        <v>78</v>
      </c>
      <c r="N134" t="s">
        <v>79</v>
      </c>
      <c r="O134" t="s">
        <v>74</v>
      </c>
      <c r="P134" t="s">
        <v>74</v>
      </c>
      <c r="Q134" t="s">
        <v>74</v>
      </c>
      <c r="R134" t="s">
        <v>74</v>
      </c>
      <c r="S134" t="s">
        <v>74</v>
      </c>
      <c r="T134" t="s">
        <v>2835</v>
      </c>
      <c r="U134" t="s">
        <v>2836</v>
      </c>
      <c r="V134" t="s">
        <v>2837</v>
      </c>
      <c r="W134" t="s">
        <v>2838</v>
      </c>
      <c r="X134" t="s">
        <v>2839</v>
      </c>
      <c r="Y134" t="s">
        <v>2840</v>
      </c>
      <c r="Z134" t="s">
        <v>2841</v>
      </c>
      <c r="AA134" t="s">
        <v>2842</v>
      </c>
      <c r="AB134" t="s">
        <v>2843</v>
      </c>
      <c r="AC134" t="s">
        <v>2844</v>
      </c>
      <c r="AD134" t="s">
        <v>2845</v>
      </c>
      <c r="AE134" t="s">
        <v>2846</v>
      </c>
      <c r="AF134" t="s">
        <v>74</v>
      </c>
      <c r="AG134">
        <v>48</v>
      </c>
      <c r="AH134">
        <v>5</v>
      </c>
      <c r="AI134">
        <v>5</v>
      </c>
      <c r="AJ134">
        <v>0</v>
      </c>
      <c r="AK134">
        <v>6</v>
      </c>
      <c r="AL134" t="s">
        <v>2847</v>
      </c>
      <c r="AM134" t="s">
        <v>2848</v>
      </c>
      <c r="AN134" t="s">
        <v>2849</v>
      </c>
      <c r="AO134" t="s">
        <v>2850</v>
      </c>
      <c r="AP134" t="s">
        <v>2851</v>
      </c>
      <c r="AQ134" t="s">
        <v>74</v>
      </c>
      <c r="AR134" t="s">
        <v>2852</v>
      </c>
      <c r="AS134" t="s">
        <v>2853</v>
      </c>
      <c r="AT134" t="s">
        <v>74</v>
      </c>
      <c r="AU134">
        <v>2021</v>
      </c>
      <c r="AV134">
        <v>72</v>
      </c>
      <c r="AW134">
        <v>11</v>
      </c>
      <c r="AX134" t="s">
        <v>74</v>
      </c>
      <c r="AY134" t="s">
        <v>74</v>
      </c>
      <c r="AZ134" t="s">
        <v>74</v>
      </c>
      <c r="BA134" t="s">
        <v>74</v>
      </c>
      <c r="BB134">
        <v>1657</v>
      </c>
      <c r="BC134">
        <v>1666</v>
      </c>
      <c r="BD134" t="s">
        <v>74</v>
      </c>
      <c r="BE134" t="s">
        <v>2854</v>
      </c>
      <c r="BF134" t="str">
        <f>HYPERLINK("http://dx.doi.org/10.1071/MF21104","http://dx.doi.org/10.1071/MF21104")</f>
        <v>http://dx.doi.org/10.1071/MF21104</v>
      </c>
      <c r="BG134" t="s">
        <v>74</v>
      </c>
      <c r="BH134" t="s">
        <v>2323</v>
      </c>
      <c r="BI134">
        <v>10</v>
      </c>
      <c r="BJ134" t="s">
        <v>2855</v>
      </c>
      <c r="BK134" t="s">
        <v>128</v>
      </c>
      <c r="BL134" t="s">
        <v>2856</v>
      </c>
      <c r="BM134" t="s">
        <v>2857</v>
      </c>
      <c r="BN134" t="s">
        <v>74</v>
      </c>
      <c r="BO134" t="s">
        <v>74</v>
      </c>
      <c r="BP134" t="s">
        <v>74</v>
      </c>
      <c r="BQ134" t="s">
        <v>74</v>
      </c>
      <c r="BR134" t="s">
        <v>102</v>
      </c>
      <c r="BS134" t="s">
        <v>2858</v>
      </c>
      <c r="BT134" t="str">
        <f>HYPERLINK("https%3A%2F%2Fwww.webofscience.com%2Fwos%2Fwoscc%2Ffull-record%2FWOS:000677727500001","View Full Record in Web of Science")</f>
        <v>View Full Record in Web of Science</v>
      </c>
    </row>
    <row r="135" spans="1:72" x14ac:dyDescent="0.15">
      <c r="A135" t="s">
        <v>72</v>
      </c>
      <c r="B135" t="s">
        <v>2859</v>
      </c>
      <c r="C135" t="s">
        <v>74</v>
      </c>
      <c r="D135" t="s">
        <v>74</v>
      </c>
      <c r="E135" t="s">
        <v>74</v>
      </c>
      <c r="F135" t="s">
        <v>2860</v>
      </c>
      <c r="G135" t="s">
        <v>74</v>
      </c>
      <c r="H135" t="s">
        <v>74</v>
      </c>
      <c r="I135" t="s">
        <v>2861</v>
      </c>
      <c r="J135" t="s">
        <v>2862</v>
      </c>
      <c r="K135" t="s">
        <v>74</v>
      </c>
      <c r="L135" t="s">
        <v>74</v>
      </c>
      <c r="M135" t="s">
        <v>78</v>
      </c>
      <c r="N135" t="s">
        <v>79</v>
      </c>
      <c r="O135" t="s">
        <v>74</v>
      </c>
      <c r="P135" t="s">
        <v>74</v>
      </c>
      <c r="Q135" t="s">
        <v>74</v>
      </c>
      <c r="R135" t="s">
        <v>74</v>
      </c>
      <c r="S135" t="s">
        <v>74</v>
      </c>
      <c r="T135" t="s">
        <v>2863</v>
      </c>
      <c r="U135" t="s">
        <v>2864</v>
      </c>
      <c r="V135" t="s">
        <v>2865</v>
      </c>
      <c r="W135" t="s">
        <v>2866</v>
      </c>
      <c r="X135" t="s">
        <v>2867</v>
      </c>
      <c r="Y135" t="s">
        <v>2868</v>
      </c>
      <c r="Z135" t="s">
        <v>2869</v>
      </c>
      <c r="AA135" t="s">
        <v>2870</v>
      </c>
      <c r="AB135" t="s">
        <v>74</v>
      </c>
      <c r="AC135" t="s">
        <v>2871</v>
      </c>
      <c r="AD135" t="s">
        <v>2872</v>
      </c>
      <c r="AE135" t="s">
        <v>2873</v>
      </c>
      <c r="AF135" t="s">
        <v>74</v>
      </c>
      <c r="AG135">
        <v>46</v>
      </c>
      <c r="AH135">
        <v>3</v>
      </c>
      <c r="AI135">
        <v>3</v>
      </c>
      <c r="AJ135">
        <v>1</v>
      </c>
      <c r="AK135">
        <v>2</v>
      </c>
      <c r="AL135" t="s">
        <v>450</v>
      </c>
      <c r="AM135" t="s">
        <v>650</v>
      </c>
      <c r="AN135" t="s">
        <v>1957</v>
      </c>
      <c r="AO135" t="s">
        <v>2874</v>
      </c>
      <c r="AP135" t="s">
        <v>2875</v>
      </c>
      <c r="AQ135" t="s">
        <v>74</v>
      </c>
      <c r="AR135" t="s">
        <v>2876</v>
      </c>
      <c r="AS135" t="s">
        <v>2877</v>
      </c>
      <c r="AT135" t="s">
        <v>402</v>
      </c>
      <c r="AU135">
        <v>2021</v>
      </c>
      <c r="AV135">
        <v>44</v>
      </c>
      <c r="AW135">
        <v>9</v>
      </c>
      <c r="AX135" t="s">
        <v>74</v>
      </c>
      <c r="AY135" t="s">
        <v>74</v>
      </c>
      <c r="AZ135" t="s">
        <v>74</v>
      </c>
      <c r="BA135" t="s">
        <v>74</v>
      </c>
      <c r="BB135">
        <v>1817</v>
      </c>
      <c r="BC135">
        <v>1831</v>
      </c>
      <c r="BD135" t="s">
        <v>74</v>
      </c>
      <c r="BE135" t="s">
        <v>2878</v>
      </c>
      <c r="BF135" t="str">
        <f>HYPERLINK("http://dx.doi.org/10.1007/s00300-021-02916-2","http://dx.doi.org/10.1007/s00300-021-02916-2")</f>
        <v>http://dx.doi.org/10.1007/s00300-021-02916-2</v>
      </c>
      <c r="BG135" t="s">
        <v>74</v>
      </c>
      <c r="BH135" t="s">
        <v>2323</v>
      </c>
      <c r="BI135">
        <v>15</v>
      </c>
      <c r="BJ135" t="s">
        <v>1883</v>
      </c>
      <c r="BK135" t="s">
        <v>128</v>
      </c>
      <c r="BL135" t="s">
        <v>207</v>
      </c>
      <c r="BM135" t="s">
        <v>2879</v>
      </c>
      <c r="BN135" t="s">
        <v>74</v>
      </c>
      <c r="BO135" t="s">
        <v>74</v>
      </c>
      <c r="BP135" t="s">
        <v>74</v>
      </c>
      <c r="BQ135" t="s">
        <v>74</v>
      </c>
      <c r="BR135" t="s">
        <v>102</v>
      </c>
      <c r="BS135" t="s">
        <v>2880</v>
      </c>
      <c r="BT135" t="str">
        <f>HYPERLINK("https%3A%2F%2Fwww.webofscience.com%2Fwos%2Fwoscc%2Ffull-record%2FWOS:000678027300001","View Full Record in Web of Science")</f>
        <v>View Full Record in Web of Science</v>
      </c>
    </row>
    <row r="136" spans="1:72" x14ac:dyDescent="0.15">
      <c r="A136" t="s">
        <v>72</v>
      </c>
      <c r="B136" t="s">
        <v>2881</v>
      </c>
      <c r="C136" t="s">
        <v>74</v>
      </c>
      <c r="D136" t="s">
        <v>74</v>
      </c>
      <c r="E136" t="s">
        <v>74</v>
      </c>
      <c r="F136" t="s">
        <v>2882</v>
      </c>
      <c r="G136" t="s">
        <v>74</v>
      </c>
      <c r="H136" t="s">
        <v>74</v>
      </c>
      <c r="I136" t="s">
        <v>2883</v>
      </c>
      <c r="J136" t="s">
        <v>2884</v>
      </c>
      <c r="K136" t="s">
        <v>74</v>
      </c>
      <c r="L136" t="s">
        <v>74</v>
      </c>
      <c r="M136" t="s">
        <v>78</v>
      </c>
      <c r="N136" t="s">
        <v>79</v>
      </c>
      <c r="O136" t="s">
        <v>74</v>
      </c>
      <c r="P136" t="s">
        <v>74</v>
      </c>
      <c r="Q136" t="s">
        <v>74</v>
      </c>
      <c r="R136" t="s">
        <v>74</v>
      </c>
      <c r="S136" t="s">
        <v>74</v>
      </c>
      <c r="T136" t="s">
        <v>2885</v>
      </c>
      <c r="U136" t="s">
        <v>2886</v>
      </c>
      <c r="V136" t="s">
        <v>2887</v>
      </c>
      <c r="W136" t="s">
        <v>2888</v>
      </c>
      <c r="X136" t="s">
        <v>2889</v>
      </c>
      <c r="Y136" t="s">
        <v>2890</v>
      </c>
      <c r="Z136" t="s">
        <v>2891</v>
      </c>
      <c r="AA136" t="s">
        <v>2892</v>
      </c>
      <c r="AB136" t="s">
        <v>2893</v>
      </c>
      <c r="AC136" t="s">
        <v>2894</v>
      </c>
      <c r="AD136" t="s">
        <v>2894</v>
      </c>
      <c r="AE136" t="s">
        <v>2895</v>
      </c>
      <c r="AF136" t="s">
        <v>74</v>
      </c>
      <c r="AG136">
        <v>80</v>
      </c>
      <c r="AH136">
        <v>14</v>
      </c>
      <c r="AI136">
        <v>14</v>
      </c>
      <c r="AJ136">
        <v>3</v>
      </c>
      <c r="AK136">
        <v>24</v>
      </c>
      <c r="AL136" t="s">
        <v>197</v>
      </c>
      <c r="AM136" t="s">
        <v>198</v>
      </c>
      <c r="AN136" t="s">
        <v>199</v>
      </c>
      <c r="AO136" t="s">
        <v>2896</v>
      </c>
      <c r="AP136" t="s">
        <v>2897</v>
      </c>
      <c r="AQ136" t="s">
        <v>74</v>
      </c>
      <c r="AR136" t="s">
        <v>2898</v>
      </c>
      <c r="AS136" t="s">
        <v>2899</v>
      </c>
      <c r="AT136" t="s">
        <v>2900</v>
      </c>
      <c r="AU136">
        <v>2022</v>
      </c>
      <c r="AV136">
        <v>36</v>
      </c>
      <c r="AW136">
        <v>2</v>
      </c>
      <c r="AX136" t="s">
        <v>74</v>
      </c>
      <c r="AY136" t="s">
        <v>74</v>
      </c>
      <c r="AZ136" t="s">
        <v>74</v>
      </c>
      <c r="BA136" t="s">
        <v>74</v>
      </c>
      <c r="BB136" t="s">
        <v>74</v>
      </c>
      <c r="BC136" t="s">
        <v>74</v>
      </c>
      <c r="BD136" t="s">
        <v>74</v>
      </c>
      <c r="BE136" t="s">
        <v>2901</v>
      </c>
      <c r="BF136" t="str">
        <f>HYPERLINK("http://dx.doi.org/10.1111/cobi.13807","http://dx.doi.org/10.1111/cobi.13807")</f>
        <v>http://dx.doi.org/10.1111/cobi.13807</v>
      </c>
      <c r="BG136" t="s">
        <v>74</v>
      </c>
      <c r="BH136" t="s">
        <v>2323</v>
      </c>
      <c r="BI136">
        <v>13</v>
      </c>
      <c r="BJ136" t="s">
        <v>206</v>
      </c>
      <c r="BK136" t="s">
        <v>128</v>
      </c>
      <c r="BL136" t="s">
        <v>207</v>
      </c>
      <c r="BM136" t="s">
        <v>2902</v>
      </c>
      <c r="BN136">
        <v>34312893</v>
      </c>
      <c r="BO136" t="s">
        <v>569</v>
      </c>
      <c r="BP136" t="s">
        <v>74</v>
      </c>
      <c r="BQ136" t="s">
        <v>74</v>
      </c>
      <c r="BR136" t="s">
        <v>102</v>
      </c>
      <c r="BS136" t="s">
        <v>2903</v>
      </c>
      <c r="BT136" t="str">
        <f>HYPERLINK("https%3A%2F%2Fwww.webofscience.com%2Fwos%2Fwoscc%2Ffull-record%2FWOS:000678529500001","View Full Record in Web of Science")</f>
        <v>View Full Record in Web of Science</v>
      </c>
    </row>
    <row r="137" spans="1:72" x14ac:dyDescent="0.15">
      <c r="A137" t="s">
        <v>72</v>
      </c>
      <c r="B137" t="s">
        <v>2904</v>
      </c>
      <c r="C137" t="s">
        <v>74</v>
      </c>
      <c r="D137" t="s">
        <v>74</v>
      </c>
      <c r="E137" t="s">
        <v>74</v>
      </c>
      <c r="F137" t="s">
        <v>2905</v>
      </c>
      <c r="G137" t="s">
        <v>74</v>
      </c>
      <c r="H137" t="s">
        <v>74</v>
      </c>
      <c r="I137" t="s">
        <v>2906</v>
      </c>
      <c r="J137" t="s">
        <v>2703</v>
      </c>
      <c r="K137" t="s">
        <v>74</v>
      </c>
      <c r="L137" t="s">
        <v>74</v>
      </c>
      <c r="M137" t="s">
        <v>78</v>
      </c>
      <c r="N137" t="s">
        <v>79</v>
      </c>
      <c r="O137" t="s">
        <v>74</v>
      </c>
      <c r="P137" t="s">
        <v>74</v>
      </c>
      <c r="Q137" t="s">
        <v>74</v>
      </c>
      <c r="R137" t="s">
        <v>74</v>
      </c>
      <c r="S137" t="s">
        <v>74</v>
      </c>
      <c r="T137" t="s">
        <v>2907</v>
      </c>
      <c r="U137" t="s">
        <v>2908</v>
      </c>
      <c r="V137" t="s">
        <v>2909</v>
      </c>
      <c r="W137" t="s">
        <v>2910</v>
      </c>
      <c r="X137" t="s">
        <v>2911</v>
      </c>
      <c r="Y137" t="s">
        <v>2912</v>
      </c>
      <c r="Z137" t="s">
        <v>2913</v>
      </c>
      <c r="AA137" t="s">
        <v>2914</v>
      </c>
      <c r="AB137" t="s">
        <v>2915</v>
      </c>
      <c r="AC137" t="s">
        <v>2916</v>
      </c>
      <c r="AD137" t="s">
        <v>2916</v>
      </c>
      <c r="AE137" t="s">
        <v>2917</v>
      </c>
      <c r="AF137" t="s">
        <v>74</v>
      </c>
      <c r="AG137">
        <v>48</v>
      </c>
      <c r="AH137">
        <v>10</v>
      </c>
      <c r="AI137">
        <v>10</v>
      </c>
      <c r="AJ137">
        <v>1</v>
      </c>
      <c r="AK137">
        <v>13</v>
      </c>
      <c r="AL137" t="s">
        <v>2716</v>
      </c>
      <c r="AM137" t="s">
        <v>865</v>
      </c>
      <c r="AN137" t="s">
        <v>2717</v>
      </c>
      <c r="AO137" t="s">
        <v>2718</v>
      </c>
      <c r="AP137" t="s">
        <v>2918</v>
      </c>
      <c r="AQ137" t="s">
        <v>74</v>
      </c>
      <c r="AR137" t="s">
        <v>2719</v>
      </c>
      <c r="AS137" t="s">
        <v>2720</v>
      </c>
      <c r="AT137" t="s">
        <v>2721</v>
      </c>
      <c r="AU137">
        <v>2021</v>
      </c>
      <c r="AV137">
        <v>118</v>
      </c>
      <c r="AW137">
        <v>30</v>
      </c>
      <c r="AX137" t="s">
        <v>74</v>
      </c>
      <c r="AY137" t="s">
        <v>74</v>
      </c>
      <c r="AZ137" t="s">
        <v>74</v>
      </c>
      <c r="BA137" t="s">
        <v>74</v>
      </c>
      <c r="BB137" t="s">
        <v>74</v>
      </c>
      <c r="BC137" t="s">
        <v>74</v>
      </c>
      <c r="BD137" t="s">
        <v>2919</v>
      </c>
      <c r="BE137" t="s">
        <v>2920</v>
      </c>
      <c r="BF137" t="str">
        <f>HYPERLINK("http://dx.doi.org/10.1073/pnas.2100869118","http://dx.doi.org/10.1073/pnas.2100869118")</f>
        <v>http://dx.doi.org/10.1073/pnas.2100869118</v>
      </c>
      <c r="BG137" t="s">
        <v>74</v>
      </c>
      <c r="BH137" t="s">
        <v>74</v>
      </c>
      <c r="BI137">
        <v>9</v>
      </c>
      <c r="BJ137" t="s">
        <v>2609</v>
      </c>
      <c r="BK137" t="s">
        <v>128</v>
      </c>
      <c r="BL137" t="s">
        <v>2610</v>
      </c>
      <c r="BM137" t="s">
        <v>2921</v>
      </c>
      <c r="BN137">
        <v>34282013</v>
      </c>
      <c r="BO137" t="s">
        <v>2922</v>
      </c>
      <c r="BP137" t="s">
        <v>74</v>
      </c>
      <c r="BQ137" t="s">
        <v>74</v>
      </c>
      <c r="BR137" t="s">
        <v>102</v>
      </c>
      <c r="BS137" t="s">
        <v>2923</v>
      </c>
      <c r="BT137" t="str">
        <f>HYPERLINK("https%3A%2F%2Fwww.webofscience.com%2Fwos%2Fwoscc%2Ffull-record%2FWOS:000685039000017","View Full Record in Web of Science")</f>
        <v>View Full Record in Web of Science</v>
      </c>
    </row>
    <row r="138" spans="1:72" x14ac:dyDescent="0.15">
      <c r="A138" t="s">
        <v>72</v>
      </c>
      <c r="B138" t="s">
        <v>2924</v>
      </c>
      <c r="C138" t="s">
        <v>74</v>
      </c>
      <c r="D138" t="s">
        <v>74</v>
      </c>
      <c r="E138" t="s">
        <v>74</v>
      </c>
      <c r="F138" t="s">
        <v>2925</v>
      </c>
      <c r="G138" t="s">
        <v>74</v>
      </c>
      <c r="H138" t="s">
        <v>74</v>
      </c>
      <c r="I138" t="s">
        <v>2926</v>
      </c>
      <c r="J138" t="s">
        <v>2927</v>
      </c>
      <c r="K138" t="s">
        <v>74</v>
      </c>
      <c r="L138" t="s">
        <v>74</v>
      </c>
      <c r="M138" t="s">
        <v>78</v>
      </c>
      <c r="N138" t="s">
        <v>79</v>
      </c>
      <c r="O138" t="s">
        <v>74</v>
      </c>
      <c r="P138" t="s">
        <v>74</v>
      </c>
      <c r="Q138" t="s">
        <v>74</v>
      </c>
      <c r="R138" t="s">
        <v>74</v>
      </c>
      <c r="S138" t="s">
        <v>74</v>
      </c>
      <c r="T138" t="s">
        <v>2928</v>
      </c>
      <c r="U138" t="s">
        <v>2929</v>
      </c>
      <c r="V138" t="s">
        <v>2930</v>
      </c>
      <c r="W138" t="s">
        <v>2931</v>
      </c>
      <c r="X138" t="s">
        <v>2932</v>
      </c>
      <c r="Y138" t="s">
        <v>2933</v>
      </c>
      <c r="Z138" t="s">
        <v>2934</v>
      </c>
      <c r="AA138" t="s">
        <v>192</v>
      </c>
      <c r="AB138" t="s">
        <v>2935</v>
      </c>
      <c r="AC138" t="s">
        <v>2936</v>
      </c>
      <c r="AD138" t="s">
        <v>2937</v>
      </c>
      <c r="AE138" t="s">
        <v>2938</v>
      </c>
      <c r="AF138" t="s">
        <v>74</v>
      </c>
      <c r="AG138">
        <v>80</v>
      </c>
      <c r="AH138">
        <v>2</v>
      </c>
      <c r="AI138">
        <v>2</v>
      </c>
      <c r="AJ138">
        <v>1</v>
      </c>
      <c r="AK138">
        <v>8</v>
      </c>
      <c r="AL138" t="s">
        <v>2939</v>
      </c>
      <c r="AM138" t="s">
        <v>2940</v>
      </c>
      <c r="AN138" t="s">
        <v>2941</v>
      </c>
      <c r="AO138" t="s">
        <v>2942</v>
      </c>
      <c r="AP138" t="s">
        <v>2943</v>
      </c>
      <c r="AQ138" t="s">
        <v>74</v>
      </c>
      <c r="AR138" t="s">
        <v>2944</v>
      </c>
      <c r="AS138" t="s">
        <v>2945</v>
      </c>
      <c r="AT138" t="s">
        <v>2946</v>
      </c>
      <c r="AU138">
        <v>2021</v>
      </c>
      <c r="AV138">
        <v>123</v>
      </c>
      <c r="AW138">
        <v>4</v>
      </c>
      <c r="AX138" t="s">
        <v>74</v>
      </c>
      <c r="AY138" t="s">
        <v>74</v>
      </c>
      <c r="AZ138" t="s">
        <v>74</v>
      </c>
      <c r="BA138" t="s">
        <v>74</v>
      </c>
      <c r="BB138" t="s">
        <v>74</v>
      </c>
      <c r="BC138" t="s">
        <v>74</v>
      </c>
      <c r="BD138" t="s">
        <v>2947</v>
      </c>
      <c r="BE138" t="s">
        <v>2948</v>
      </c>
      <c r="BF138" t="str">
        <f>HYPERLINK("http://dx.doi.org/10.1093/ornithapp/duab032","http://dx.doi.org/10.1093/ornithapp/duab032")</f>
        <v>http://dx.doi.org/10.1093/ornithapp/duab032</v>
      </c>
      <c r="BG138" t="s">
        <v>74</v>
      </c>
      <c r="BH138" t="s">
        <v>2323</v>
      </c>
      <c r="BI138">
        <v>13</v>
      </c>
      <c r="BJ138" t="s">
        <v>2949</v>
      </c>
      <c r="BK138" t="s">
        <v>128</v>
      </c>
      <c r="BL138" t="s">
        <v>2197</v>
      </c>
      <c r="BM138" t="s">
        <v>2950</v>
      </c>
      <c r="BN138" t="s">
        <v>74</v>
      </c>
      <c r="BO138" t="s">
        <v>74</v>
      </c>
      <c r="BP138" t="s">
        <v>74</v>
      </c>
      <c r="BQ138" t="s">
        <v>74</v>
      </c>
      <c r="BR138" t="s">
        <v>102</v>
      </c>
      <c r="BS138" t="s">
        <v>2951</v>
      </c>
      <c r="BT138" t="str">
        <f>HYPERLINK("https%3A%2F%2Fwww.webofscience.com%2Fwos%2Fwoscc%2Ffull-record%2FWOS:000746616800002","View Full Record in Web of Science")</f>
        <v>View Full Record in Web of Science</v>
      </c>
    </row>
    <row r="139" spans="1:72" x14ac:dyDescent="0.15">
      <c r="A139" t="s">
        <v>72</v>
      </c>
      <c r="B139" t="s">
        <v>2952</v>
      </c>
      <c r="C139" t="s">
        <v>74</v>
      </c>
      <c r="D139" t="s">
        <v>74</v>
      </c>
      <c r="E139" t="s">
        <v>74</v>
      </c>
      <c r="F139" t="s">
        <v>2953</v>
      </c>
      <c r="G139" t="s">
        <v>74</v>
      </c>
      <c r="H139" t="s">
        <v>74</v>
      </c>
      <c r="I139" t="s">
        <v>2954</v>
      </c>
      <c r="J139" t="s">
        <v>2955</v>
      </c>
      <c r="K139" t="s">
        <v>74</v>
      </c>
      <c r="L139" t="s">
        <v>74</v>
      </c>
      <c r="M139" t="s">
        <v>78</v>
      </c>
      <c r="N139" t="s">
        <v>79</v>
      </c>
      <c r="O139" t="s">
        <v>74</v>
      </c>
      <c r="P139" t="s">
        <v>74</v>
      </c>
      <c r="Q139" t="s">
        <v>74</v>
      </c>
      <c r="R139" t="s">
        <v>74</v>
      </c>
      <c r="S139" t="s">
        <v>74</v>
      </c>
      <c r="T139" t="s">
        <v>2956</v>
      </c>
      <c r="U139" t="s">
        <v>2957</v>
      </c>
      <c r="V139" t="s">
        <v>2958</v>
      </c>
      <c r="W139" t="s">
        <v>2959</v>
      </c>
      <c r="X139" t="s">
        <v>2960</v>
      </c>
      <c r="Y139" t="s">
        <v>2961</v>
      </c>
      <c r="Z139" t="s">
        <v>2962</v>
      </c>
      <c r="AA139" t="s">
        <v>2963</v>
      </c>
      <c r="AB139" t="s">
        <v>2964</v>
      </c>
      <c r="AC139" t="s">
        <v>2965</v>
      </c>
      <c r="AD139" t="s">
        <v>2966</v>
      </c>
      <c r="AE139" t="s">
        <v>2967</v>
      </c>
      <c r="AF139" t="s">
        <v>74</v>
      </c>
      <c r="AG139">
        <v>42</v>
      </c>
      <c r="AH139">
        <v>4</v>
      </c>
      <c r="AI139">
        <v>4</v>
      </c>
      <c r="AJ139">
        <v>1</v>
      </c>
      <c r="AK139">
        <v>3</v>
      </c>
      <c r="AL139" t="s">
        <v>227</v>
      </c>
      <c r="AM139" t="s">
        <v>228</v>
      </c>
      <c r="AN139" t="s">
        <v>229</v>
      </c>
      <c r="AO139" t="s">
        <v>2968</v>
      </c>
      <c r="AP139" t="s">
        <v>2969</v>
      </c>
      <c r="AQ139" t="s">
        <v>74</v>
      </c>
      <c r="AR139" t="s">
        <v>2970</v>
      </c>
      <c r="AS139" t="s">
        <v>2971</v>
      </c>
      <c r="AT139" t="s">
        <v>402</v>
      </c>
      <c r="AU139">
        <v>2021</v>
      </c>
      <c r="AV139">
        <v>79</v>
      </c>
      <c r="AW139" t="s">
        <v>74</v>
      </c>
      <c r="AX139" t="s">
        <v>74</v>
      </c>
      <c r="AY139" t="s">
        <v>74</v>
      </c>
      <c r="AZ139" t="s">
        <v>74</v>
      </c>
      <c r="BA139" t="s">
        <v>74</v>
      </c>
      <c r="BB139" t="s">
        <v>74</v>
      </c>
      <c r="BC139" t="s">
        <v>74</v>
      </c>
      <c r="BD139">
        <v>103043</v>
      </c>
      <c r="BE139" t="s">
        <v>2972</v>
      </c>
      <c r="BF139" t="str">
        <f>HYPERLINK("http://dx.doi.org/10.1016/j.marstruc.2021.103043","http://dx.doi.org/10.1016/j.marstruc.2021.103043")</f>
        <v>http://dx.doi.org/10.1016/j.marstruc.2021.103043</v>
      </c>
      <c r="BG139" t="s">
        <v>74</v>
      </c>
      <c r="BH139" t="s">
        <v>2323</v>
      </c>
      <c r="BI139">
        <v>19</v>
      </c>
      <c r="BJ139" t="s">
        <v>2973</v>
      </c>
      <c r="BK139" t="s">
        <v>128</v>
      </c>
      <c r="BL139" t="s">
        <v>2974</v>
      </c>
      <c r="BM139" t="s">
        <v>2975</v>
      </c>
      <c r="BN139" t="s">
        <v>74</v>
      </c>
      <c r="BO139" t="s">
        <v>74</v>
      </c>
      <c r="BP139" t="s">
        <v>74</v>
      </c>
      <c r="BQ139" t="s">
        <v>74</v>
      </c>
      <c r="BR139" t="s">
        <v>102</v>
      </c>
      <c r="BS139" t="s">
        <v>2976</v>
      </c>
      <c r="BT139" t="str">
        <f>HYPERLINK("https%3A%2F%2Fwww.webofscience.com%2Fwos%2Fwoscc%2Ffull-record%2FWOS:000684545600005","View Full Record in Web of Science")</f>
        <v>View Full Record in Web of Science</v>
      </c>
    </row>
    <row r="140" spans="1:72" x14ac:dyDescent="0.15">
      <c r="A140" t="s">
        <v>72</v>
      </c>
      <c r="B140" t="s">
        <v>2977</v>
      </c>
      <c r="C140" t="s">
        <v>74</v>
      </c>
      <c r="D140" t="s">
        <v>74</v>
      </c>
      <c r="E140" t="s">
        <v>74</v>
      </c>
      <c r="F140" t="s">
        <v>2978</v>
      </c>
      <c r="G140" t="s">
        <v>74</v>
      </c>
      <c r="H140" t="s">
        <v>74</v>
      </c>
      <c r="I140" t="s">
        <v>2979</v>
      </c>
      <c r="J140" t="s">
        <v>107</v>
      </c>
      <c r="K140" t="s">
        <v>74</v>
      </c>
      <c r="L140" t="s">
        <v>74</v>
      </c>
      <c r="M140" t="s">
        <v>78</v>
      </c>
      <c r="N140" t="s">
        <v>79</v>
      </c>
      <c r="O140" t="s">
        <v>74</v>
      </c>
      <c r="P140" t="s">
        <v>74</v>
      </c>
      <c r="Q140" t="s">
        <v>74</v>
      </c>
      <c r="R140" t="s">
        <v>74</v>
      </c>
      <c r="S140" t="s">
        <v>74</v>
      </c>
      <c r="T140" t="s">
        <v>2980</v>
      </c>
      <c r="U140" t="s">
        <v>2981</v>
      </c>
      <c r="V140" t="s">
        <v>2982</v>
      </c>
      <c r="W140" t="s">
        <v>2983</v>
      </c>
      <c r="X140" t="s">
        <v>2984</v>
      </c>
      <c r="Y140" t="s">
        <v>2985</v>
      </c>
      <c r="Z140" t="s">
        <v>2986</v>
      </c>
      <c r="AA140" t="s">
        <v>2987</v>
      </c>
      <c r="AB140" t="s">
        <v>2988</v>
      </c>
      <c r="AC140" t="s">
        <v>2989</v>
      </c>
      <c r="AD140" t="s">
        <v>2990</v>
      </c>
      <c r="AE140" t="s">
        <v>2991</v>
      </c>
      <c r="AF140" t="s">
        <v>74</v>
      </c>
      <c r="AG140">
        <v>73</v>
      </c>
      <c r="AH140">
        <v>5</v>
      </c>
      <c r="AI140">
        <v>5</v>
      </c>
      <c r="AJ140">
        <v>0</v>
      </c>
      <c r="AK140">
        <v>17</v>
      </c>
      <c r="AL140" t="s">
        <v>119</v>
      </c>
      <c r="AM140" t="s">
        <v>120</v>
      </c>
      <c r="AN140" t="s">
        <v>121</v>
      </c>
      <c r="AO140" t="s">
        <v>74</v>
      </c>
      <c r="AP140" t="s">
        <v>122</v>
      </c>
      <c r="AQ140" t="s">
        <v>74</v>
      </c>
      <c r="AR140" t="s">
        <v>123</v>
      </c>
      <c r="AS140" t="s">
        <v>124</v>
      </c>
      <c r="AT140" t="s">
        <v>2992</v>
      </c>
      <c r="AU140">
        <v>2021</v>
      </c>
      <c r="AV140">
        <v>8</v>
      </c>
      <c r="AW140" t="s">
        <v>74</v>
      </c>
      <c r="AX140" t="s">
        <v>74</v>
      </c>
      <c r="AY140" t="s">
        <v>74</v>
      </c>
      <c r="AZ140" t="s">
        <v>74</v>
      </c>
      <c r="BA140" t="s">
        <v>74</v>
      </c>
      <c r="BB140" t="s">
        <v>74</v>
      </c>
      <c r="BC140" t="s">
        <v>74</v>
      </c>
      <c r="BD140">
        <v>656321</v>
      </c>
      <c r="BE140" t="s">
        <v>2993</v>
      </c>
      <c r="BF140" t="str">
        <f>HYPERLINK("http://dx.doi.org/10.3389/fmars.2021.656321","http://dx.doi.org/10.3389/fmars.2021.656321")</f>
        <v>http://dx.doi.org/10.3389/fmars.2021.656321</v>
      </c>
      <c r="BG140" t="s">
        <v>74</v>
      </c>
      <c r="BH140" t="s">
        <v>74</v>
      </c>
      <c r="BI140">
        <v>18</v>
      </c>
      <c r="BJ140" t="s">
        <v>127</v>
      </c>
      <c r="BK140" t="s">
        <v>128</v>
      </c>
      <c r="BL140" t="s">
        <v>129</v>
      </c>
      <c r="BM140" t="s">
        <v>2994</v>
      </c>
      <c r="BN140" t="s">
        <v>74</v>
      </c>
      <c r="BO140" t="s">
        <v>2995</v>
      </c>
      <c r="BP140" t="s">
        <v>74</v>
      </c>
      <c r="BQ140" t="s">
        <v>74</v>
      </c>
      <c r="BR140" t="s">
        <v>102</v>
      </c>
      <c r="BS140" t="s">
        <v>2996</v>
      </c>
      <c r="BT140" t="str">
        <f>HYPERLINK("https%3A%2F%2Fwww.webofscience.com%2Fwos%2Fwoscc%2Ffull-record%2FWOS:000679414600001","View Full Record in Web of Science")</f>
        <v>View Full Record in Web of Science</v>
      </c>
    </row>
    <row r="141" spans="1:72" x14ac:dyDescent="0.15">
      <c r="A141" t="s">
        <v>72</v>
      </c>
      <c r="B141" t="s">
        <v>2997</v>
      </c>
      <c r="C141" t="s">
        <v>74</v>
      </c>
      <c r="D141" t="s">
        <v>74</v>
      </c>
      <c r="E141" t="s">
        <v>74</v>
      </c>
      <c r="F141" t="s">
        <v>2998</v>
      </c>
      <c r="G141" t="s">
        <v>74</v>
      </c>
      <c r="H141" t="s">
        <v>74</v>
      </c>
      <c r="I141" t="s">
        <v>2999</v>
      </c>
      <c r="J141" t="s">
        <v>2862</v>
      </c>
      <c r="K141" t="s">
        <v>74</v>
      </c>
      <c r="L141" t="s">
        <v>74</v>
      </c>
      <c r="M141" t="s">
        <v>78</v>
      </c>
      <c r="N141" t="s">
        <v>79</v>
      </c>
      <c r="O141" t="s">
        <v>74</v>
      </c>
      <c r="P141" t="s">
        <v>74</v>
      </c>
      <c r="Q141" t="s">
        <v>74</v>
      </c>
      <c r="R141" t="s">
        <v>74</v>
      </c>
      <c r="S141" t="s">
        <v>74</v>
      </c>
      <c r="T141" t="s">
        <v>3000</v>
      </c>
      <c r="U141" t="s">
        <v>3001</v>
      </c>
      <c r="V141" t="s">
        <v>3002</v>
      </c>
      <c r="W141" t="s">
        <v>3003</v>
      </c>
      <c r="X141" t="s">
        <v>3004</v>
      </c>
      <c r="Y141" t="s">
        <v>3005</v>
      </c>
      <c r="Z141" t="s">
        <v>3006</v>
      </c>
      <c r="AA141" t="s">
        <v>3007</v>
      </c>
      <c r="AB141" t="s">
        <v>74</v>
      </c>
      <c r="AC141" t="s">
        <v>3008</v>
      </c>
      <c r="AD141" t="s">
        <v>3009</v>
      </c>
      <c r="AE141" t="s">
        <v>3010</v>
      </c>
      <c r="AF141" t="s">
        <v>74</v>
      </c>
      <c r="AG141">
        <v>50</v>
      </c>
      <c r="AH141">
        <v>7</v>
      </c>
      <c r="AI141">
        <v>7</v>
      </c>
      <c r="AJ141">
        <v>1</v>
      </c>
      <c r="AK141">
        <v>11</v>
      </c>
      <c r="AL141" t="s">
        <v>450</v>
      </c>
      <c r="AM141" t="s">
        <v>650</v>
      </c>
      <c r="AN141" t="s">
        <v>1957</v>
      </c>
      <c r="AO141" t="s">
        <v>2874</v>
      </c>
      <c r="AP141" t="s">
        <v>2875</v>
      </c>
      <c r="AQ141" t="s">
        <v>74</v>
      </c>
      <c r="AR141" t="s">
        <v>2876</v>
      </c>
      <c r="AS141" t="s">
        <v>2877</v>
      </c>
      <c r="AT141" t="s">
        <v>402</v>
      </c>
      <c r="AU141">
        <v>2021</v>
      </c>
      <c r="AV141">
        <v>44</v>
      </c>
      <c r="AW141">
        <v>9</v>
      </c>
      <c r="AX141" t="s">
        <v>74</v>
      </c>
      <c r="AY141" t="s">
        <v>74</v>
      </c>
      <c r="AZ141" t="s">
        <v>74</v>
      </c>
      <c r="BA141" t="s">
        <v>74</v>
      </c>
      <c r="BB141">
        <v>1795</v>
      </c>
      <c r="BC141">
        <v>1801</v>
      </c>
      <c r="BD141" t="s">
        <v>74</v>
      </c>
      <c r="BE141" t="s">
        <v>3011</v>
      </c>
      <c r="BF141" t="str">
        <f>HYPERLINK("http://dx.doi.org/10.1007/s00300-021-02914-4","http://dx.doi.org/10.1007/s00300-021-02914-4")</f>
        <v>http://dx.doi.org/10.1007/s00300-021-02914-4</v>
      </c>
      <c r="BG141" t="s">
        <v>74</v>
      </c>
      <c r="BH141" t="s">
        <v>2323</v>
      </c>
      <c r="BI141">
        <v>7</v>
      </c>
      <c r="BJ141" t="s">
        <v>1883</v>
      </c>
      <c r="BK141" t="s">
        <v>128</v>
      </c>
      <c r="BL141" t="s">
        <v>207</v>
      </c>
      <c r="BM141" t="s">
        <v>2879</v>
      </c>
      <c r="BN141" t="s">
        <v>74</v>
      </c>
      <c r="BO141" t="s">
        <v>291</v>
      </c>
      <c r="BP141" t="s">
        <v>74</v>
      </c>
      <c r="BQ141" t="s">
        <v>74</v>
      </c>
      <c r="BR141" t="s">
        <v>102</v>
      </c>
      <c r="BS141" t="s">
        <v>3012</v>
      </c>
      <c r="BT141" t="str">
        <f>HYPERLINK("https%3A%2F%2Fwww.webofscience.com%2Fwos%2Fwoscc%2Ffull-record%2FWOS:000679106800002","View Full Record in Web of Science")</f>
        <v>View Full Record in Web of Science</v>
      </c>
    </row>
    <row r="142" spans="1:72" x14ac:dyDescent="0.15">
      <c r="A142" t="s">
        <v>72</v>
      </c>
      <c r="B142" t="s">
        <v>3013</v>
      </c>
      <c r="C142" t="s">
        <v>74</v>
      </c>
      <c r="D142" t="s">
        <v>74</v>
      </c>
      <c r="E142" t="s">
        <v>74</v>
      </c>
      <c r="F142" t="s">
        <v>3014</v>
      </c>
      <c r="G142" t="s">
        <v>74</v>
      </c>
      <c r="H142" t="s">
        <v>74</v>
      </c>
      <c r="I142" t="s">
        <v>3015</v>
      </c>
      <c r="J142" t="s">
        <v>3016</v>
      </c>
      <c r="K142" t="s">
        <v>74</v>
      </c>
      <c r="L142" t="s">
        <v>74</v>
      </c>
      <c r="M142" t="s">
        <v>78</v>
      </c>
      <c r="N142" t="s">
        <v>79</v>
      </c>
      <c r="O142" t="s">
        <v>74</v>
      </c>
      <c r="P142" t="s">
        <v>74</v>
      </c>
      <c r="Q142" t="s">
        <v>74</v>
      </c>
      <c r="R142" t="s">
        <v>74</v>
      </c>
      <c r="S142" t="s">
        <v>74</v>
      </c>
      <c r="T142" t="s">
        <v>3017</v>
      </c>
      <c r="U142" t="s">
        <v>3018</v>
      </c>
      <c r="V142" t="s">
        <v>3019</v>
      </c>
      <c r="W142" t="s">
        <v>3020</v>
      </c>
      <c r="X142" t="s">
        <v>3021</v>
      </c>
      <c r="Y142" t="s">
        <v>3022</v>
      </c>
      <c r="Z142" t="s">
        <v>3023</v>
      </c>
      <c r="AA142" t="s">
        <v>3024</v>
      </c>
      <c r="AB142" t="s">
        <v>3025</v>
      </c>
      <c r="AC142" t="s">
        <v>3026</v>
      </c>
      <c r="AD142" t="s">
        <v>3027</v>
      </c>
      <c r="AE142" t="s">
        <v>3028</v>
      </c>
      <c r="AF142" t="s">
        <v>74</v>
      </c>
      <c r="AG142">
        <v>35</v>
      </c>
      <c r="AH142">
        <v>3</v>
      </c>
      <c r="AI142">
        <v>3</v>
      </c>
      <c r="AJ142">
        <v>4</v>
      </c>
      <c r="AK142">
        <v>28</v>
      </c>
      <c r="AL142" t="s">
        <v>197</v>
      </c>
      <c r="AM142" t="s">
        <v>198</v>
      </c>
      <c r="AN142" t="s">
        <v>199</v>
      </c>
      <c r="AO142" t="s">
        <v>3029</v>
      </c>
      <c r="AP142" t="s">
        <v>3030</v>
      </c>
      <c r="AQ142" t="s">
        <v>74</v>
      </c>
      <c r="AR142" t="s">
        <v>3031</v>
      </c>
      <c r="AS142" t="s">
        <v>3032</v>
      </c>
      <c r="AT142" t="s">
        <v>204</v>
      </c>
      <c r="AU142">
        <v>2021</v>
      </c>
      <c r="AV142">
        <v>21</v>
      </c>
      <c r="AW142">
        <v>10</v>
      </c>
      <c r="AX142" t="s">
        <v>74</v>
      </c>
      <c r="AY142" t="s">
        <v>74</v>
      </c>
      <c r="AZ142" t="s">
        <v>431</v>
      </c>
      <c r="BA142" t="s">
        <v>74</v>
      </c>
      <c r="BB142">
        <v>666</v>
      </c>
      <c r="BC142">
        <v>682</v>
      </c>
      <c r="BD142" t="s">
        <v>74</v>
      </c>
      <c r="BE142" t="s">
        <v>3033</v>
      </c>
      <c r="BF142" t="str">
        <f>HYPERLINK("http://dx.doi.org/10.1002/elsc.202000098","http://dx.doi.org/10.1002/elsc.202000098")</f>
        <v>http://dx.doi.org/10.1002/elsc.202000098</v>
      </c>
      <c r="BG142" t="s">
        <v>74</v>
      </c>
      <c r="BH142" t="s">
        <v>2323</v>
      </c>
      <c r="BI142">
        <v>17</v>
      </c>
      <c r="BJ142" t="s">
        <v>844</v>
      </c>
      <c r="BK142" t="s">
        <v>128</v>
      </c>
      <c r="BL142" t="s">
        <v>844</v>
      </c>
      <c r="BM142" t="s">
        <v>3034</v>
      </c>
      <c r="BN142">
        <v>34690637</v>
      </c>
      <c r="BO142" t="s">
        <v>1377</v>
      </c>
      <c r="BP142" t="s">
        <v>74</v>
      </c>
      <c r="BQ142" t="s">
        <v>74</v>
      </c>
      <c r="BR142" t="s">
        <v>102</v>
      </c>
      <c r="BS142" t="s">
        <v>3035</v>
      </c>
      <c r="BT142" t="str">
        <f>HYPERLINK("https%3A%2F%2Fwww.webofscience.com%2Fwos%2Fwoscc%2Ffull-record%2FWOS:000678795500001","View Full Record in Web of Science")</f>
        <v>View Full Record in Web of Science</v>
      </c>
    </row>
    <row r="143" spans="1:72" x14ac:dyDescent="0.15">
      <c r="A143" t="s">
        <v>72</v>
      </c>
      <c r="B143" t="s">
        <v>3036</v>
      </c>
      <c r="C143" t="s">
        <v>74</v>
      </c>
      <c r="D143" t="s">
        <v>74</v>
      </c>
      <c r="E143" t="s">
        <v>74</v>
      </c>
      <c r="F143" t="s">
        <v>3037</v>
      </c>
      <c r="G143" t="s">
        <v>74</v>
      </c>
      <c r="H143" t="s">
        <v>74</v>
      </c>
      <c r="I143" t="s">
        <v>3038</v>
      </c>
      <c r="J143" t="s">
        <v>3039</v>
      </c>
      <c r="K143" t="s">
        <v>74</v>
      </c>
      <c r="L143" t="s">
        <v>74</v>
      </c>
      <c r="M143" t="s">
        <v>78</v>
      </c>
      <c r="N143" t="s">
        <v>79</v>
      </c>
      <c r="O143" t="s">
        <v>74</v>
      </c>
      <c r="P143" t="s">
        <v>74</v>
      </c>
      <c r="Q143" t="s">
        <v>74</v>
      </c>
      <c r="R143" t="s">
        <v>74</v>
      </c>
      <c r="S143" t="s">
        <v>74</v>
      </c>
      <c r="T143" t="s">
        <v>3040</v>
      </c>
      <c r="U143" t="s">
        <v>3041</v>
      </c>
      <c r="V143" t="s">
        <v>3042</v>
      </c>
      <c r="W143" t="s">
        <v>3043</v>
      </c>
      <c r="X143" t="s">
        <v>3044</v>
      </c>
      <c r="Y143" t="s">
        <v>3045</v>
      </c>
      <c r="Z143" t="s">
        <v>3046</v>
      </c>
      <c r="AA143" t="s">
        <v>3047</v>
      </c>
      <c r="AB143" t="s">
        <v>74</v>
      </c>
      <c r="AC143" t="s">
        <v>3048</v>
      </c>
      <c r="AD143" t="s">
        <v>3049</v>
      </c>
      <c r="AE143" t="s">
        <v>3050</v>
      </c>
      <c r="AF143" t="s">
        <v>74</v>
      </c>
      <c r="AG143">
        <v>60</v>
      </c>
      <c r="AH143">
        <v>4</v>
      </c>
      <c r="AI143">
        <v>4</v>
      </c>
      <c r="AJ143">
        <v>1</v>
      </c>
      <c r="AK143">
        <v>4</v>
      </c>
      <c r="AL143" t="s">
        <v>197</v>
      </c>
      <c r="AM143" t="s">
        <v>198</v>
      </c>
      <c r="AN143" t="s">
        <v>199</v>
      </c>
      <c r="AO143" t="s">
        <v>3051</v>
      </c>
      <c r="AP143" t="s">
        <v>3052</v>
      </c>
      <c r="AQ143" t="s">
        <v>74</v>
      </c>
      <c r="AR143" t="s">
        <v>3053</v>
      </c>
      <c r="AS143" t="s">
        <v>3054</v>
      </c>
      <c r="AT143" t="s">
        <v>402</v>
      </c>
      <c r="AU143">
        <v>2021</v>
      </c>
      <c r="AV143">
        <v>61</v>
      </c>
      <c r="AW143">
        <v>9</v>
      </c>
      <c r="AX143" t="s">
        <v>74</v>
      </c>
      <c r="AY143" t="s">
        <v>74</v>
      </c>
      <c r="AZ143" t="s">
        <v>431</v>
      </c>
      <c r="BA143" t="s">
        <v>74</v>
      </c>
      <c r="BB143">
        <v>782</v>
      </c>
      <c r="BC143">
        <v>794</v>
      </c>
      <c r="BD143" t="s">
        <v>74</v>
      </c>
      <c r="BE143" t="s">
        <v>3055</v>
      </c>
      <c r="BF143" t="str">
        <f>HYPERLINK("http://dx.doi.org/10.1002/jobm.202100209","http://dx.doi.org/10.1002/jobm.202100209")</f>
        <v>http://dx.doi.org/10.1002/jobm.202100209</v>
      </c>
      <c r="BG143" t="s">
        <v>74</v>
      </c>
      <c r="BH143" t="s">
        <v>2323</v>
      </c>
      <c r="BI143">
        <v>13</v>
      </c>
      <c r="BJ143" t="s">
        <v>1499</v>
      </c>
      <c r="BK143" t="s">
        <v>128</v>
      </c>
      <c r="BL143" t="s">
        <v>1499</v>
      </c>
      <c r="BM143" t="s">
        <v>3056</v>
      </c>
      <c r="BN143">
        <v>34309887</v>
      </c>
      <c r="BO143" t="s">
        <v>74</v>
      </c>
      <c r="BP143" t="s">
        <v>74</v>
      </c>
      <c r="BQ143" t="s">
        <v>74</v>
      </c>
      <c r="BR143" t="s">
        <v>102</v>
      </c>
      <c r="BS143" t="s">
        <v>3057</v>
      </c>
      <c r="BT143" t="str">
        <f>HYPERLINK("https%3A%2F%2Fwww.webofscience.com%2Fwos%2Fwoscc%2Ffull-record%2FWOS:000678912600001","View Full Record in Web of Science")</f>
        <v>View Full Record in Web of Science</v>
      </c>
    </row>
    <row r="144" spans="1:72" x14ac:dyDescent="0.15">
      <c r="A144" t="s">
        <v>72</v>
      </c>
      <c r="B144" t="s">
        <v>3058</v>
      </c>
      <c r="C144" t="s">
        <v>74</v>
      </c>
      <c r="D144" t="s">
        <v>74</v>
      </c>
      <c r="E144" t="s">
        <v>74</v>
      </c>
      <c r="F144" t="s">
        <v>3059</v>
      </c>
      <c r="G144" t="s">
        <v>74</v>
      </c>
      <c r="H144" t="s">
        <v>74</v>
      </c>
      <c r="I144" t="s">
        <v>3060</v>
      </c>
      <c r="J144" t="s">
        <v>3061</v>
      </c>
      <c r="K144" t="s">
        <v>74</v>
      </c>
      <c r="L144" t="s">
        <v>74</v>
      </c>
      <c r="M144" t="s">
        <v>78</v>
      </c>
      <c r="N144" t="s">
        <v>79</v>
      </c>
      <c r="O144" t="s">
        <v>74</v>
      </c>
      <c r="P144" t="s">
        <v>74</v>
      </c>
      <c r="Q144" t="s">
        <v>74</v>
      </c>
      <c r="R144" t="s">
        <v>74</v>
      </c>
      <c r="S144" t="s">
        <v>74</v>
      </c>
      <c r="T144" t="s">
        <v>3062</v>
      </c>
      <c r="U144" t="s">
        <v>3063</v>
      </c>
      <c r="V144" t="s">
        <v>3064</v>
      </c>
      <c r="W144" t="s">
        <v>3065</v>
      </c>
      <c r="X144" t="s">
        <v>3066</v>
      </c>
      <c r="Y144" t="s">
        <v>3067</v>
      </c>
      <c r="Z144" t="s">
        <v>3068</v>
      </c>
      <c r="AA144" t="s">
        <v>3069</v>
      </c>
      <c r="AB144" t="s">
        <v>3070</v>
      </c>
      <c r="AC144" t="s">
        <v>3071</v>
      </c>
      <c r="AD144" t="s">
        <v>3072</v>
      </c>
      <c r="AE144" t="s">
        <v>3073</v>
      </c>
      <c r="AF144" t="s">
        <v>74</v>
      </c>
      <c r="AG144">
        <v>84</v>
      </c>
      <c r="AH144">
        <v>1</v>
      </c>
      <c r="AI144">
        <v>2</v>
      </c>
      <c r="AJ144">
        <v>1</v>
      </c>
      <c r="AK144">
        <v>9</v>
      </c>
      <c r="AL144" t="s">
        <v>450</v>
      </c>
      <c r="AM144" t="s">
        <v>650</v>
      </c>
      <c r="AN144" t="s">
        <v>1957</v>
      </c>
      <c r="AO144" t="s">
        <v>3074</v>
      </c>
      <c r="AP144" t="s">
        <v>3075</v>
      </c>
      <c r="AQ144" t="s">
        <v>74</v>
      </c>
      <c r="AR144" t="s">
        <v>3061</v>
      </c>
      <c r="AS144" t="s">
        <v>3076</v>
      </c>
      <c r="AT144" t="s">
        <v>204</v>
      </c>
      <c r="AU144">
        <v>2021</v>
      </c>
      <c r="AV144">
        <v>197</v>
      </c>
      <c r="AW144">
        <v>2</v>
      </c>
      <c r="AX144" t="s">
        <v>74</v>
      </c>
      <c r="AY144" t="s">
        <v>74</v>
      </c>
      <c r="AZ144" t="s">
        <v>74</v>
      </c>
      <c r="BA144" t="s">
        <v>74</v>
      </c>
      <c r="BB144">
        <v>339</v>
      </c>
      <c r="BC144">
        <v>352</v>
      </c>
      <c r="BD144" t="s">
        <v>74</v>
      </c>
      <c r="BE144" t="s">
        <v>3077</v>
      </c>
      <c r="BF144" t="str">
        <f>HYPERLINK("http://dx.doi.org/10.1007/s00442-021-04983-y","http://dx.doi.org/10.1007/s00442-021-04983-y")</f>
        <v>http://dx.doi.org/10.1007/s00442-021-04983-y</v>
      </c>
      <c r="BG144" t="s">
        <v>74</v>
      </c>
      <c r="BH144" t="s">
        <v>2323</v>
      </c>
      <c r="BI144">
        <v>14</v>
      </c>
      <c r="BJ144" t="s">
        <v>1462</v>
      </c>
      <c r="BK144" t="s">
        <v>128</v>
      </c>
      <c r="BL144" t="s">
        <v>263</v>
      </c>
      <c r="BM144" t="s">
        <v>3078</v>
      </c>
      <c r="BN144">
        <v>34309704</v>
      </c>
      <c r="BO144" t="s">
        <v>2125</v>
      </c>
      <c r="BP144" t="s">
        <v>74</v>
      </c>
      <c r="BQ144" t="s">
        <v>74</v>
      </c>
      <c r="BR144" t="s">
        <v>102</v>
      </c>
      <c r="BS144" t="s">
        <v>3079</v>
      </c>
      <c r="BT144" t="str">
        <f>HYPERLINK("https%3A%2F%2Fwww.webofscience.com%2Fwos%2Fwoscc%2Ffull-record%2FWOS:000678410900001","View Full Record in Web of Science")</f>
        <v>View Full Record in Web of Science</v>
      </c>
    </row>
    <row r="145" spans="1:72" x14ac:dyDescent="0.15">
      <c r="A145" t="s">
        <v>72</v>
      </c>
      <c r="B145" t="s">
        <v>3080</v>
      </c>
      <c r="C145" t="s">
        <v>74</v>
      </c>
      <c r="D145" t="s">
        <v>74</v>
      </c>
      <c r="E145" t="s">
        <v>74</v>
      </c>
      <c r="F145" t="s">
        <v>3081</v>
      </c>
      <c r="G145" t="s">
        <v>74</v>
      </c>
      <c r="H145" t="s">
        <v>74</v>
      </c>
      <c r="I145" t="s">
        <v>3082</v>
      </c>
      <c r="J145" t="s">
        <v>2396</v>
      </c>
      <c r="K145" t="s">
        <v>74</v>
      </c>
      <c r="L145" t="s">
        <v>74</v>
      </c>
      <c r="M145" t="s">
        <v>78</v>
      </c>
      <c r="N145" t="s">
        <v>79</v>
      </c>
      <c r="O145" t="s">
        <v>74</v>
      </c>
      <c r="P145" t="s">
        <v>74</v>
      </c>
      <c r="Q145" t="s">
        <v>74</v>
      </c>
      <c r="R145" t="s">
        <v>74</v>
      </c>
      <c r="S145" t="s">
        <v>74</v>
      </c>
      <c r="T145" t="s">
        <v>74</v>
      </c>
      <c r="U145" t="s">
        <v>3083</v>
      </c>
      <c r="V145" t="s">
        <v>3084</v>
      </c>
      <c r="W145" t="s">
        <v>3085</v>
      </c>
      <c r="X145" t="s">
        <v>3086</v>
      </c>
      <c r="Y145" t="s">
        <v>3087</v>
      </c>
      <c r="Z145" t="s">
        <v>3088</v>
      </c>
      <c r="AA145" t="s">
        <v>3089</v>
      </c>
      <c r="AB145" t="s">
        <v>3090</v>
      </c>
      <c r="AC145" t="s">
        <v>3091</v>
      </c>
      <c r="AD145" t="s">
        <v>3092</v>
      </c>
      <c r="AE145" t="s">
        <v>3093</v>
      </c>
      <c r="AF145" t="s">
        <v>74</v>
      </c>
      <c r="AG145">
        <v>82</v>
      </c>
      <c r="AH145">
        <v>8</v>
      </c>
      <c r="AI145">
        <v>8</v>
      </c>
      <c r="AJ145">
        <v>0</v>
      </c>
      <c r="AK145">
        <v>5</v>
      </c>
      <c r="AL145" t="s">
        <v>143</v>
      </c>
      <c r="AM145" t="s">
        <v>144</v>
      </c>
      <c r="AN145" t="s">
        <v>145</v>
      </c>
      <c r="AO145" t="s">
        <v>2408</v>
      </c>
      <c r="AP145" t="s">
        <v>2409</v>
      </c>
      <c r="AQ145" t="s">
        <v>74</v>
      </c>
      <c r="AR145" t="s">
        <v>2396</v>
      </c>
      <c r="AS145" t="s">
        <v>2410</v>
      </c>
      <c r="AT145" t="s">
        <v>2992</v>
      </c>
      <c r="AU145">
        <v>2021</v>
      </c>
      <c r="AV145">
        <v>15</v>
      </c>
      <c r="AW145">
        <v>7</v>
      </c>
      <c r="AX145" t="s">
        <v>74</v>
      </c>
      <c r="AY145" t="s">
        <v>74</v>
      </c>
      <c r="AZ145" t="s">
        <v>74</v>
      </c>
      <c r="BA145" t="s">
        <v>74</v>
      </c>
      <c r="BB145">
        <v>3459</v>
      </c>
      <c r="BC145">
        <v>3494</v>
      </c>
      <c r="BD145" t="s">
        <v>74</v>
      </c>
      <c r="BE145" t="s">
        <v>3094</v>
      </c>
      <c r="BF145" t="str">
        <f>HYPERLINK("http://dx.doi.org/10.5194/tc-15-3459-2021","http://dx.doi.org/10.5194/tc-15-3459-2021")</f>
        <v>http://dx.doi.org/10.5194/tc-15-3459-2021</v>
      </c>
      <c r="BG145" t="s">
        <v>74</v>
      </c>
      <c r="BH145" t="s">
        <v>74</v>
      </c>
      <c r="BI145">
        <v>36</v>
      </c>
      <c r="BJ145" t="s">
        <v>151</v>
      </c>
      <c r="BK145" t="s">
        <v>128</v>
      </c>
      <c r="BL145" t="s">
        <v>152</v>
      </c>
      <c r="BM145" t="s">
        <v>3095</v>
      </c>
      <c r="BN145" t="s">
        <v>74</v>
      </c>
      <c r="BO145" t="s">
        <v>179</v>
      </c>
      <c r="BP145" t="s">
        <v>74</v>
      </c>
      <c r="BQ145" t="s">
        <v>74</v>
      </c>
      <c r="BR145" t="s">
        <v>102</v>
      </c>
      <c r="BS145" t="s">
        <v>3096</v>
      </c>
      <c r="BT145" t="str">
        <f>HYPERLINK("https%3A%2F%2Fwww.webofscience.com%2Fwos%2Fwoscc%2Ffull-record%2FWOS:000677584200001","View Full Record in Web of Science")</f>
        <v>View Full Record in Web of Science</v>
      </c>
    </row>
    <row r="146" spans="1:72" x14ac:dyDescent="0.15">
      <c r="A146" t="s">
        <v>72</v>
      </c>
      <c r="B146" t="s">
        <v>3097</v>
      </c>
      <c r="C146" t="s">
        <v>74</v>
      </c>
      <c r="D146" t="s">
        <v>74</v>
      </c>
      <c r="E146" t="s">
        <v>74</v>
      </c>
      <c r="F146" t="s">
        <v>3098</v>
      </c>
      <c r="G146" t="s">
        <v>74</v>
      </c>
      <c r="H146" t="s">
        <v>74</v>
      </c>
      <c r="I146" t="s">
        <v>3099</v>
      </c>
      <c r="J146" t="s">
        <v>3100</v>
      </c>
      <c r="K146" t="s">
        <v>74</v>
      </c>
      <c r="L146" t="s">
        <v>74</v>
      </c>
      <c r="M146" t="s">
        <v>78</v>
      </c>
      <c r="N146" t="s">
        <v>79</v>
      </c>
      <c r="O146" t="s">
        <v>74</v>
      </c>
      <c r="P146" t="s">
        <v>74</v>
      </c>
      <c r="Q146" t="s">
        <v>74</v>
      </c>
      <c r="R146" t="s">
        <v>74</v>
      </c>
      <c r="S146" t="s">
        <v>74</v>
      </c>
      <c r="T146" t="s">
        <v>3101</v>
      </c>
      <c r="U146" t="s">
        <v>3102</v>
      </c>
      <c r="V146" t="s">
        <v>3103</v>
      </c>
      <c r="W146" t="s">
        <v>3104</v>
      </c>
      <c r="X146" t="s">
        <v>3105</v>
      </c>
      <c r="Y146" t="s">
        <v>3106</v>
      </c>
      <c r="Z146" t="s">
        <v>3107</v>
      </c>
      <c r="AA146" t="s">
        <v>3108</v>
      </c>
      <c r="AB146" t="s">
        <v>3109</v>
      </c>
      <c r="AC146" t="s">
        <v>3110</v>
      </c>
      <c r="AD146" t="s">
        <v>3111</v>
      </c>
      <c r="AE146" t="s">
        <v>3112</v>
      </c>
      <c r="AF146" t="s">
        <v>74</v>
      </c>
      <c r="AG146">
        <v>54</v>
      </c>
      <c r="AH146">
        <v>7</v>
      </c>
      <c r="AI146">
        <v>8</v>
      </c>
      <c r="AJ146">
        <v>0</v>
      </c>
      <c r="AK146">
        <v>7</v>
      </c>
      <c r="AL146" t="s">
        <v>89</v>
      </c>
      <c r="AM146" t="s">
        <v>90</v>
      </c>
      <c r="AN146" t="s">
        <v>91</v>
      </c>
      <c r="AO146" t="s">
        <v>3113</v>
      </c>
      <c r="AP146" t="s">
        <v>3114</v>
      </c>
      <c r="AQ146" t="s">
        <v>74</v>
      </c>
      <c r="AR146" t="s">
        <v>3100</v>
      </c>
      <c r="AS146" t="s">
        <v>3115</v>
      </c>
      <c r="AT146" t="s">
        <v>374</v>
      </c>
      <c r="AU146">
        <v>2021</v>
      </c>
      <c r="AV146">
        <v>207</v>
      </c>
      <c r="AW146" t="s">
        <v>74</v>
      </c>
      <c r="AX146" t="s">
        <v>74</v>
      </c>
      <c r="AY146" t="s">
        <v>74</v>
      </c>
      <c r="AZ146" t="s">
        <v>74</v>
      </c>
      <c r="BA146" t="s">
        <v>74</v>
      </c>
      <c r="BB146" t="s">
        <v>74</v>
      </c>
      <c r="BC146" t="s">
        <v>74</v>
      </c>
      <c r="BD146">
        <v>105608</v>
      </c>
      <c r="BE146" t="s">
        <v>3116</v>
      </c>
      <c r="BF146" t="str">
        <f>HYPERLINK("http://dx.doi.org/10.1016/j.catena.2021.105608","http://dx.doi.org/10.1016/j.catena.2021.105608")</f>
        <v>http://dx.doi.org/10.1016/j.catena.2021.105608</v>
      </c>
      <c r="BG146" t="s">
        <v>74</v>
      </c>
      <c r="BH146" t="s">
        <v>2323</v>
      </c>
      <c r="BI146">
        <v>11</v>
      </c>
      <c r="BJ146" t="s">
        <v>3117</v>
      </c>
      <c r="BK146" t="s">
        <v>128</v>
      </c>
      <c r="BL146" t="s">
        <v>3118</v>
      </c>
      <c r="BM146" t="s">
        <v>3119</v>
      </c>
      <c r="BN146" t="s">
        <v>74</v>
      </c>
      <c r="BO146" t="s">
        <v>74</v>
      </c>
      <c r="BP146" t="s">
        <v>74</v>
      </c>
      <c r="BQ146" t="s">
        <v>74</v>
      </c>
      <c r="BR146" t="s">
        <v>102</v>
      </c>
      <c r="BS146" t="s">
        <v>3120</v>
      </c>
      <c r="BT146" t="str">
        <f>HYPERLINK("https%3A%2F%2Fwww.webofscience.com%2Fwos%2Fwoscc%2Ffull-record%2FWOS:000703268900033","View Full Record in Web of Science")</f>
        <v>View Full Record in Web of Science</v>
      </c>
    </row>
    <row r="147" spans="1:72" x14ac:dyDescent="0.15">
      <c r="A147" t="s">
        <v>72</v>
      </c>
      <c r="B147" t="s">
        <v>3121</v>
      </c>
      <c r="C147" t="s">
        <v>74</v>
      </c>
      <c r="D147" t="s">
        <v>74</v>
      </c>
      <c r="E147" t="s">
        <v>74</v>
      </c>
      <c r="F147" t="s">
        <v>3122</v>
      </c>
      <c r="G147" t="s">
        <v>74</v>
      </c>
      <c r="H147" t="s">
        <v>74</v>
      </c>
      <c r="I147" t="s">
        <v>3123</v>
      </c>
      <c r="J147" t="s">
        <v>3124</v>
      </c>
      <c r="K147" t="s">
        <v>74</v>
      </c>
      <c r="L147" t="s">
        <v>74</v>
      </c>
      <c r="M147" t="s">
        <v>78</v>
      </c>
      <c r="N147" t="s">
        <v>79</v>
      </c>
      <c r="O147" t="s">
        <v>74</v>
      </c>
      <c r="P147" t="s">
        <v>74</v>
      </c>
      <c r="Q147" t="s">
        <v>74</v>
      </c>
      <c r="R147" t="s">
        <v>74</v>
      </c>
      <c r="S147" t="s">
        <v>74</v>
      </c>
      <c r="T147" t="s">
        <v>3125</v>
      </c>
      <c r="U147" t="s">
        <v>74</v>
      </c>
      <c r="V147" t="s">
        <v>3126</v>
      </c>
      <c r="W147" t="s">
        <v>3127</v>
      </c>
      <c r="X147" t="s">
        <v>3128</v>
      </c>
      <c r="Y147" t="s">
        <v>3129</v>
      </c>
      <c r="Z147" t="s">
        <v>74</v>
      </c>
      <c r="AA147" t="s">
        <v>3130</v>
      </c>
      <c r="AB147" t="s">
        <v>3131</v>
      </c>
      <c r="AC147" t="s">
        <v>3132</v>
      </c>
      <c r="AD147" t="s">
        <v>3133</v>
      </c>
      <c r="AE147" t="s">
        <v>3134</v>
      </c>
      <c r="AF147" t="s">
        <v>74</v>
      </c>
      <c r="AG147">
        <v>23</v>
      </c>
      <c r="AH147">
        <v>3</v>
      </c>
      <c r="AI147">
        <v>3</v>
      </c>
      <c r="AJ147">
        <v>0</v>
      </c>
      <c r="AK147">
        <v>4</v>
      </c>
      <c r="AL147" t="s">
        <v>3135</v>
      </c>
      <c r="AM147" t="s">
        <v>3136</v>
      </c>
      <c r="AN147" t="s">
        <v>3137</v>
      </c>
      <c r="AO147" t="s">
        <v>3138</v>
      </c>
      <c r="AP147" t="s">
        <v>3139</v>
      </c>
      <c r="AQ147" t="s">
        <v>74</v>
      </c>
      <c r="AR147" t="s">
        <v>3124</v>
      </c>
      <c r="AS147" t="s">
        <v>3124</v>
      </c>
      <c r="AT147" t="s">
        <v>3140</v>
      </c>
      <c r="AU147">
        <v>2021</v>
      </c>
      <c r="AV147">
        <v>143</v>
      </c>
      <c r="AW147" t="s">
        <v>3141</v>
      </c>
      <c r="AX147" t="s">
        <v>74</v>
      </c>
      <c r="AY147" t="s">
        <v>74</v>
      </c>
      <c r="AZ147" t="s">
        <v>431</v>
      </c>
      <c r="BA147" t="s">
        <v>74</v>
      </c>
      <c r="BB147">
        <v>283</v>
      </c>
      <c r="BC147">
        <v>291</v>
      </c>
      <c r="BD147" t="s">
        <v>74</v>
      </c>
      <c r="BE147" t="s">
        <v>3142</v>
      </c>
      <c r="BF147" t="str">
        <f>HYPERLINK("http://dx.doi.org/10.1080/11035897.2021.1900385","http://dx.doi.org/10.1080/11035897.2021.1900385")</f>
        <v>http://dx.doi.org/10.1080/11035897.2021.1900385</v>
      </c>
      <c r="BG147" t="s">
        <v>74</v>
      </c>
      <c r="BH147" t="s">
        <v>2323</v>
      </c>
      <c r="BI147">
        <v>9</v>
      </c>
      <c r="BJ147" t="s">
        <v>3143</v>
      </c>
      <c r="BK147" t="s">
        <v>128</v>
      </c>
      <c r="BL147" t="s">
        <v>3143</v>
      </c>
      <c r="BM147" t="s">
        <v>3144</v>
      </c>
      <c r="BN147" t="s">
        <v>74</v>
      </c>
      <c r="BO147" t="s">
        <v>1154</v>
      </c>
      <c r="BP147" t="s">
        <v>74</v>
      </c>
      <c r="BQ147" t="s">
        <v>74</v>
      </c>
      <c r="BR147" t="s">
        <v>102</v>
      </c>
      <c r="BS147" t="s">
        <v>3145</v>
      </c>
      <c r="BT147" t="str">
        <f>HYPERLINK("https%3A%2F%2Fwww.webofscience.com%2Fwos%2Fwoscc%2Ffull-record%2FWOS:000678942700001","View Full Record in Web of Science")</f>
        <v>View Full Record in Web of Science</v>
      </c>
    </row>
    <row r="148" spans="1:72" x14ac:dyDescent="0.15">
      <c r="A148" t="s">
        <v>72</v>
      </c>
      <c r="B148" t="s">
        <v>3146</v>
      </c>
      <c r="C148" t="s">
        <v>74</v>
      </c>
      <c r="D148" t="s">
        <v>74</v>
      </c>
      <c r="E148" t="s">
        <v>74</v>
      </c>
      <c r="F148" t="s">
        <v>3147</v>
      </c>
      <c r="G148" t="s">
        <v>74</v>
      </c>
      <c r="H148" t="s">
        <v>74</v>
      </c>
      <c r="I148" t="s">
        <v>3148</v>
      </c>
      <c r="J148" t="s">
        <v>3149</v>
      </c>
      <c r="K148" t="s">
        <v>74</v>
      </c>
      <c r="L148" t="s">
        <v>74</v>
      </c>
      <c r="M148" t="s">
        <v>78</v>
      </c>
      <c r="N148" t="s">
        <v>700</v>
      </c>
      <c r="O148" t="s">
        <v>74</v>
      </c>
      <c r="P148" t="s">
        <v>74</v>
      </c>
      <c r="Q148" t="s">
        <v>74</v>
      </c>
      <c r="R148" t="s">
        <v>74</v>
      </c>
      <c r="S148" t="s">
        <v>74</v>
      </c>
      <c r="T148" t="s">
        <v>3150</v>
      </c>
      <c r="U148" t="s">
        <v>3151</v>
      </c>
      <c r="V148" t="s">
        <v>3152</v>
      </c>
      <c r="W148" t="s">
        <v>3153</v>
      </c>
      <c r="X148" t="s">
        <v>3154</v>
      </c>
      <c r="Y148" t="s">
        <v>3155</v>
      </c>
      <c r="Z148" t="s">
        <v>3156</v>
      </c>
      <c r="AA148" t="s">
        <v>3157</v>
      </c>
      <c r="AB148" t="s">
        <v>3158</v>
      </c>
      <c r="AC148" t="s">
        <v>3159</v>
      </c>
      <c r="AD148" t="s">
        <v>3159</v>
      </c>
      <c r="AE148" t="s">
        <v>3160</v>
      </c>
      <c r="AF148" t="s">
        <v>74</v>
      </c>
      <c r="AG148">
        <v>153</v>
      </c>
      <c r="AH148">
        <v>6</v>
      </c>
      <c r="AI148">
        <v>6</v>
      </c>
      <c r="AJ148">
        <v>1</v>
      </c>
      <c r="AK148">
        <v>9</v>
      </c>
      <c r="AL148" t="s">
        <v>281</v>
      </c>
      <c r="AM148" t="s">
        <v>228</v>
      </c>
      <c r="AN148" t="s">
        <v>282</v>
      </c>
      <c r="AO148" t="s">
        <v>3161</v>
      </c>
      <c r="AP148" t="s">
        <v>3162</v>
      </c>
      <c r="AQ148" t="s">
        <v>74</v>
      </c>
      <c r="AR148" t="s">
        <v>3163</v>
      </c>
      <c r="AS148" t="s">
        <v>3164</v>
      </c>
      <c r="AT148" t="s">
        <v>3165</v>
      </c>
      <c r="AU148">
        <v>2021</v>
      </c>
      <c r="AV148">
        <v>197</v>
      </c>
      <c r="AW148" t="s">
        <v>74</v>
      </c>
      <c r="AX148" t="s">
        <v>74</v>
      </c>
      <c r="AY148" t="s">
        <v>74</v>
      </c>
      <c r="AZ148" t="s">
        <v>74</v>
      </c>
      <c r="BA148" t="s">
        <v>74</v>
      </c>
      <c r="BB148" t="s">
        <v>74</v>
      </c>
      <c r="BC148" t="s">
        <v>74</v>
      </c>
      <c r="BD148">
        <v>102636</v>
      </c>
      <c r="BE148" t="s">
        <v>3166</v>
      </c>
      <c r="BF148" t="str">
        <f>HYPERLINK("http://dx.doi.org/10.1016/j.pocean.2021.102636","http://dx.doi.org/10.1016/j.pocean.2021.102636")</f>
        <v>http://dx.doi.org/10.1016/j.pocean.2021.102636</v>
      </c>
      <c r="BG148" t="s">
        <v>74</v>
      </c>
      <c r="BH148" t="s">
        <v>2323</v>
      </c>
      <c r="BI148">
        <v>24</v>
      </c>
      <c r="BJ148" t="s">
        <v>1134</v>
      </c>
      <c r="BK148" t="s">
        <v>128</v>
      </c>
      <c r="BL148" t="s">
        <v>1134</v>
      </c>
      <c r="BM148" t="s">
        <v>3167</v>
      </c>
      <c r="BN148" t="s">
        <v>74</v>
      </c>
      <c r="BO148" t="s">
        <v>1083</v>
      </c>
      <c r="BP148" t="s">
        <v>74</v>
      </c>
      <c r="BQ148" t="s">
        <v>74</v>
      </c>
      <c r="BR148" t="s">
        <v>102</v>
      </c>
      <c r="BS148" t="s">
        <v>3168</v>
      </c>
      <c r="BT148" t="str">
        <f>HYPERLINK("https%3A%2F%2Fwww.webofscience.com%2Fwos%2Fwoscc%2Ffull-record%2FWOS:000702781100001","View Full Record in Web of Science")</f>
        <v>View Full Record in Web of Science</v>
      </c>
    </row>
    <row r="149" spans="1:72" x14ac:dyDescent="0.15">
      <c r="A149" t="s">
        <v>72</v>
      </c>
      <c r="B149" t="s">
        <v>3169</v>
      </c>
      <c r="C149" t="s">
        <v>74</v>
      </c>
      <c r="D149" t="s">
        <v>74</v>
      </c>
      <c r="E149" t="s">
        <v>74</v>
      </c>
      <c r="F149" t="s">
        <v>3170</v>
      </c>
      <c r="G149" t="s">
        <v>74</v>
      </c>
      <c r="H149" t="s">
        <v>74</v>
      </c>
      <c r="I149" t="s">
        <v>3171</v>
      </c>
      <c r="J149" t="s">
        <v>937</v>
      </c>
      <c r="K149" t="s">
        <v>74</v>
      </c>
      <c r="L149" t="s">
        <v>74</v>
      </c>
      <c r="M149" t="s">
        <v>78</v>
      </c>
      <c r="N149" t="s">
        <v>79</v>
      </c>
      <c r="O149" t="s">
        <v>74</v>
      </c>
      <c r="P149" t="s">
        <v>74</v>
      </c>
      <c r="Q149" t="s">
        <v>74</v>
      </c>
      <c r="R149" t="s">
        <v>74</v>
      </c>
      <c r="S149" t="s">
        <v>74</v>
      </c>
      <c r="T149" t="s">
        <v>74</v>
      </c>
      <c r="U149" t="s">
        <v>3172</v>
      </c>
      <c r="V149" t="s">
        <v>3173</v>
      </c>
      <c r="W149" t="s">
        <v>3174</v>
      </c>
      <c r="X149" t="s">
        <v>3175</v>
      </c>
      <c r="Y149" t="s">
        <v>3176</v>
      </c>
      <c r="Z149" t="s">
        <v>3177</v>
      </c>
      <c r="AA149" t="s">
        <v>74</v>
      </c>
      <c r="AB149" t="s">
        <v>3178</v>
      </c>
      <c r="AC149" t="s">
        <v>3179</v>
      </c>
      <c r="AD149" t="s">
        <v>3180</v>
      </c>
      <c r="AE149" t="s">
        <v>3181</v>
      </c>
      <c r="AF149" t="s">
        <v>74</v>
      </c>
      <c r="AG149">
        <v>39</v>
      </c>
      <c r="AH149">
        <v>1</v>
      </c>
      <c r="AI149">
        <v>1</v>
      </c>
      <c r="AJ149">
        <v>0</v>
      </c>
      <c r="AK149">
        <v>0</v>
      </c>
      <c r="AL149" t="s">
        <v>197</v>
      </c>
      <c r="AM149" t="s">
        <v>198</v>
      </c>
      <c r="AN149" t="s">
        <v>199</v>
      </c>
      <c r="AO149" t="s">
        <v>945</v>
      </c>
      <c r="AP149" t="s">
        <v>946</v>
      </c>
      <c r="AQ149" t="s">
        <v>74</v>
      </c>
      <c r="AR149" t="s">
        <v>947</v>
      </c>
      <c r="AS149" t="s">
        <v>948</v>
      </c>
      <c r="AT149" t="s">
        <v>535</v>
      </c>
      <c r="AU149">
        <v>2021</v>
      </c>
      <c r="AV149">
        <v>56</v>
      </c>
      <c r="AW149">
        <v>8</v>
      </c>
      <c r="AX149" t="s">
        <v>74</v>
      </c>
      <c r="AY149" t="s">
        <v>74</v>
      </c>
      <c r="AZ149" t="s">
        <v>74</v>
      </c>
      <c r="BA149" t="s">
        <v>74</v>
      </c>
      <c r="BB149">
        <v>1556</v>
      </c>
      <c r="BC149">
        <v>1573</v>
      </c>
      <c r="BD149" t="s">
        <v>74</v>
      </c>
      <c r="BE149" t="s">
        <v>3182</v>
      </c>
      <c r="BF149" t="str">
        <f>HYPERLINK("http://dx.doi.org/10.1111/maps.13707","http://dx.doi.org/10.1111/maps.13707")</f>
        <v>http://dx.doi.org/10.1111/maps.13707</v>
      </c>
      <c r="BG149" t="s">
        <v>74</v>
      </c>
      <c r="BH149" t="s">
        <v>2323</v>
      </c>
      <c r="BI149">
        <v>18</v>
      </c>
      <c r="BJ149" t="s">
        <v>289</v>
      </c>
      <c r="BK149" t="s">
        <v>128</v>
      </c>
      <c r="BL149" t="s">
        <v>289</v>
      </c>
      <c r="BM149" t="s">
        <v>2829</v>
      </c>
      <c r="BN149" t="s">
        <v>74</v>
      </c>
      <c r="BO149" t="s">
        <v>74</v>
      </c>
      <c r="BP149" t="s">
        <v>74</v>
      </c>
      <c r="BQ149" t="s">
        <v>74</v>
      </c>
      <c r="BR149" t="s">
        <v>102</v>
      </c>
      <c r="BS149" t="s">
        <v>3183</v>
      </c>
      <c r="BT149" t="str">
        <f>HYPERLINK("https%3A%2F%2Fwww.webofscience.com%2Fwos%2Fwoscc%2Ffull-record%2FWOS:000677220400001","View Full Record in Web of Science")</f>
        <v>View Full Record in Web of Science</v>
      </c>
    </row>
    <row r="150" spans="1:72" x14ac:dyDescent="0.15">
      <c r="A150" t="s">
        <v>72</v>
      </c>
      <c r="B150" t="s">
        <v>3184</v>
      </c>
      <c r="C150" t="s">
        <v>74</v>
      </c>
      <c r="D150" t="s">
        <v>74</v>
      </c>
      <c r="E150" t="s">
        <v>74</v>
      </c>
      <c r="F150" t="s">
        <v>3185</v>
      </c>
      <c r="G150" t="s">
        <v>74</v>
      </c>
      <c r="H150" t="s">
        <v>74</v>
      </c>
      <c r="I150" t="s">
        <v>3186</v>
      </c>
      <c r="J150" t="s">
        <v>3187</v>
      </c>
      <c r="K150" t="s">
        <v>74</v>
      </c>
      <c r="L150" t="s">
        <v>74</v>
      </c>
      <c r="M150" t="s">
        <v>78</v>
      </c>
      <c r="N150" t="s">
        <v>79</v>
      </c>
      <c r="O150" t="s">
        <v>74</v>
      </c>
      <c r="P150" t="s">
        <v>74</v>
      </c>
      <c r="Q150" t="s">
        <v>74</v>
      </c>
      <c r="R150" t="s">
        <v>74</v>
      </c>
      <c r="S150" t="s">
        <v>74</v>
      </c>
      <c r="T150" t="s">
        <v>3188</v>
      </c>
      <c r="U150" t="s">
        <v>3189</v>
      </c>
      <c r="V150" t="s">
        <v>3190</v>
      </c>
      <c r="W150" t="s">
        <v>3191</v>
      </c>
      <c r="X150" t="s">
        <v>3192</v>
      </c>
      <c r="Y150" t="s">
        <v>3193</v>
      </c>
      <c r="Z150" t="s">
        <v>3194</v>
      </c>
      <c r="AA150" t="s">
        <v>3195</v>
      </c>
      <c r="AB150" t="s">
        <v>3196</v>
      </c>
      <c r="AC150" t="s">
        <v>3197</v>
      </c>
      <c r="AD150" t="s">
        <v>3198</v>
      </c>
      <c r="AE150" t="s">
        <v>3199</v>
      </c>
      <c r="AF150" t="s">
        <v>74</v>
      </c>
      <c r="AG150">
        <v>190</v>
      </c>
      <c r="AH150">
        <v>9</v>
      </c>
      <c r="AI150">
        <v>9</v>
      </c>
      <c r="AJ150">
        <v>1</v>
      </c>
      <c r="AK150">
        <v>7</v>
      </c>
      <c r="AL150" t="s">
        <v>89</v>
      </c>
      <c r="AM150" t="s">
        <v>90</v>
      </c>
      <c r="AN150" t="s">
        <v>91</v>
      </c>
      <c r="AO150" t="s">
        <v>3200</v>
      </c>
      <c r="AP150" t="s">
        <v>3201</v>
      </c>
      <c r="AQ150" t="s">
        <v>74</v>
      </c>
      <c r="AR150" t="s">
        <v>3202</v>
      </c>
      <c r="AS150" t="s">
        <v>3203</v>
      </c>
      <c r="AT150" t="s">
        <v>402</v>
      </c>
      <c r="AU150">
        <v>2021</v>
      </c>
      <c r="AV150">
        <v>204</v>
      </c>
      <c r="AW150" t="s">
        <v>74</v>
      </c>
      <c r="AX150" t="s">
        <v>74</v>
      </c>
      <c r="AY150" t="s">
        <v>74</v>
      </c>
      <c r="AZ150" t="s">
        <v>74</v>
      </c>
      <c r="BA150" t="s">
        <v>74</v>
      </c>
      <c r="BB150" t="s">
        <v>74</v>
      </c>
      <c r="BC150" t="s">
        <v>74</v>
      </c>
      <c r="BD150">
        <v>103581</v>
      </c>
      <c r="BE150" t="s">
        <v>3204</v>
      </c>
      <c r="BF150" t="str">
        <f>HYPERLINK("http://dx.doi.org/10.1016/j.gloplacha.2021.103581","http://dx.doi.org/10.1016/j.gloplacha.2021.103581")</f>
        <v>http://dx.doi.org/10.1016/j.gloplacha.2021.103581</v>
      </c>
      <c r="BG150" t="s">
        <v>74</v>
      </c>
      <c r="BH150" t="s">
        <v>2323</v>
      </c>
      <c r="BI150">
        <v>20</v>
      </c>
      <c r="BJ150" t="s">
        <v>151</v>
      </c>
      <c r="BK150" t="s">
        <v>128</v>
      </c>
      <c r="BL150" t="s">
        <v>152</v>
      </c>
      <c r="BM150" t="s">
        <v>3205</v>
      </c>
      <c r="BN150" t="s">
        <v>74</v>
      </c>
      <c r="BO150" t="s">
        <v>2125</v>
      </c>
      <c r="BP150" t="s">
        <v>74</v>
      </c>
      <c r="BQ150" t="s">
        <v>74</v>
      </c>
      <c r="BR150" t="s">
        <v>102</v>
      </c>
      <c r="BS150" t="s">
        <v>3206</v>
      </c>
      <c r="BT150" t="str">
        <f>HYPERLINK("https%3A%2F%2Fwww.webofscience.com%2Fwos%2Fwoscc%2Ffull-record%2FWOS:000713715000001","View Full Record in Web of Science")</f>
        <v>View Full Record in Web of Science</v>
      </c>
    </row>
    <row r="151" spans="1:72" x14ac:dyDescent="0.15">
      <c r="A151" t="s">
        <v>72</v>
      </c>
      <c r="B151" t="s">
        <v>3207</v>
      </c>
      <c r="C151" t="s">
        <v>74</v>
      </c>
      <c r="D151" t="s">
        <v>74</v>
      </c>
      <c r="E151" t="s">
        <v>74</v>
      </c>
      <c r="F151" t="s">
        <v>3208</v>
      </c>
      <c r="G151" t="s">
        <v>74</v>
      </c>
      <c r="H151" t="s">
        <v>74</v>
      </c>
      <c r="I151" t="s">
        <v>3209</v>
      </c>
      <c r="J151" t="s">
        <v>3210</v>
      </c>
      <c r="K151" t="s">
        <v>74</v>
      </c>
      <c r="L151" t="s">
        <v>74</v>
      </c>
      <c r="M151" t="s">
        <v>78</v>
      </c>
      <c r="N151" t="s">
        <v>79</v>
      </c>
      <c r="O151" t="s">
        <v>74</v>
      </c>
      <c r="P151" t="s">
        <v>74</v>
      </c>
      <c r="Q151" t="s">
        <v>74</v>
      </c>
      <c r="R151" t="s">
        <v>74</v>
      </c>
      <c r="S151" t="s">
        <v>74</v>
      </c>
      <c r="T151" t="s">
        <v>3211</v>
      </c>
      <c r="U151" t="s">
        <v>3212</v>
      </c>
      <c r="V151" t="s">
        <v>3213</v>
      </c>
      <c r="W151" t="s">
        <v>3214</v>
      </c>
      <c r="X151" t="s">
        <v>3215</v>
      </c>
      <c r="Y151" t="s">
        <v>3216</v>
      </c>
      <c r="Z151" t="s">
        <v>3217</v>
      </c>
      <c r="AA151" t="s">
        <v>3218</v>
      </c>
      <c r="AB151" t="s">
        <v>74</v>
      </c>
      <c r="AC151" t="s">
        <v>3219</v>
      </c>
      <c r="AD151" t="s">
        <v>3220</v>
      </c>
      <c r="AE151" t="s">
        <v>3221</v>
      </c>
      <c r="AF151" t="s">
        <v>74</v>
      </c>
      <c r="AG151">
        <v>36</v>
      </c>
      <c r="AH151">
        <v>6</v>
      </c>
      <c r="AI151">
        <v>6</v>
      </c>
      <c r="AJ151">
        <v>2</v>
      </c>
      <c r="AK151">
        <v>17</v>
      </c>
      <c r="AL151" t="s">
        <v>281</v>
      </c>
      <c r="AM151" t="s">
        <v>228</v>
      </c>
      <c r="AN151" t="s">
        <v>282</v>
      </c>
      <c r="AO151" t="s">
        <v>3222</v>
      </c>
      <c r="AP151" t="s">
        <v>3223</v>
      </c>
      <c r="AQ151" t="s">
        <v>74</v>
      </c>
      <c r="AR151" t="s">
        <v>3224</v>
      </c>
      <c r="AS151" t="s">
        <v>3225</v>
      </c>
      <c r="AT151" t="s">
        <v>2387</v>
      </c>
      <c r="AU151">
        <v>2021</v>
      </c>
      <c r="AV151">
        <v>236</v>
      </c>
      <c r="AW151" t="s">
        <v>74</v>
      </c>
      <c r="AX151" t="s">
        <v>74</v>
      </c>
      <c r="AY151" t="s">
        <v>74</v>
      </c>
      <c r="AZ151" t="s">
        <v>74</v>
      </c>
      <c r="BA151" t="s">
        <v>74</v>
      </c>
      <c r="BB151" t="s">
        <v>74</v>
      </c>
      <c r="BC151" t="s">
        <v>74</v>
      </c>
      <c r="BD151">
        <v>109408</v>
      </c>
      <c r="BE151" t="s">
        <v>3226</v>
      </c>
      <c r="BF151" t="str">
        <f>HYPERLINK("http://dx.doi.org/10.1016/j.oceaneng.2021.109408","http://dx.doi.org/10.1016/j.oceaneng.2021.109408")</f>
        <v>http://dx.doi.org/10.1016/j.oceaneng.2021.109408</v>
      </c>
      <c r="BG151" t="s">
        <v>74</v>
      </c>
      <c r="BH151" t="s">
        <v>2323</v>
      </c>
      <c r="BI151">
        <v>12</v>
      </c>
      <c r="BJ151" t="s">
        <v>3227</v>
      </c>
      <c r="BK151" t="s">
        <v>128</v>
      </c>
      <c r="BL151" t="s">
        <v>1625</v>
      </c>
      <c r="BM151" t="s">
        <v>3228</v>
      </c>
      <c r="BN151" t="s">
        <v>74</v>
      </c>
      <c r="BO151" t="s">
        <v>74</v>
      </c>
      <c r="BP151" t="s">
        <v>74</v>
      </c>
      <c r="BQ151" t="s">
        <v>74</v>
      </c>
      <c r="BR151" t="s">
        <v>102</v>
      </c>
      <c r="BS151" t="s">
        <v>3229</v>
      </c>
      <c r="BT151" t="str">
        <f>HYPERLINK("https%3A%2F%2Fwww.webofscience.com%2Fwos%2Fwoscc%2Ffull-record%2FWOS:000696705900005","View Full Record in Web of Science")</f>
        <v>View Full Record in Web of Science</v>
      </c>
    </row>
    <row r="152" spans="1:72" x14ac:dyDescent="0.15">
      <c r="A152" t="s">
        <v>72</v>
      </c>
      <c r="B152" t="s">
        <v>3230</v>
      </c>
      <c r="C152" t="s">
        <v>74</v>
      </c>
      <c r="D152" t="s">
        <v>74</v>
      </c>
      <c r="E152" t="s">
        <v>74</v>
      </c>
      <c r="F152" t="s">
        <v>3231</v>
      </c>
      <c r="G152" t="s">
        <v>74</v>
      </c>
      <c r="H152" t="s">
        <v>74</v>
      </c>
      <c r="I152" t="s">
        <v>3232</v>
      </c>
      <c r="J152" t="s">
        <v>107</v>
      </c>
      <c r="K152" t="s">
        <v>74</v>
      </c>
      <c r="L152" t="s">
        <v>74</v>
      </c>
      <c r="M152" t="s">
        <v>78</v>
      </c>
      <c r="N152" t="s">
        <v>79</v>
      </c>
      <c r="O152" t="s">
        <v>74</v>
      </c>
      <c r="P152" t="s">
        <v>74</v>
      </c>
      <c r="Q152" t="s">
        <v>74</v>
      </c>
      <c r="R152" t="s">
        <v>74</v>
      </c>
      <c r="S152" t="s">
        <v>74</v>
      </c>
      <c r="T152" t="s">
        <v>3233</v>
      </c>
      <c r="U152" t="s">
        <v>3234</v>
      </c>
      <c r="V152" t="s">
        <v>3235</v>
      </c>
      <c r="W152" t="s">
        <v>3236</v>
      </c>
      <c r="X152" t="s">
        <v>3237</v>
      </c>
      <c r="Y152" t="s">
        <v>3238</v>
      </c>
      <c r="Z152" t="s">
        <v>3239</v>
      </c>
      <c r="AA152" t="s">
        <v>3240</v>
      </c>
      <c r="AB152" t="s">
        <v>3241</v>
      </c>
      <c r="AC152" t="s">
        <v>3242</v>
      </c>
      <c r="AD152" t="s">
        <v>3243</v>
      </c>
      <c r="AE152" t="s">
        <v>3244</v>
      </c>
      <c r="AF152" t="s">
        <v>74</v>
      </c>
      <c r="AG152">
        <v>98</v>
      </c>
      <c r="AH152">
        <v>5</v>
      </c>
      <c r="AI152">
        <v>7</v>
      </c>
      <c r="AJ152">
        <v>3</v>
      </c>
      <c r="AK152">
        <v>24</v>
      </c>
      <c r="AL152" t="s">
        <v>119</v>
      </c>
      <c r="AM152" t="s">
        <v>120</v>
      </c>
      <c r="AN152" t="s">
        <v>121</v>
      </c>
      <c r="AO152" t="s">
        <v>74</v>
      </c>
      <c r="AP152" t="s">
        <v>122</v>
      </c>
      <c r="AQ152" t="s">
        <v>74</v>
      </c>
      <c r="AR152" t="s">
        <v>123</v>
      </c>
      <c r="AS152" t="s">
        <v>124</v>
      </c>
      <c r="AT152" t="s">
        <v>3245</v>
      </c>
      <c r="AU152">
        <v>2021</v>
      </c>
      <c r="AV152">
        <v>8</v>
      </c>
      <c r="AW152" t="s">
        <v>74</v>
      </c>
      <c r="AX152" t="s">
        <v>74</v>
      </c>
      <c r="AY152" t="s">
        <v>74</v>
      </c>
      <c r="AZ152" t="s">
        <v>74</v>
      </c>
      <c r="BA152" t="s">
        <v>74</v>
      </c>
      <c r="BB152" t="s">
        <v>74</v>
      </c>
      <c r="BC152" t="s">
        <v>74</v>
      </c>
      <c r="BD152">
        <v>697400</v>
      </c>
      <c r="BE152" t="s">
        <v>3246</v>
      </c>
      <c r="BF152" t="str">
        <f>HYPERLINK("http://dx.doi.org/10.3389/fmars.2021.697400","http://dx.doi.org/10.3389/fmars.2021.697400")</f>
        <v>http://dx.doi.org/10.3389/fmars.2021.697400</v>
      </c>
      <c r="BG152" t="s">
        <v>74</v>
      </c>
      <c r="BH152" t="s">
        <v>74</v>
      </c>
      <c r="BI152">
        <v>15</v>
      </c>
      <c r="BJ152" t="s">
        <v>127</v>
      </c>
      <c r="BK152" t="s">
        <v>128</v>
      </c>
      <c r="BL152" t="s">
        <v>129</v>
      </c>
      <c r="BM152" t="s">
        <v>3247</v>
      </c>
      <c r="BN152" t="s">
        <v>74</v>
      </c>
      <c r="BO152" t="s">
        <v>3248</v>
      </c>
      <c r="BP152" t="s">
        <v>74</v>
      </c>
      <c r="BQ152" t="s">
        <v>74</v>
      </c>
      <c r="BR152" t="s">
        <v>102</v>
      </c>
      <c r="BS152" t="s">
        <v>3249</v>
      </c>
      <c r="BT152" t="str">
        <f>HYPERLINK("https%3A%2F%2Fwww.webofscience.com%2Fwos%2Fwoscc%2Ffull-record%2FWOS:000684306800001","View Full Record in Web of Science")</f>
        <v>View Full Record in Web of Science</v>
      </c>
    </row>
    <row r="153" spans="1:72" x14ac:dyDescent="0.15">
      <c r="A153" t="s">
        <v>72</v>
      </c>
      <c r="B153" t="s">
        <v>3250</v>
      </c>
      <c r="C153" t="s">
        <v>74</v>
      </c>
      <c r="D153" t="s">
        <v>74</v>
      </c>
      <c r="E153" t="s">
        <v>74</v>
      </c>
      <c r="F153" t="s">
        <v>3251</v>
      </c>
      <c r="G153" t="s">
        <v>74</v>
      </c>
      <c r="H153" t="s">
        <v>74</v>
      </c>
      <c r="I153" t="s">
        <v>3252</v>
      </c>
      <c r="J153" t="s">
        <v>3253</v>
      </c>
      <c r="K153" t="s">
        <v>74</v>
      </c>
      <c r="L153" t="s">
        <v>74</v>
      </c>
      <c r="M153" t="s">
        <v>78</v>
      </c>
      <c r="N153" t="s">
        <v>79</v>
      </c>
      <c r="O153" t="s">
        <v>74</v>
      </c>
      <c r="P153" t="s">
        <v>74</v>
      </c>
      <c r="Q153" t="s">
        <v>74</v>
      </c>
      <c r="R153" t="s">
        <v>74</v>
      </c>
      <c r="S153" t="s">
        <v>74</v>
      </c>
      <c r="T153" t="s">
        <v>74</v>
      </c>
      <c r="U153" t="s">
        <v>3254</v>
      </c>
      <c r="V153" t="s">
        <v>3255</v>
      </c>
      <c r="W153" t="s">
        <v>3256</v>
      </c>
      <c r="X153" t="s">
        <v>3257</v>
      </c>
      <c r="Y153" t="s">
        <v>3258</v>
      </c>
      <c r="Z153" t="s">
        <v>3259</v>
      </c>
      <c r="AA153" t="s">
        <v>3260</v>
      </c>
      <c r="AB153" t="s">
        <v>3261</v>
      </c>
      <c r="AC153" t="s">
        <v>3262</v>
      </c>
      <c r="AD153" t="s">
        <v>3263</v>
      </c>
      <c r="AE153" t="s">
        <v>3264</v>
      </c>
      <c r="AF153" t="s">
        <v>74</v>
      </c>
      <c r="AG153">
        <v>68</v>
      </c>
      <c r="AH153">
        <v>2</v>
      </c>
      <c r="AI153">
        <v>2</v>
      </c>
      <c r="AJ153">
        <v>0</v>
      </c>
      <c r="AK153">
        <v>15</v>
      </c>
      <c r="AL153" t="s">
        <v>3265</v>
      </c>
      <c r="AM153" t="s">
        <v>2239</v>
      </c>
      <c r="AN153" t="s">
        <v>3266</v>
      </c>
      <c r="AO153" t="s">
        <v>3267</v>
      </c>
      <c r="AP153" t="s">
        <v>3268</v>
      </c>
      <c r="AQ153" t="s">
        <v>74</v>
      </c>
      <c r="AR153" t="s">
        <v>3269</v>
      </c>
      <c r="AS153" t="s">
        <v>3270</v>
      </c>
      <c r="AT153" t="s">
        <v>3271</v>
      </c>
      <c r="AU153">
        <v>2021</v>
      </c>
      <c r="AV153">
        <v>23</v>
      </c>
      <c r="AW153">
        <v>9</v>
      </c>
      <c r="AX153" t="s">
        <v>74</v>
      </c>
      <c r="AY153" t="s">
        <v>74</v>
      </c>
      <c r="AZ153" t="s">
        <v>74</v>
      </c>
      <c r="BA153" t="s">
        <v>74</v>
      </c>
      <c r="BB153">
        <v>1362</v>
      </c>
      <c r="BC153">
        <v>1375</v>
      </c>
      <c r="BD153" t="s">
        <v>74</v>
      </c>
      <c r="BE153" t="s">
        <v>3272</v>
      </c>
      <c r="BF153" t="str">
        <f>HYPERLINK("http://dx.doi.org/10.1039/d1em00233c","http://dx.doi.org/10.1039/d1em00233c")</f>
        <v>http://dx.doi.org/10.1039/d1em00233c</v>
      </c>
      <c r="BG153" t="s">
        <v>74</v>
      </c>
      <c r="BH153" t="s">
        <v>2323</v>
      </c>
      <c r="BI153">
        <v>14</v>
      </c>
      <c r="BJ153" t="s">
        <v>3273</v>
      </c>
      <c r="BK153" t="s">
        <v>128</v>
      </c>
      <c r="BL153" t="s">
        <v>3274</v>
      </c>
      <c r="BM153" t="s">
        <v>3275</v>
      </c>
      <c r="BN153">
        <v>34351327</v>
      </c>
      <c r="BO153" t="s">
        <v>74</v>
      </c>
      <c r="BP153" t="s">
        <v>74</v>
      </c>
      <c r="BQ153" t="s">
        <v>74</v>
      </c>
      <c r="BR153" t="s">
        <v>102</v>
      </c>
      <c r="BS153" t="s">
        <v>3276</v>
      </c>
      <c r="BT153" t="str">
        <f>HYPERLINK("https%3A%2F%2Fwww.webofscience.com%2Fwos%2Fwoscc%2Ffull-record%2FWOS:000681400400001","View Full Record in Web of Science")</f>
        <v>View Full Record in Web of Science</v>
      </c>
    </row>
    <row r="154" spans="1:72" x14ac:dyDescent="0.15">
      <c r="A154" t="s">
        <v>72</v>
      </c>
      <c r="B154" t="s">
        <v>3277</v>
      </c>
      <c r="C154" t="s">
        <v>74</v>
      </c>
      <c r="D154" t="s">
        <v>74</v>
      </c>
      <c r="E154" t="s">
        <v>74</v>
      </c>
      <c r="F154" t="s">
        <v>3278</v>
      </c>
      <c r="G154" t="s">
        <v>74</v>
      </c>
      <c r="H154" t="s">
        <v>74</v>
      </c>
      <c r="I154" t="s">
        <v>3279</v>
      </c>
      <c r="J154" t="s">
        <v>269</v>
      </c>
      <c r="K154" t="s">
        <v>74</v>
      </c>
      <c r="L154" t="s">
        <v>74</v>
      </c>
      <c r="M154" t="s">
        <v>78</v>
      </c>
      <c r="N154" t="s">
        <v>79</v>
      </c>
      <c r="O154" t="s">
        <v>74</v>
      </c>
      <c r="P154" t="s">
        <v>74</v>
      </c>
      <c r="Q154" t="s">
        <v>74</v>
      </c>
      <c r="R154" t="s">
        <v>74</v>
      </c>
      <c r="S154" t="s">
        <v>74</v>
      </c>
      <c r="T154" t="s">
        <v>3280</v>
      </c>
      <c r="U154" t="s">
        <v>3281</v>
      </c>
      <c r="V154" t="s">
        <v>3282</v>
      </c>
      <c r="W154" t="s">
        <v>3283</v>
      </c>
      <c r="X154" t="s">
        <v>3284</v>
      </c>
      <c r="Y154" t="s">
        <v>3285</v>
      </c>
      <c r="Z154" t="s">
        <v>3286</v>
      </c>
      <c r="AA154" t="s">
        <v>3287</v>
      </c>
      <c r="AB154" t="s">
        <v>3288</v>
      </c>
      <c r="AC154" t="s">
        <v>3289</v>
      </c>
      <c r="AD154" t="s">
        <v>3290</v>
      </c>
      <c r="AE154" t="s">
        <v>3291</v>
      </c>
      <c r="AF154" t="s">
        <v>74</v>
      </c>
      <c r="AG154">
        <v>59</v>
      </c>
      <c r="AH154">
        <v>14</v>
      </c>
      <c r="AI154">
        <v>16</v>
      </c>
      <c r="AJ154">
        <v>2</v>
      </c>
      <c r="AK154">
        <v>26</v>
      </c>
      <c r="AL154" t="s">
        <v>281</v>
      </c>
      <c r="AM154" t="s">
        <v>228</v>
      </c>
      <c r="AN154" t="s">
        <v>282</v>
      </c>
      <c r="AO154" t="s">
        <v>283</v>
      </c>
      <c r="AP154" t="s">
        <v>284</v>
      </c>
      <c r="AQ154" t="s">
        <v>74</v>
      </c>
      <c r="AR154" t="s">
        <v>285</v>
      </c>
      <c r="AS154" t="s">
        <v>286</v>
      </c>
      <c r="AT154" t="s">
        <v>2387</v>
      </c>
      <c r="AU154">
        <v>2021</v>
      </c>
      <c r="AV154">
        <v>309</v>
      </c>
      <c r="AW154" t="s">
        <v>74</v>
      </c>
      <c r="AX154" t="s">
        <v>74</v>
      </c>
      <c r="AY154" t="s">
        <v>74</v>
      </c>
      <c r="AZ154" t="s">
        <v>74</v>
      </c>
      <c r="BA154" t="s">
        <v>74</v>
      </c>
      <c r="BB154">
        <v>313</v>
      </c>
      <c r="BC154">
        <v>328</v>
      </c>
      <c r="BD154" t="s">
        <v>74</v>
      </c>
      <c r="BE154" t="s">
        <v>3292</v>
      </c>
      <c r="BF154" t="str">
        <f>HYPERLINK("http://dx.doi.org/10.1016/j.gca.2021.06.038","http://dx.doi.org/10.1016/j.gca.2021.06.038")</f>
        <v>http://dx.doi.org/10.1016/j.gca.2021.06.038</v>
      </c>
      <c r="BG154" t="s">
        <v>74</v>
      </c>
      <c r="BH154" t="s">
        <v>2323</v>
      </c>
      <c r="BI154">
        <v>16</v>
      </c>
      <c r="BJ154" t="s">
        <v>289</v>
      </c>
      <c r="BK154" t="s">
        <v>128</v>
      </c>
      <c r="BL154" t="s">
        <v>289</v>
      </c>
      <c r="BM154" t="s">
        <v>3293</v>
      </c>
      <c r="BN154" t="s">
        <v>74</v>
      </c>
      <c r="BO154" t="s">
        <v>291</v>
      </c>
      <c r="BP154" t="s">
        <v>74</v>
      </c>
      <c r="BQ154" t="s">
        <v>74</v>
      </c>
      <c r="BR154" t="s">
        <v>102</v>
      </c>
      <c r="BS154" t="s">
        <v>3294</v>
      </c>
      <c r="BT154" t="str">
        <f>HYPERLINK("https%3A%2F%2Fwww.webofscience.com%2Fwos%2Fwoscc%2Ffull-record%2FWOS:000680530800004","View Full Record in Web of Science")</f>
        <v>View Full Record in Web of Science</v>
      </c>
    </row>
    <row r="155" spans="1:72" x14ac:dyDescent="0.15">
      <c r="A155" t="s">
        <v>72</v>
      </c>
      <c r="B155" t="s">
        <v>3295</v>
      </c>
      <c r="C155" t="s">
        <v>74</v>
      </c>
      <c r="D155" t="s">
        <v>74</v>
      </c>
      <c r="E155" t="s">
        <v>74</v>
      </c>
      <c r="F155" t="s">
        <v>3296</v>
      </c>
      <c r="G155" t="s">
        <v>74</v>
      </c>
      <c r="H155" t="s">
        <v>74</v>
      </c>
      <c r="I155" t="s">
        <v>3297</v>
      </c>
      <c r="J155" t="s">
        <v>107</v>
      </c>
      <c r="K155" t="s">
        <v>74</v>
      </c>
      <c r="L155" t="s">
        <v>74</v>
      </c>
      <c r="M155" t="s">
        <v>78</v>
      </c>
      <c r="N155" t="s">
        <v>3298</v>
      </c>
      <c r="O155" t="s">
        <v>74</v>
      </c>
      <c r="P155" t="s">
        <v>74</v>
      </c>
      <c r="Q155" t="s">
        <v>74</v>
      </c>
      <c r="R155" t="s">
        <v>74</v>
      </c>
      <c r="S155" t="s">
        <v>74</v>
      </c>
      <c r="T155" t="s">
        <v>3299</v>
      </c>
      <c r="U155" t="s">
        <v>74</v>
      </c>
      <c r="V155" t="s">
        <v>74</v>
      </c>
      <c r="W155" t="s">
        <v>3300</v>
      </c>
      <c r="X155" t="s">
        <v>3301</v>
      </c>
      <c r="Y155" t="s">
        <v>3302</v>
      </c>
      <c r="Z155" t="s">
        <v>3303</v>
      </c>
      <c r="AA155" t="s">
        <v>74</v>
      </c>
      <c r="AB155" t="s">
        <v>74</v>
      </c>
      <c r="AC155" t="s">
        <v>74</v>
      </c>
      <c r="AD155" t="s">
        <v>74</v>
      </c>
      <c r="AE155" t="s">
        <v>74</v>
      </c>
      <c r="AF155" t="s">
        <v>74</v>
      </c>
      <c r="AG155">
        <v>1</v>
      </c>
      <c r="AH155">
        <v>0</v>
      </c>
      <c r="AI155">
        <v>0</v>
      </c>
      <c r="AJ155">
        <v>2</v>
      </c>
      <c r="AK155">
        <v>11</v>
      </c>
      <c r="AL155" t="s">
        <v>119</v>
      </c>
      <c r="AM155" t="s">
        <v>120</v>
      </c>
      <c r="AN155" t="s">
        <v>121</v>
      </c>
      <c r="AO155" t="s">
        <v>74</v>
      </c>
      <c r="AP155" t="s">
        <v>122</v>
      </c>
      <c r="AQ155" t="s">
        <v>74</v>
      </c>
      <c r="AR155" t="s">
        <v>123</v>
      </c>
      <c r="AS155" t="s">
        <v>124</v>
      </c>
      <c r="AT155" t="s">
        <v>3245</v>
      </c>
      <c r="AU155">
        <v>2021</v>
      </c>
      <c r="AV155">
        <v>8</v>
      </c>
      <c r="AW155" t="s">
        <v>74</v>
      </c>
      <c r="AX155" t="s">
        <v>74</v>
      </c>
      <c r="AY155" t="s">
        <v>74</v>
      </c>
      <c r="AZ155" t="s">
        <v>74</v>
      </c>
      <c r="BA155" t="s">
        <v>74</v>
      </c>
      <c r="BB155" t="s">
        <v>74</v>
      </c>
      <c r="BC155" t="s">
        <v>74</v>
      </c>
      <c r="BD155">
        <v>733768</v>
      </c>
      <c r="BE155" t="s">
        <v>3304</v>
      </c>
      <c r="BF155" t="str">
        <f>HYPERLINK("http://dx.doi.org/10.3389/fmars.2021.733768","http://dx.doi.org/10.3389/fmars.2021.733768")</f>
        <v>http://dx.doi.org/10.3389/fmars.2021.733768</v>
      </c>
      <c r="BG155" t="s">
        <v>74</v>
      </c>
      <c r="BH155" t="s">
        <v>74</v>
      </c>
      <c r="BI155">
        <v>1</v>
      </c>
      <c r="BJ155" t="s">
        <v>127</v>
      </c>
      <c r="BK155" t="s">
        <v>128</v>
      </c>
      <c r="BL155" t="s">
        <v>129</v>
      </c>
      <c r="BM155" t="s">
        <v>3305</v>
      </c>
      <c r="BN155" t="s">
        <v>74</v>
      </c>
      <c r="BO155" t="s">
        <v>638</v>
      </c>
      <c r="BP155" t="s">
        <v>74</v>
      </c>
      <c r="BQ155" t="s">
        <v>74</v>
      </c>
      <c r="BR155" t="s">
        <v>102</v>
      </c>
      <c r="BS155" t="s">
        <v>3306</v>
      </c>
      <c r="BT155" t="str">
        <f>HYPERLINK("https%3A%2F%2Fwww.webofscience.com%2Fwos%2Fwoscc%2Ffull-record%2FWOS:000680016100001","View Full Record in Web of Science")</f>
        <v>View Full Record in Web of Science</v>
      </c>
    </row>
    <row r="156" spans="1:72" x14ac:dyDescent="0.15">
      <c r="A156" t="s">
        <v>72</v>
      </c>
      <c r="B156" t="s">
        <v>3307</v>
      </c>
      <c r="C156" t="s">
        <v>74</v>
      </c>
      <c r="D156" t="s">
        <v>74</v>
      </c>
      <c r="E156" t="s">
        <v>74</v>
      </c>
      <c r="F156" t="s">
        <v>3308</v>
      </c>
      <c r="G156" t="s">
        <v>74</v>
      </c>
      <c r="H156" t="s">
        <v>74</v>
      </c>
      <c r="I156" t="s">
        <v>3309</v>
      </c>
      <c r="J156" t="s">
        <v>3310</v>
      </c>
      <c r="K156" t="s">
        <v>74</v>
      </c>
      <c r="L156" t="s">
        <v>74</v>
      </c>
      <c r="M156" t="s">
        <v>78</v>
      </c>
      <c r="N156" t="s">
        <v>79</v>
      </c>
      <c r="O156" t="s">
        <v>74</v>
      </c>
      <c r="P156" t="s">
        <v>74</v>
      </c>
      <c r="Q156" t="s">
        <v>74</v>
      </c>
      <c r="R156" t="s">
        <v>74</v>
      </c>
      <c r="S156" t="s">
        <v>74</v>
      </c>
      <c r="T156" t="s">
        <v>74</v>
      </c>
      <c r="U156" t="s">
        <v>3311</v>
      </c>
      <c r="V156" t="s">
        <v>3312</v>
      </c>
      <c r="W156" t="s">
        <v>3313</v>
      </c>
      <c r="X156" t="s">
        <v>3314</v>
      </c>
      <c r="Y156" t="s">
        <v>3315</v>
      </c>
      <c r="Z156" t="s">
        <v>3316</v>
      </c>
      <c r="AA156" t="s">
        <v>3317</v>
      </c>
      <c r="AB156" t="s">
        <v>3318</v>
      </c>
      <c r="AC156" t="s">
        <v>3319</v>
      </c>
      <c r="AD156" t="s">
        <v>3320</v>
      </c>
      <c r="AE156" t="s">
        <v>3321</v>
      </c>
      <c r="AF156" t="s">
        <v>74</v>
      </c>
      <c r="AG156">
        <v>89</v>
      </c>
      <c r="AH156">
        <v>3</v>
      </c>
      <c r="AI156">
        <v>4</v>
      </c>
      <c r="AJ156">
        <v>2</v>
      </c>
      <c r="AK156">
        <v>23</v>
      </c>
      <c r="AL156" t="s">
        <v>143</v>
      </c>
      <c r="AM156" t="s">
        <v>144</v>
      </c>
      <c r="AN156" t="s">
        <v>145</v>
      </c>
      <c r="AO156" t="s">
        <v>3322</v>
      </c>
      <c r="AP156" t="s">
        <v>3323</v>
      </c>
      <c r="AQ156" t="s">
        <v>74</v>
      </c>
      <c r="AR156" t="s">
        <v>3310</v>
      </c>
      <c r="AS156" t="s">
        <v>3324</v>
      </c>
      <c r="AT156" t="s">
        <v>3245</v>
      </c>
      <c r="AU156">
        <v>2021</v>
      </c>
      <c r="AV156">
        <v>18</v>
      </c>
      <c r="AW156">
        <v>14</v>
      </c>
      <c r="AX156" t="s">
        <v>74</v>
      </c>
      <c r="AY156" t="s">
        <v>74</v>
      </c>
      <c r="AZ156" t="s">
        <v>74</v>
      </c>
      <c r="BA156" t="s">
        <v>74</v>
      </c>
      <c r="BB156">
        <v>4305</v>
      </c>
      <c r="BC156">
        <v>4320</v>
      </c>
      <c r="BD156" t="s">
        <v>74</v>
      </c>
      <c r="BE156" t="s">
        <v>3325</v>
      </c>
      <c r="BF156" t="str">
        <f>HYPERLINK("http://dx.doi.org/10.5194/bg-18-4305-2021","http://dx.doi.org/10.5194/bg-18-4305-2021")</f>
        <v>http://dx.doi.org/10.5194/bg-18-4305-2021</v>
      </c>
      <c r="BG156" t="s">
        <v>74</v>
      </c>
      <c r="BH156" t="s">
        <v>74</v>
      </c>
      <c r="BI156">
        <v>16</v>
      </c>
      <c r="BJ156" t="s">
        <v>3326</v>
      </c>
      <c r="BK156" t="s">
        <v>128</v>
      </c>
      <c r="BL156" t="s">
        <v>3327</v>
      </c>
      <c r="BM156" t="s">
        <v>3328</v>
      </c>
      <c r="BN156" t="s">
        <v>74</v>
      </c>
      <c r="BO156" t="s">
        <v>2789</v>
      </c>
      <c r="BP156" t="s">
        <v>74</v>
      </c>
      <c r="BQ156" t="s">
        <v>74</v>
      </c>
      <c r="BR156" t="s">
        <v>102</v>
      </c>
      <c r="BS156" t="s">
        <v>3329</v>
      </c>
      <c r="BT156" t="str">
        <f>HYPERLINK("https%3A%2F%2Fwww.webofscience.com%2Fwos%2Fwoscc%2Ffull-record%2FWOS:000677579200001","View Full Record in Web of Science")</f>
        <v>View Full Record in Web of Science</v>
      </c>
    </row>
    <row r="157" spans="1:72" x14ac:dyDescent="0.15">
      <c r="A157" t="s">
        <v>72</v>
      </c>
      <c r="B157" t="s">
        <v>3330</v>
      </c>
      <c r="C157" t="s">
        <v>74</v>
      </c>
      <c r="D157" t="s">
        <v>74</v>
      </c>
      <c r="E157" t="s">
        <v>74</v>
      </c>
      <c r="F157" t="s">
        <v>3331</v>
      </c>
      <c r="G157" t="s">
        <v>74</v>
      </c>
      <c r="H157" t="s">
        <v>74</v>
      </c>
      <c r="I157" t="s">
        <v>3332</v>
      </c>
      <c r="J157" t="s">
        <v>2396</v>
      </c>
      <c r="K157" t="s">
        <v>74</v>
      </c>
      <c r="L157" t="s">
        <v>74</v>
      </c>
      <c r="M157" t="s">
        <v>78</v>
      </c>
      <c r="N157" t="s">
        <v>79</v>
      </c>
      <c r="O157" t="s">
        <v>74</v>
      </c>
      <c r="P157" t="s">
        <v>74</v>
      </c>
      <c r="Q157" t="s">
        <v>74</v>
      </c>
      <c r="R157" t="s">
        <v>74</v>
      </c>
      <c r="S157" t="s">
        <v>74</v>
      </c>
      <c r="T157" t="s">
        <v>74</v>
      </c>
      <c r="U157" t="s">
        <v>3333</v>
      </c>
      <c r="V157" t="s">
        <v>3334</v>
      </c>
      <c r="W157" t="s">
        <v>3335</v>
      </c>
      <c r="X157" t="s">
        <v>3336</v>
      </c>
      <c r="Y157" t="s">
        <v>3337</v>
      </c>
      <c r="Z157" t="s">
        <v>3338</v>
      </c>
      <c r="AA157" t="s">
        <v>3339</v>
      </c>
      <c r="AB157" t="s">
        <v>3340</v>
      </c>
      <c r="AC157" t="s">
        <v>3341</v>
      </c>
      <c r="AD157" t="s">
        <v>3342</v>
      </c>
      <c r="AE157" t="s">
        <v>3343</v>
      </c>
      <c r="AF157" t="s">
        <v>74</v>
      </c>
      <c r="AG157">
        <v>72</v>
      </c>
      <c r="AH157">
        <v>11</v>
      </c>
      <c r="AI157">
        <v>12</v>
      </c>
      <c r="AJ157">
        <v>1</v>
      </c>
      <c r="AK157">
        <v>15</v>
      </c>
      <c r="AL157" t="s">
        <v>143</v>
      </c>
      <c r="AM157" t="s">
        <v>144</v>
      </c>
      <c r="AN157" t="s">
        <v>145</v>
      </c>
      <c r="AO157" t="s">
        <v>2408</v>
      </c>
      <c r="AP157" t="s">
        <v>2409</v>
      </c>
      <c r="AQ157" t="s">
        <v>74</v>
      </c>
      <c r="AR157" t="s">
        <v>2396</v>
      </c>
      <c r="AS157" t="s">
        <v>2410</v>
      </c>
      <c r="AT157" t="s">
        <v>3245</v>
      </c>
      <c r="AU157">
        <v>2021</v>
      </c>
      <c r="AV157">
        <v>15</v>
      </c>
      <c r="AW157">
        <v>7</v>
      </c>
      <c r="AX157" t="s">
        <v>74</v>
      </c>
      <c r="AY157" t="s">
        <v>74</v>
      </c>
      <c r="AZ157" t="s">
        <v>74</v>
      </c>
      <c r="BA157" t="s">
        <v>74</v>
      </c>
      <c r="BB157">
        <v>3443</v>
      </c>
      <c r="BC157">
        <v>3458</v>
      </c>
      <c r="BD157" t="s">
        <v>74</v>
      </c>
      <c r="BE157" t="s">
        <v>3344</v>
      </c>
      <c r="BF157" t="str">
        <f>HYPERLINK("http://dx.doi.org/10.5194/tc-15-3443-2021","http://dx.doi.org/10.5194/tc-15-3443-2021")</f>
        <v>http://dx.doi.org/10.5194/tc-15-3443-2021</v>
      </c>
      <c r="BG157" t="s">
        <v>74</v>
      </c>
      <c r="BH157" t="s">
        <v>74</v>
      </c>
      <c r="BI157">
        <v>16</v>
      </c>
      <c r="BJ157" t="s">
        <v>151</v>
      </c>
      <c r="BK157" t="s">
        <v>128</v>
      </c>
      <c r="BL157" t="s">
        <v>152</v>
      </c>
      <c r="BM157" t="s">
        <v>3345</v>
      </c>
      <c r="BN157" t="s">
        <v>74</v>
      </c>
      <c r="BO157" t="s">
        <v>3248</v>
      </c>
      <c r="BP157" t="s">
        <v>74</v>
      </c>
      <c r="BQ157" t="s">
        <v>74</v>
      </c>
      <c r="BR157" t="s">
        <v>102</v>
      </c>
      <c r="BS157" t="s">
        <v>3346</v>
      </c>
      <c r="BT157" t="str">
        <f>HYPERLINK("https%3A%2F%2Fwww.webofscience.com%2Fwos%2Fwoscc%2Ffull-record%2FWOS:000677579900001","View Full Record in Web of Science")</f>
        <v>View Full Record in Web of Science</v>
      </c>
    </row>
    <row r="158" spans="1:72" x14ac:dyDescent="0.15">
      <c r="A158" t="s">
        <v>72</v>
      </c>
      <c r="B158" t="s">
        <v>3347</v>
      </c>
      <c r="C158" t="s">
        <v>74</v>
      </c>
      <c r="D158" t="s">
        <v>74</v>
      </c>
      <c r="E158" t="s">
        <v>74</v>
      </c>
      <c r="F158" t="s">
        <v>3348</v>
      </c>
      <c r="G158" t="s">
        <v>74</v>
      </c>
      <c r="H158" t="s">
        <v>74</v>
      </c>
      <c r="I158" t="s">
        <v>3349</v>
      </c>
      <c r="J158" t="s">
        <v>3350</v>
      </c>
      <c r="K158" t="s">
        <v>74</v>
      </c>
      <c r="L158" t="s">
        <v>74</v>
      </c>
      <c r="M158" t="s">
        <v>78</v>
      </c>
      <c r="N158" t="s">
        <v>79</v>
      </c>
      <c r="O158" t="s">
        <v>74</v>
      </c>
      <c r="P158" t="s">
        <v>74</v>
      </c>
      <c r="Q158" t="s">
        <v>74</v>
      </c>
      <c r="R158" t="s">
        <v>74</v>
      </c>
      <c r="S158" t="s">
        <v>74</v>
      </c>
      <c r="T158" t="s">
        <v>3351</v>
      </c>
      <c r="U158" t="s">
        <v>3352</v>
      </c>
      <c r="V158" t="s">
        <v>3353</v>
      </c>
      <c r="W158" t="s">
        <v>3354</v>
      </c>
      <c r="X158" t="s">
        <v>3355</v>
      </c>
      <c r="Y158" t="s">
        <v>3356</v>
      </c>
      <c r="Z158" t="s">
        <v>3357</v>
      </c>
      <c r="AA158" t="s">
        <v>3358</v>
      </c>
      <c r="AB158" t="s">
        <v>3359</v>
      </c>
      <c r="AC158" t="s">
        <v>3360</v>
      </c>
      <c r="AD158" t="s">
        <v>3361</v>
      </c>
      <c r="AE158" t="s">
        <v>3362</v>
      </c>
      <c r="AF158" t="s">
        <v>74</v>
      </c>
      <c r="AG158">
        <v>31</v>
      </c>
      <c r="AH158">
        <v>6</v>
      </c>
      <c r="AI158">
        <v>8</v>
      </c>
      <c r="AJ158">
        <v>12</v>
      </c>
      <c r="AK158">
        <v>55</v>
      </c>
      <c r="AL158" t="s">
        <v>197</v>
      </c>
      <c r="AM158" t="s">
        <v>198</v>
      </c>
      <c r="AN158" t="s">
        <v>199</v>
      </c>
      <c r="AO158" t="s">
        <v>3363</v>
      </c>
      <c r="AP158" t="s">
        <v>3364</v>
      </c>
      <c r="AQ158" t="s">
        <v>74</v>
      </c>
      <c r="AR158" t="s">
        <v>3365</v>
      </c>
      <c r="AS158" t="s">
        <v>3366</v>
      </c>
      <c r="AT158" t="s">
        <v>402</v>
      </c>
      <c r="AU158">
        <v>2021</v>
      </c>
      <c r="AV158">
        <v>45</v>
      </c>
      <c r="AW158">
        <v>9</v>
      </c>
      <c r="AX158" t="s">
        <v>74</v>
      </c>
      <c r="AY158" t="s">
        <v>74</v>
      </c>
      <c r="AZ158" t="s">
        <v>74</v>
      </c>
      <c r="BA158" t="s">
        <v>74</v>
      </c>
      <c r="BB158" t="s">
        <v>74</v>
      </c>
      <c r="BC158" t="s">
        <v>74</v>
      </c>
      <c r="BD158" t="s">
        <v>3367</v>
      </c>
      <c r="BE158" t="s">
        <v>3368</v>
      </c>
      <c r="BF158" t="str">
        <f>HYPERLINK("http://dx.doi.org/10.1111/jfbc.13872","http://dx.doi.org/10.1111/jfbc.13872")</f>
        <v>http://dx.doi.org/10.1111/jfbc.13872</v>
      </c>
      <c r="BG158" t="s">
        <v>74</v>
      </c>
      <c r="BH158" t="s">
        <v>2323</v>
      </c>
      <c r="BI158">
        <v>8</v>
      </c>
      <c r="BJ158" t="s">
        <v>3369</v>
      </c>
      <c r="BK158" t="s">
        <v>128</v>
      </c>
      <c r="BL158" t="s">
        <v>3369</v>
      </c>
      <c r="BM158" t="s">
        <v>3370</v>
      </c>
      <c r="BN158">
        <v>34296449</v>
      </c>
      <c r="BO158" t="s">
        <v>638</v>
      </c>
      <c r="BP158" t="s">
        <v>74</v>
      </c>
      <c r="BQ158" t="s">
        <v>74</v>
      </c>
      <c r="BR158" t="s">
        <v>102</v>
      </c>
      <c r="BS158" t="s">
        <v>3371</v>
      </c>
      <c r="BT158" t="str">
        <f>HYPERLINK("https%3A%2F%2Fwww.webofscience.com%2Fwos%2Fwoscc%2Ffull-record%2FWOS:000678086700001","View Full Record in Web of Science")</f>
        <v>View Full Record in Web of Science</v>
      </c>
    </row>
    <row r="159" spans="1:72" x14ac:dyDescent="0.15">
      <c r="A159" t="s">
        <v>72</v>
      </c>
      <c r="B159" t="s">
        <v>3372</v>
      </c>
      <c r="C159" t="s">
        <v>74</v>
      </c>
      <c r="D159" t="s">
        <v>74</v>
      </c>
      <c r="E159" t="s">
        <v>74</v>
      </c>
      <c r="F159" t="s">
        <v>3373</v>
      </c>
      <c r="G159" t="s">
        <v>74</v>
      </c>
      <c r="H159" t="s">
        <v>74</v>
      </c>
      <c r="I159" t="s">
        <v>3374</v>
      </c>
      <c r="J159" t="s">
        <v>3375</v>
      </c>
      <c r="K159" t="s">
        <v>74</v>
      </c>
      <c r="L159" t="s">
        <v>74</v>
      </c>
      <c r="M159" t="s">
        <v>78</v>
      </c>
      <c r="N159" t="s">
        <v>79</v>
      </c>
      <c r="O159" t="s">
        <v>74</v>
      </c>
      <c r="P159" t="s">
        <v>74</v>
      </c>
      <c r="Q159" t="s">
        <v>74</v>
      </c>
      <c r="R159" t="s">
        <v>74</v>
      </c>
      <c r="S159" t="s">
        <v>74</v>
      </c>
      <c r="T159" t="s">
        <v>3376</v>
      </c>
      <c r="U159" t="s">
        <v>3377</v>
      </c>
      <c r="V159" t="s">
        <v>3378</v>
      </c>
      <c r="W159" t="s">
        <v>3379</v>
      </c>
      <c r="X159" t="s">
        <v>3380</v>
      </c>
      <c r="Y159" t="s">
        <v>3381</v>
      </c>
      <c r="Z159" t="s">
        <v>3382</v>
      </c>
      <c r="AA159" t="s">
        <v>3383</v>
      </c>
      <c r="AB159" t="s">
        <v>3384</v>
      </c>
      <c r="AC159" t="s">
        <v>3385</v>
      </c>
      <c r="AD159" t="s">
        <v>3386</v>
      </c>
      <c r="AE159" t="s">
        <v>3387</v>
      </c>
      <c r="AF159" t="s">
        <v>74</v>
      </c>
      <c r="AG159">
        <v>100</v>
      </c>
      <c r="AH159">
        <v>7</v>
      </c>
      <c r="AI159">
        <v>7</v>
      </c>
      <c r="AJ159">
        <v>1</v>
      </c>
      <c r="AK159">
        <v>13</v>
      </c>
      <c r="AL159" t="s">
        <v>197</v>
      </c>
      <c r="AM159" t="s">
        <v>198</v>
      </c>
      <c r="AN159" t="s">
        <v>199</v>
      </c>
      <c r="AO159" t="s">
        <v>3388</v>
      </c>
      <c r="AP159" t="s">
        <v>3389</v>
      </c>
      <c r="AQ159" t="s">
        <v>74</v>
      </c>
      <c r="AR159" t="s">
        <v>3390</v>
      </c>
      <c r="AS159" t="s">
        <v>3391</v>
      </c>
      <c r="AT159" t="s">
        <v>204</v>
      </c>
      <c r="AU159">
        <v>2021</v>
      </c>
      <c r="AV159">
        <v>57</v>
      </c>
      <c r="AW159">
        <v>5</v>
      </c>
      <c r="AX159" t="s">
        <v>74</v>
      </c>
      <c r="AY159" t="s">
        <v>74</v>
      </c>
      <c r="AZ159" t="s">
        <v>74</v>
      </c>
      <c r="BA159" t="s">
        <v>74</v>
      </c>
      <c r="BB159">
        <v>1619</v>
      </c>
      <c r="BC159">
        <v>1635</v>
      </c>
      <c r="BD159" t="s">
        <v>74</v>
      </c>
      <c r="BE159" t="s">
        <v>3392</v>
      </c>
      <c r="BF159" t="str">
        <f>HYPERLINK("http://dx.doi.org/10.1111/jpy.13190","http://dx.doi.org/10.1111/jpy.13190")</f>
        <v>http://dx.doi.org/10.1111/jpy.13190</v>
      </c>
      <c r="BG159" t="s">
        <v>74</v>
      </c>
      <c r="BH159" t="s">
        <v>2323</v>
      </c>
      <c r="BI159">
        <v>17</v>
      </c>
      <c r="BJ159" t="s">
        <v>3393</v>
      </c>
      <c r="BK159" t="s">
        <v>128</v>
      </c>
      <c r="BL159" t="s">
        <v>3393</v>
      </c>
      <c r="BM159" t="s">
        <v>3394</v>
      </c>
      <c r="BN159">
        <v>34153125</v>
      </c>
      <c r="BO159" t="s">
        <v>74</v>
      </c>
      <c r="BP159" t="s">
        <v>74</v>
      </c>
      <c r="BQ159" t="s">
        <v>74</v>
      </c>
      <c r="BR159" t="s">
        <v>102</v>
      </c>
      <c r="BS159" t="s">
        <v>3395</v>
      </c>
      <c r="BT159" t="str">
        <f>HYPERLINK("https%3A%2F%2Fwww.webofscience.com%2Fwos%2Fwoscc%2Ffull-record%2FWOS:000676115400001","View Full Record in Web of Science")</f>
        <v>View Full Record in Web of Science</v>
      </c>
    </row>
    <row r="160" spans="1:72" x14ac:dyDescent="0.15">
      <c r="A160" t="s">
        <v>72</v>
      </c>
      <c r="B160" t="s">
        <v>3396</v>
      </c>
      <c r="C160" t="s">
        <v>74</v>
      </c>
      <c r="D160" t="s">
        <v>74</v>
      </c>
      <c r="E160" t="s">
        <v>74</v>
      </c>
      <c r="F160" t="s">
        <v>3397</v>
      </c>
      <c r="G160" t="s">
        <v>74</v>
      </c>
      <c r="H160" t="s">
        <v>74</v>
      </c>
      <c r="I160" t="s">
        <v>3398</v>
      </c>
      <c r="J160" t="s">
        <v>107</v>
      </c>
      <c r="K160" t="s">
        <v>74</v>
      </c>
      <c r="L160" t="s">
        <v>74</v>
      </c>
      <c r="M160" t="s">
        <v>78</v>
      </c>
      <c r="N160" t="s">
        <v>79</v>
      </c>
      <c r="O160" t="s">
        <v>74</v>
      </c>
      <c r="P160" t="s">
        <v>74</v>
      </c>
      <c r="Q160" t="s">
        <v>74</v>
      </c>
      <c r="R160" t="s">
        <v>74</v>
      </c>
      <c r="S160" t="s">
        <v>74</v>
      </c>
      <c r="T160" t="s">
        <v>3399</v>
      </c>
      <c r="U160" t="s">
        <v>3400</v>
      </c>
      <c r="V160" t="s">
        <v>3401</v>
      </c>
      <c r="W160" t="s">
        <v>3402</v>
      </c>
      <c r="X160" t="s">
        <v>3403</v>
      </c>
      <c r="Y160" t="s">
        <v>3404</v>
      </c>
      <c r="Z160" t="s">
        <v>3405</v>
      </c>
      <c r="AA160" t="s">
        <v>3406</v>
      </c>
      <c r="AB160" t="s">
        <v>3407</v>
      </c>
      <c r="AC160" t="s">
        <v>3408</v>
      </c>
      <c r="AD160" t="s">
        <v>3409</v>
      </c>
      <c r="AE160" t="s">
        <v>3410</v>
      </c>
      <c r="AF160" t="s">
        <v>74</v>
      </c>
      <c r="AG160">
        <v>106</v>
      </c>
      <c r="AH160">
        <v>6</v>
      </c>
      <c r="AI160">
        <v>6</v>
      </c>
      <c r="AJ160">
        <v>0</v>
      </c>
      <c r="AK160">
        <v>26</v>
      </c>
      <c r="AL160" t="s">
        <v>119</v>
      </c>
      <c r="AM160" t="s">
        <v>120</v>
      </c>
      <c r="AN160" t="s">
        <v>121</v>
      </c>
      <c r="AO160" t="s">
        <v>74</v>
      </c>
      <c r="AP160" t="s">
        <v>122</v>
      </c>
      <c r="AQ160" t="s">
        <v>74</v>
      </c>
      <c r="AR160" t="s">
        <v>123</v>
      </c>
      <c r="AS160" t="s">
        <v>124</v>
      </c>
      <c r="AT160" t="s">
        <v>3245</v>
      </c>
      <c r="AU160">
        <v>2021</v>
      </c>
      <c r="AV160">
        <v>8</v>
      </c>
      <c r="AW160" t="s">
        <v>74</v>
      </c>
      <c r="AX160" t="s">
        <v>74</v>
      </c>
      <c r="AY160" t="s">
        <v>74</v>
      </c>
      <c r="AZ160" t="s">
        <v>74</v>
      </c>
      <c r="BA160" t="s">
        <v>74</v>
      </c>
      <c r="BB160" t="s">
        <v>74</v>
      </c>
      <c r="BC160" t="s">
        <v>74</v>
      </c>
      <c r="BD160">
        <v>629706</v>
      </c>
      <c r="BE160" t="s">
        <v>3411</v>
      </c>
      <c r="BF160" t="str">
        <f>HYPERLINK("http://dx.doi.org/10.3389/fmars.2021.629706","http://dx.doi.org/10.3389/fmars.2021.629706")</f>
        <v>http://dx.doi.org/10.3389/fmars.2021.629706</v>
      </c>
      <c r="BG160" t="s">
        <v>74</v>
      </c>
      <c r="BH160" t="s">
        <v>74</v>
      </c>
      <c r="BI160">
        <v>19</v>
      </c>
      <c r="BJ160" t="s">
        <v>127</v>
      </c>
      <c r="BK160" t="s">
        <v>128</v>
      </c>
      <c r="BL160" t="s">
        <v>129</v>
      </c>
      <c r="BM160" t="s">
        <v>3412</v>
      </c>
      <c r="BN160" t="s">
        <v>74</v>
      </c>
      <c r="BO160" t="s">
        <v>311</v>
      </c>
      <c r="BP160" t="s">
        <v>74</v>
      </c>
      <c r="BQ160" t="s">
        <v>74</v>
      </c>
      <c r="BR160" t="s">
        <v>102</v>
      </c>
      <c r="BS160" t="s">
        <v>3413</v>
      </c>
      <c r="BT160" t="str">
        <f>HYPERLINK("https%3A%2F%2Fwww.webofscience.com%2Fwos%2Fwoscc%2Ffull-record%2FWOS:000708380900001","View Full Record in Web of Science")</f>
        <v>View Full Record in Web of Science</v>
      </c>
    </row>
    <row r="161" spans="1:72" x14ac:dyDescent="0.15">
      <c r="A161" t="s">
        <v>72</v>
      </c>
      <c r="B161" t="s">
        <v>3414</v>
      </c>
      <c r="C161" t="s">
        <v>74</v>
      </c>
      <c r="D161" t="s">
        <v>74</v>
      </c>
      <c r="E161" t="s">
        <v>74</v>
      </c>
      <c r="F161" t="s">
        <v>3415</v>
      </c>
      <c r="G161" t="s">
        <v>74</v>
      </c>
      <c r="H161" t="s">
        <v>74</v>
      </c>
      <c r="I161" t="s">
        <v>3416</v>
      </c>
      <c r="J161" t="s">
        <v>3417</v>
      </c>
      <c r="K161" t="s">
        <v>74</v>
      </c>
      <c r="L161" t="s">
        <v>74</v>
      </c>
      <c r="M161" t="s">
        <v>78</v>
      </c>
      <c r="N161" t="s">
        <v>79</v>
      </c>
      <c r="O161" t="s">
        <v>74</v>
      </c>
      <c r="P161" t="s">
        <v>74</v>
      </c>
      <c r="Q161" t="s">
        <v>74</v>
      </c>
      <c r="R161" t="s">
        <v>74</v>
      </c>
      <c r="S161" t="s">
        <v>74</v>
      </c>
      <c r="T161" t="s">
        <v>3418</v>
      </c>
      <c r="U161" t="s">
        <v>3419</v>
      </c>
      <c r="V161" t="s">
        <v>3420</v>
      </c>
      <c r="W161" t="s">
        <v>3421</v>
      </c>
      <c r="X161" t="s">
        <v>3422</v>
      </c>
      <c r="Y161" t="s">
        <v>3423</v>
      </c>
      <c r="Z161" t="s">
        <v>3424</v>
      </c>
      <c r="AA161" t="s">
        <v>3425</v>
      </c>
      <c r="AB161" t="s">
        <v>3426</v>
      </c>
      <c r="AC161" t="s">
        <v>3427</v>
      </c>
      <c r="AD161" t="s">
        <v>3428</v>
      </c>
      <c r="AE161" t="s">
        <v>3429</v>
      </c>
      <c r="AF161" t="s">
        <v>74</v>
      </c>
      <c r="AG161">
        <v>97</v>
      </c>
      <c r="AH161">
        <v>6</v>
      </c>
      <c r="AI161">
        <v>6</v>
      </c>
      <c r="AJ161">
        <v>0</v>
      </c>
      <c r="AK161">
        <v>8</v>
      </c>
      <c r="AL161" t="s">
        <v>2190</v>
      </c>
      <c r="AM161" t="s">
        <v>228</v>
      </c>
      <c r="AN161" t="s">
        <v>2191</v>
      </c>
      <c r="AO161" t="s">
        <v>3430</v>
      </c>
      <c r="AP161" t="s">
        <v>3431</v>
      </c>
      <c r="AQ161" t="s">
        <v>74</v>
      </c>
      <c r="AR161" t="s">
        <v>3432</v>
      </c>
      <c r="AS161" t="s">
        <v>3433</v>
      </c>
      <c r="AT161" t="s">
        <v>3434</v>
      </c>
      <c r="AU161">
        <v>2021</v>
      </c>
      <c r="AV161">
        <v>43</v>
      </c>
      <c r="AW161">
        <v>4</v>
      </c>
      <c r="AX161" t="s">
        <v>74</v>
      </c>
      <c r="AY161" t="s">
        <v>74</v>
      </c>
      <c r="AZ161" t="s">
        <v>74</v>
      </c>
      <c r="BA161" t="s">
        <v>74</v>
      </c>
      <c r="BB161">
        <v>610</v>
      </c>
      <c r="BC161">
        <v>623</v>
      </c>
      <c r="BD161" t="s">
        <v>74</v>
      </c>
      <c r="BE161" t="s">
        <v>3435</v>
      </c>
      <c r="BF161" t="str">
        <f>HYPERLINK("http://dx.doi.org/10.1093/plankt/fbab047","http://dx.doi.org/10.1093/plankt/fbab047")</f>
        <v>http://dx.doi.org/10.1093/plankt/fbab047</v>
      </c>
      <c r="BG161" t="s">
        <v>74</v>
      </c>
      <c r="BH161" t="s">
        <v>2323</v>
      </c>
      <c r="BI161">
        <v>14</v>
      </c>
      <c r="BJ161" t="s">
        <v>3436</v>
      </c>
      <c r="BK161" t="s">
        <v>128</v>
      </c>
      <c r="BL161" t="s">
        <v>3436</v>
      </c>
      <c r="BM161" t="s">
        <v>3437</v>
      </c>
      <c r="BN161" t="s">
        <v>74</v>
      </c>
      <c r="BO161" t="s">
        <v>661</v>
      </c>
      <c r="BP161" t="s">
        <v>74</v>
      </c>
      <c r="BQ161" t="s">
        <v>74</v>
      </c>
      <c r="BR161" t="s">
        <v>102</v>
      </c>
      <c r="BS161" t="s">
        <v>3438</v>
      </c>
      <c r="BT161" t="str">
        <f>HYPERLINK("https%3A%2F%2Fwww.webofscience.com%2Fwos%2Fwoscc%2Ffull-record%2FWOS:000684173000008","View Full Record in Web of Science")</f>
        <v>View Full Record in Web of Science</v>
      </c>
    </row>
    <row r="162" spans="1:72" x14ac:dyDescent="0.15">
      <c r="A162" t="s">
        <v>72</v>
      </c>
      <c r="B162" t="s">
        <v>3439</v>
      </c>
      <c r="C162" t="s">
        <v>74</v>
      </c>
      <c r="D162" t="s">
        <v>74</v>
      </c>
      <c r="E162" t="s">
        <v>74</v>
      </c>
      <c r="F162" t="s">
        <v>3440</v>
      </c>
      <c r="G162" t="s">
        <v>74</v>
      </c>
      <c r="H162" t="s">
        <v>74</v>
      </c>
      <c r="I162" t="s">
        <v>3441</v>
      </c>
      <c r="J162" t="s">
        <v>3442</v>
      </c>
      <c r="K162" t="s">
        <v>74</v>
      </c>
      <c r="L162" t="s">
        <v>74</v>
      </c>
      <c r="M162" t="s">
        <v>78</v>
      </c>
      <c r="N162" t="s">
        <v>79</v>
      </c>
      <c r="O162" t="s">
        <v>74</v>
      </c>
      <c r="P162" t="s">
        <v>74</v>
      </c>
      <c r="Q162" t="s">
        <v>74</v>
      </c>
      <c r="R162" t="s">
        <v>74</v>
      </c>
      <c r="S162" t="s">
        <v>74</v>
      </c>
      <c r="T162" t="s">
        <v>74</v>
      </c>
      <c r="U162" t="s">
        <v>3443</v>
      </c>
      <c r="V162" t="s">
        <v>3444</v>
      </c>
      <c r="W162" t="s">
        <v>3445</v>
      </c>
      <c r="X162" t="s">
        <v>3446</v>
      </c>
      <c r="Y162" t="s">
        <v>3447</v>
      </c>
      <c r="Z162" t="s">
        <v>3448</v>
      </c>
      <c r="AA162" t="s">
        <v>3449</v>
      </c>
      <c r="AB162" t="s">
        <v>3450</v>
      </c>
      <c r="AC162" t="s">
        <v>3451</v>
      </c>
      <c r="AD162" t="s">
        <v>3451</v>
      </c>
      <c r="AE162" t="s">
        <v>3452</v>
      </c>
      <c r="AF162" t="s">
        <v>74</v>
      </c>
      <c r="AG162">
        <v>116</v>
      </c>
      <c r="AH162">
        <v>24</v>
      </c>
      <c r="AI162">
        <v>25</v>
      </c>
      <c r="AJ162">
        <v>1</v>
      </c>
      <c r="AK162">
        <v>14</v>
      </c>
      <c r="AL162" t="s">
        <v>3453</v>
      </c>
      <c r="AM162" t="s">
        <v>368</v>
      </c>
      <c r="AN162" t="s">
        <v>3454</v>
      </c>
      <c r="AO162" t="s">
        <v>3455</v>
      </c>
      <c r="AP162" t="s">
        <v>3456</v>
      </c>
      <c r="AQ162" t="s">
        <v>74</v>
      </c>
      <c r="AR162" t="s">
        <v>3457</v>
      </c>
      <c r="AS162" t="s">
        <v>3458</v>
      </c>
      <c r="AT162" t="s">
        <v>3459</v>
      </c>
      <c r="AU162">
        <v>2022</v>
      </c>
      <c r="AV162">
        <v>16</v>
      </c>
      <c r="AW162">
        <v>1</v>
      </c>
      <c r="AX162" t="s">
        <v>74</v>
      </c>
      <c r="AY162" t="s">
        <v>74</v>
      </c>
      <c r="AZ162" t="s">
        <v>74</v>
      </c>
      <c r="BA162" t="s">
        <v>74</v>
      </c>
      <c r="BB162">
        <v>221</v>
      </c>
      <c r="BC162">
        <v>232</v>
      </c>
      <c r="BD162" t="s">
        <v>74</v>
      </c>
      <c r="BE162" t="s">
        <v>3460</v>
      </c>
      <c r="BF162" t="str">
        <f>HYPERLINK("http://dx.doi.org/10.1038/s41396-021-01030-9","http://dx.doi.org/10.1038/s41396-021-01030-9")</f>
        <v>http://dx.doi.org/10.1038/s41396-021-01030-9</v>
      </c>
      <c r="BG162" t="s">
        <v>74</v>
      </c>
      <c r="BH162" t="s">
        <v>2323</v>
      </c>
      <c r="BI162">
        <v>12</v>
      </c>
      <c r="BJ162" t="s">
        <v>3461</v>
      </c>
      <c r="BK162" t="s">
        <v>128</v>
      </c>
      <c r="BL162" t="s">
        <v>3462</v>
      </c>
      <c r="BM162" t="s">
        <v>3463</v>
      </c>
      <c r="BN162">
        <v>34294882</v>
      </c>
      <c r="BO162" t="s">
        <v>1154</v>
      </c>
      <c r="BP162" t="s">
        <v>74</v>
      </c>
      <c r="BQ162" t="s">
        <v>74</v>
      </c>
      <c r="BR162" t="s">
        <v>102</v>
      </c>
      <c r="BS162" t="s">
        <v>3464</v>
      </c>
      <c r="BT162" t="str">
        <f>HYPERLINK("https%3A%2F%2Fwww.webofscience.com%2Fwos%2Fwoscc%2Ffull-record%2FWOS:000675794200003","View Full Record in Web of Science")</f>
        <v>View Full Record in Web of Science</v>
      </c>
    </row>
    <row r="163" spans="1:72" x14ac:dyDescent="0.15">
      <c r="A163" t="s">
        <v>72</v>
      </c>
      <c r="B163" t="s">
        <v>3465</v>
      </c>
      <c r="C163" t="s">
        <v>74</v>
      </c>
      <c r="D163" t="s">
        <v>74</v>
      </c>
      <c r="E163" t="s">
        <v>74</v>
      </c>
      <c r="F163" t="s">
        <v>3466</v>
      </c>
      <c r="G163" t="s">
        <v>74</v>
      </c>
      <c r="H163" t="s">
        <v>74</v>
      </c>
      <c r="I163" t="s">
        <v>3467</v>
      </c>
      <c r="J163" t="s">
        <v>3468</v>
      </c>
      <c r="K163" t="s">
        <v>74</v>
      </c>
      <c r="L163" t="s">
        <v>74</v>
      </c>
      <c r="M163" t="s">
        <v>78</v>
      </c>
      <c r="N163" t="s">
        <v>79</v>
      </c>
      <c r="O163" t="s">
        <v>74</v>
      </c>
      <c r="P163" t="s">
        <v>74</v>
      </c>
      <c r="Q163" t="s">
        <v>74</v>
      </c>
      <c r="R163" t="s">
        <v>74</v>
      </c>
      <c r="S163" t="s">
        <v>74</v>
      </c>
      <c r="T163" t="s">
        <v>3469</v>
      </c>
      <c r="U163" t="s">
        <v>3470</v>
      </c>
      <c r="V163" t="s">
        <v>3471</v>
      </c>
      <c r="W163" t="s">
        <v>3472</v>
      </c>
      <c r="X163" t="s">
        <v>3473</v>
      </c>
      <c r="Y163" t="s">
        <v>3474</v>
      </c>
      <c r="Z163" t="s">
        <v>3475</v>
      </c>
      <c r="AA163" t="s">
        <v>3476</v>
      </c>
      <c r="AB163" t="s">
        <v>3477</v>
      </c>
      <c r="AC163" t="s">
        <v>3478</v>
      </c>
      <c r="AD163" t="s">
        <v>3478</v>
      </c>
      <c r="AE163" t="s">
        <v>3479</v>
      </c>
      <c r="AF163" t="s">
        <v>74</v>
      </c>
      <c r="AG163">
        <v>25</v>
      </c>
      <c r="AH163">
        <v>6</v>
      </c>
      <c r="AI163">
        <v>6</v>
      </c>
      <c r="AJ163">
        <v>1</v>
      </c>
      <c r="AK163">
        <v>5</v>
      </c>
      <c r="AL163" t="s">
        <v>89</v>
      </c>
      <c r="AM163" t="s">
        <v>90</v>
      </c>
      <c r="AN163" t="s">
        <v>91</v>
      </c>
      <c r="AO163" t="s">
        <v>3480</v>
      </c>
      <c r="AP163" t="s">
        <v>3481</v>
      </c>
      <c r="AQ163" t="s">
        <v>74</v>
      </c>
      <c r="AR163" t="s">
        <v>3482</v>
      </c>
      <c r="AS163" t="s">
        <v>3483</v>
      </c>
      <c r="AT163" t="s">
        <v>96</v>
      </c>
      <c r="AU163">
        <v>2021</v>
      </c>
      <c r="AV163">
        <v>93</v>
      </c>
      <c r="AW163" t="s">
        <v>74</v>
      </c>
      <c r="AX163" t="s">
        <v>74</v>
      </c>
      <c r="AY163" t="s">
        <v>74</v>
      </c>
      <c r="AZ163" t="s">
        <v>74</v>
      </c>
      <c r="BA163" t="s">
        <v>74</v>
      </c>
      <c r="BB163" t="s">
        <v>74</v>
      </c>
      <c r="BC163" t="s">
        <v>74</v>
      </c>
      <c r="BD163">
        <v>102130</v>
      </c>
      <c r="BE163" t="s">
        <v>3484</v>
      </c>
      <c r="BF163" t="str">
        <f>HYPERLINK("http://dx.doi.org/10.1016/j.strusafe.2021.102130","http://dx.doi.org/10.1016/j.strusafe.2021.102130")</f>
        <v>http://dx.doi.org/10.1016/j.strusafe.2021.102130</v>
      </c>
      <c r="BG163" t="s">
        <v>74</v>
      </c>
      <c r="BH163" t="s">
        <v>2323</v>
      </c>
      <c r="BI163">
        <v>19</v>
      </c>
      <c r="BJ163" t="s">
        <v>3485</v>
      </c>
      <c r="BK163" t="s">
        <v>128</v>
      </c>
      <c r="BL163" t="s">
        <v>2974</v>
      </c>
      <c r="BM163" t="s">
        <v>3486</v>
      </c>
      <c r="BN163" t="s">
        <v>74</v>
      </c>
      <c r="BO163" t="s">
        <v>2514</v>
      </c>
      <c r="BP163" t="s">
        <v>74</v>
      </c>
      <c r="BQ163" t="s">
        <v>74</v>
      </c>
      <c r="BR163" t="s">
        <v>102</v>
      </c>
      <c r="BS163" t="s">
        <v>3487</v>
      </c>
      <c r="BT163" t="str">
        <f>HYPERLINK("https%3A%2F%2Fwww.webofscience.com%2Fwos%2Fwoscc%2Ffull-record%2FWOS:000696955300002","View Full Record in Web of Science")</f>
        <v>View Full Record in Web of Science</v>
      </c>
    </row>
    <row r="164" spans="1:72" x14ac:dyDescent="0.15">
      <c r="A164" t="s">
        <v>72</v>
      </c>
      <c r="B164" t="s">
        <v>3488</v>
      </c>
      <c r="C164" t="s">
        <v>74</v>
      </c>
      <c r="D164" t="s">
        <v>74</v>
      </c>
      <c r="E164" t="s">
        <v>74</v>
      </c>
      <c r="F164" t="s">
        <v>3489</v>
      </c>
      <c r="G164" t="s">
        <v>74</v>
      </c>
      <c r="H164" t="s">
        <v>74</v>
      </c>
      <c r="I164" t="s">
        <v>3490</v>
      </c>
      <c r="J164" t="s">
        <v>3491</v>
      </c>
      <c r="K164" t="s">
        <v>74</v>
      </c>
      <c r="L164" t="s">
        <v>74</v>
      </c>
      <c r="M164" t="s">
        <v>78</v>
      </c>
      <c r="N164" t="s">
        <v>79</v>
      </c>
      <c r="O164" t="s">
        <v>74</v>
      </c>
      <c r="P164" t="s">
        <v>74</v>
      </c>
      <c r="Q164" t="s">
        <v>74</v>
      </c>
      <c r="R164" t="s">
        <v>74</v>
      </c>
      <c r="S164" t="s">
        <v>74</v>
      </c>
      <c r="T164" t="s">
        <v>3492</v>
      </c>
      <c r="U164" t="s">
        <v>3493</v>
      </c>
      <c r="V164" t="s">
        <v>3494</v>
      </c>
      <c r="W164" t="s">
        <v>3495</v>
      </c>
      <c r="X164" t="s">
        <v>3496</v>
      </c>
      <c r="Y164" t="s">
        <v>3497</v>
      </c>
      <c r="Z164" t="s">
        <v>3498</v>
      </c>
      <c r="AA164" t="s">
        <v>3499</v>
      </c>
      <c r="AB164" t="s">
        <v>3500</v>
      </c>
      <c r="AC164" t="s">
        <v>3501</v>
      </c>
      <c r="AD164" t="s">
        <v>3502</v>
      </c>
      <c r="AE164" t="s">
        <v>3503</v>
      </c>
      <c r="AF164" t="s">
        <v>74</v>
      </c>
      <c r="AG164">
        <v>158</v>
      </c>
      <c r="AH164">
        <v>7</v>
      </c>
      <c r="AI164">
        <v>7</v>
      </c>
      <c r="AJ164">
        <v>1</v>
      </c>
      <c r="AK164">
        <v>5</v>
      </c>
      <c r="AL164" t="s">
        <v>89</v>
      </c>
      <c r="AM164" t="s">
        <v>90</v>
      </c>
      <c r="AN164" t="s">
        <v>91</v>
      </c>
      <c r="AO164" t="s">
        <v>3504</v>
      </c>
      <c r="AP164" t="s">
        <v>3505</v>
      </c>
      <c r="AQ164" t="s">
        <v>74</v>
      </c>
      <c r="AR164" t="s">
        <v>3506</v>
      </c>
      <c r="AS164" t="s">
        <v>3507</v>
      </c>
      <c r="AT164" t="s">
        <v>2387</v>
      </c>
      <c r="AU164">
        <v>2021</v>
      </c>
      <c r="AV164">
        <v>578</v>
      </c>
      <c r="AW164" t="s">
        <v>74</v>
      </c>
      <c r="AX164" t="s">
        <v>74</v>
      </c>
      <c r="AY164" t="s">
        <v>74</v>
      </c>
      <c r="AZ164" t="s">
        <v>74</v>
      </c>
      <c r="BA164" t="s">
        <v>74</v>
      </c>
      <c r="BB164" t="s">
        <v>74</v>
      </c>
      <c r="BC164" t="s">
        <v>74</v>
      </c>
      <c r="BD164">
        <v>110567</v>
      </c>
      <c r="BE164" t="s">
        <v>3508</v>
      </c>
      <c r="BF164" t="str">
        <f>HYPERLINK("http://dx.doi.org/10.1016/j.palaeo.2021.110567","http://dx.doi.org/10.1016/j.palaeo.2021.110567")</f>
        <v>http://dx.doi.org/10.1016/j.palaeo.2021.110567</v>
      </c>
      <c r="BG164" t="s">
        <v>74</v>
      </c>
      <c r="BH164" t="s">
        <v>2323</v>
      </c>
      <c r="BI164">
        <v>17</v>
      </c>
      <c r="BJ164" t="s">
        <v>3509</v>
      </c>
      <c r="BK164" t="s">
        <v>128</v>
      </c>
      <c r="BL164" t="s">
        <v>3510</v>
      </c>
      <c r="BM164" t="s">
        <v>3511</v>
      </c>
      <c r="BN164" t="s">
        <v>74</v>
      </c>
      <c r="BO164" t="s">
        <v>74</v>
      </c>
      <c r="BP164" t="s">
        <v>74</v>
      </c>
      <c r="BQ164" t="s">
        <v>74</v>
      </c>
      <c r="BR164" t="s">
        <v>102</v>
      </c>
      <c r="BS164" t="s">
        <v>3512</v>
      </c>
      <c r="BT164" t="str">
        <f>HYPERLINK("https%3A%2F%2Fwww.webofscience.com%2Fwos%2Fwoscc%2Ffull-record%2FWOS:000684182500007","View Full Record in Web of Science")</f>
        <v>View Full Record in Web of Science</v>
      </c>
    </row>
    <row r="165" spans="1:72" x14ac:dyDescent="0.15">
      <c r="A165" t="s">
        <v>72</v>
      </c>
      <c r="B165" t="s">
        <v>3513</v>
      </c>
      <c r="C165" t="s">
        <v>74</v>
      </c>
      <c r="D165" t="s">
        <v>74</v>
      </c>
      <c r="E165" t="s">
        <v>74</v>
      </c>
      <c r="F165" t="s">
        <v>3514</v>
      </c>
      <c r="G165" t="s">
        <v>74</v>
      </c>
      <c r="H165" t="s">
        <v>74</v>
      </c>
      <c r="I165" t="s">
        <v>3515</v>
      </c>
      <c r="J165" t="s">
        <v>3516</v>
      </c>
      <c r="K165" t="s">
        <v>74</v>
      </c>
      <c r="L165" t="s">
        <v>74</v>
      </c>
      <c r="M165" t="s">
        <v>78</v>
      </c>
      <c r="N165" t="s">
        <v>644</v>
      </c>
      <c r="O165" t="s">
        <v>74</v>
      </c>
      <c r="P165" t="s">
        <v>74</v>
      </c>
      <c r="Q165" t="s">
        <v>74</v>
      </c>
      <c r="R165" t="s">
        <v>74</v>
      </c>
      <c r="S165" t="s">
        <v>74</v>
      </c>
      <c r="T165" t="s">
        <v>74</v>
      </c>
      <c r="U165" t="s">
        <v>3517</v>
      </c>
      <c r="V165" t="s">
        <v>74</v>
      </c>
      <c r="W165" t="s">
        <v>3518</v>
      </c>
      <c r="X165" t="s">
        <v>3519</v>
      </c>
      <c r="Y165" t="s">
        <v>3520</v>
      </c>
      <c r="Z165" t="s">
        <v>3521</v>
      </c>
      <c r="AA165" t="s">
        <v>3522</v>
      </c>
      <c r="AB165" t="s">
        <v>3523</v>
      </c>
      <c r="AC165" t="s">
        <v>3524</v>
      </c>
      <c r="AD165" t="s">
        <v>3525</v>
      </c>
      <c r="AE165" t="s">
        <v>74</v>
      </c>
      <c r="AF165" t="s">
        <v>74</v>
      </c>
      <c r="AG165">
        <v>72</v>
      </c>
      <c r="AH165">
        <v>1</v>
      </c>
      <c r="AI165">
        <v>1</v>
      </c>
      <c r="AJ165">
        <v>0</v>
      </c>
      <c r="AK165">
        <v>15</v>
      </c>
      <c r="AL165" t="s">
        <v>3526</v>
      </c>
      <c r="AM165" t="s">
        <v>650</v>
      </c>
      <c r="AN165" t="s">
        <v>3527</v>
      </c>
      <c r="AO165" t="s">
        <v>3528</v>
      </c>
      <c r="AP165" t="s">
        <v>3529</v>
      </c>
      <c r="AQ165" t="s">
        <v>74</v>
      </c>
      <c r="AR165" t="s">
        <v>3530</v>
      </c>
      <c r="AS165" t="s">
        <v>3531</v>
      </c>
      <c r="AT165" t="s">
        <v>204</v>
      </c>
      <c r="AU165">
        <v>2021</v>
      </c>
      <c r="AV165">
        <v>260</v>
      </c>
      <c r="AW165" t="s">
        <v>74</v>
      </c>
      <c r="AX165" t="s">
        <v>74</v>
      </c>
      <c r="AY165" t="s">
        <v>74</v>
      </c>
      <c r="AZ165" t="s">
        <v>74</v>
      </c>
      <c r="BA165" t="s">
        <v>74</v>
      </c>
      <c r="BB165" t="s">
        <v>74</v>
      </c>
      <c r="BC165" t="s">
        <v>74</v>
      </c>
      <c r="BD165">
        <v>111037</v>
      </c>
      <c r="BE165" t="s">
        <v>3532</v>
      </c>
      <c r="BF165" t="str">
        <f>HYPERLINK("http://dx.doi.org/10.1016/j.cbpa.2021.111037","http://dx.doi.org/10.1016/j.cbpa.2021.111037")</f>
        <v>http://dx.doi.org/10.1016/j.cbpa.2021.111037</v>
      </c>
      <c r="BG165" t="s">
        <v>74</v>
      </c>
      <c r="BH165" t="s">
        <v>2323</v>
      </c>
      <c r="BI165">
        <v>5</v>
      </c>
      <c r="BJ165" t="s">
        <v>3533</v>
      </c>
      <c r="BK165" t="s">
        <v>128</v>
      </c>
      <c r="BL165" t="s">
        <v>3533</v>
      </c>
      <c r="BM165" t="s">
        <v>3534</v>
      </c>
      <c r="BN165">
        <v>34274530</v>
      </c>
      <c r="BO165" t="s">
        <v>74</v>
      </c>
      <c r="BP165" t="s">
        <v>74</v>
      </c>
      <c r="BQ165" t="s">
        <v>74</v>
      </c>
      <c r="BR165" t="s">
        <v>102</v>
      </c>
      <c r="BS165" t="s">
        <v>3535</v>
      </c>
      <c r="BT165" t="str">
        <f>HYPERLINK("https%3A%2F%2Fwww.webofscience.com%2Fwos%2Fwoscc%2Ffull-record%2FWOS:000682522100013","View Full Record in Web of Science")</f>
        <v>View Full Record in Web of Science</v>
      </c>
    </row>
    <row r="166" spans="1:72" x14ac:dyDescent="0.15">
      <c r="A166" t="s">
        <v>72</v>
      </c>
      <c r="B166" t="s">
        <v>3536</v>
      </c>
      <c r="C166" t="s">
        <v>74</v>
      </c>
      <c r="D166" t="s">
        <v>74</v>
      </c>
      <c r="E166" t="s">
        <v>74</v>
      </c>
      <c r="F166" t="s">
        <v>3537</v>
      </c>
      <c r="G166" t="s">
        <v>74</v>
      </c>
      <c r="H166" t="s">
        <v>74</v>
      </c>
      <c r="I166" t="s">
        <v>3538</v>
      </c>
      <c r="J166" t="s">
        <v>3539</v>
      </c>
      <c r="K166" t="s">
        <v>74</v>
      </c>
      <c r="L166" t="s">
        <v>74</v>
      </c>
      <c r="M166" t="s">
        <v>78</v>
      </c>
      <c r="N166" t="s">
        <v>79</v>
      </c>
      <c r="O166" t="s">
        <v>74</v>
      </c>
      <c r="P166" t="s">
        <v>74</v>
      </c>
      <c r="Q166" t="s">
        <v>74</v>
      </c>
      <c r="R166" t="s">
        <v>74</v>
      </c>
      <c r="S166" t="s">
        <v>74</v>
      </c>
      <c r="T166" t="s">
        <v>3540</v>
      </c>
      <c r="U166" t="s">
        <v>3541</v>
      </c>
      <c r="V166" t="s">
        <v>3542</v>
      </c>
      <c r="W166" t="s">
        <v>3543</v>
      </c>
      <c r="X166" t="s">
        <v>3544</v>
      </c>
      <c r="Y166" t="s">
        <v>3545</v>
      </c>
      <c r="Z166" t="s">
        <v>3546</v>
      </c>
      <c r="AA166" t="s">
        <v>3547</v>
      </c>
      <c r="AB166" t="s">
        <v>3548</v>
      </c>
      <c r="AC166" t="s">
        <v>3549</v>
      </c>
      <c r="AD166" t="s">
        <v>3550</v>
      </c>
      <c r="AE166" t="s">
        <v>3551</v>
      </c>
      <c r="AF166" t="s">
        <v>74</v>
      </c>
      <c r="AG166">
        <v>43</v>
      </c>
      <c r="AH166">
        <v>5</v>
      </c>
      <c r="AI166">
        <v>5</v>
      </c>
      <c r="AJ166">
        <v>1</v>
      </c>
      <c r="AK166">
        <v>13</v>
      </c>
      <c r="AL166" t="s">
        <v>119</v>
      </c>
      <c r="AM166" t="s">
        <v>120</v>
      </c>
      <c r="AN166" t="s">
        <v>121</v>
      </c>
      <c r="AO166" t="s">
        <v>74</v>
      </c>
      <c r="AP166" t="s">
        <v>3552</v>
      </c>
      <c r="AQ166" t="s">
        <v>74</v>
      </c>
      <c r="AR166" t="s">
        <v>3553</v>
      </c>
      <c r="AS166" t="s">
        <v>3554</v>
      </c>
      <c r="AT166" t="s">
        <v>3555</v>
      </c>
      <c r="AU166">
        <v>2021</v>
      </c>
      <c r="AV166">
        <v>9</v>
      </c>
      <c r="AW166" t="s">
        <v>74</v>
      </c>
      <c r="AX166" t="s">
        <v>74</v>
      </c>
      <c r="AY166" t="s">
        <v>74</v>
      </c>
      <c r="AZ166" t="s">
        <v>74</v>
      </c>
      <c r="BA166" t="s">
        <v>74</v>
      </c>
      <c r="BB166" t="s">
        <v>74</v>
      </c>
      <c r="BC166" t="s">
        <v>74</v>
      </c>
      <c r="BD166">
        <v>697111</v>
      </c>
      <c r="BE166" t="s">
        <v>3556</v>
      </c>
      <c r="BF166" t="str">
        <f>HYPERLINK("http://dx.doi.org/10.3389/fenvs.2021.697111","http://dx.doi.org/10.3389/fenvs.2021.697111")</f>
        <v>http://dx.doi.org/10.3389/fenvs.2021.697111</v>
      </c>
      <c r="BG166" t="s">
        <v>74</v>
      </c>
      <c r="BH166" t="s">
        <v>74</v>
      </c>
      <c r="BI166">
        <v>13</v>
      </c>
      <c r="BJ166" t="s">
        <v>262</v>
      </c>
      <c r="BK166" t="s">
        <v>128</v>
      </c>
      <c r="BL166" t="s">
        <v>263</v>
      </c>
      <c r="BM166" t="s">
        <v>3557</v>
      </c>
      <c r="BN166" t="s">
        <v>74</v>
      </c>
      <c r="BO166" t="s">
        <v>638</v>
      </c>
      <c r="BP166" t="s">
        <v>74</v>
      </c>
      <c r="BQ166" t="s">
        <v>74</v>
      </c>
      <c r="BR166" t="s">
        <v>102</v>
      </c>
      <c r="BS166" t="s">
        <v>3558</v>
      </c>
      <c r="BT166" t="str">
        <f>HYPERLINK("https%3A%2F%2Fwww.webofscience.com%2Fwos%2Fwoscc%2Ffull-record%2FWOS:000680864500001","View Full Record in Web of Science")</f>
        <v>View Full Record in Web of Science</v>
      </c>
    </row>
    <row r="167" spans="1:72" x14ac:dyDescent="0.15">
      <c r="A167" t="s">
        <v>72</v>
      </c>
      <c r="B167" t="s">
        <v>3559</v>
      </c>
      <c r="C167" t="s">
        <v>74</v>
      </c>
      <c r="D167" t="s">
        <v>74</v>
      </c>
      <c r="E167" t="s">
        <v>74</v>
      </c>
      <c r="F167" t="s">
        <v>3560</v>
      </c>
      <c r="G167" t="s">
        <v>74</v>
      </c>
      <c r="H167" t="s">
        <v>74</v>
      </c>
      <c r="I167" t="s">
        <v>3561</v>
      </c>
      <c r="J167" t="s">
        <v>3562</v>
      </c>
      <c r="K167" t="s">
        <v>74</v>
      </c>
      <c r="L167" t="s">
        <v>74</v>
      </c>
      <c r="M167" t="s">
        <v>78</v>
      </c>
      <c r="N167" t="s">
        <v>79</v>
      </c>
      <c r="O167" t="s">
        <v>74</v>
      </c>
      <c r="P167" t="s">
        <v>74</v>
      </c>
      <c r="Q167" t="s">
        <v>74</v>
      </c>
      <c r="R167" t="s">
        <v>74</v>
      </c>
      <c r="S167" t="s">
        <v>74</v>
      </c>
      <c r="T167" t="s">
        <v>3563</v>
      </c>
      <c r="U167" t="s">
        <v>3564</v>
      </c>
      <c r="V167" t="s">
        <v>3565</v>
      </c>
      <c r="W167" t="s">
        <v>3566</v>
      </c>
      <c r="X167" t="s">
        <v>3567</v>
      </c>
      <c r="Y167" t="s">
        <v>3568</v>
      </c>
      <c r="Z167" t="s">
        <v>3569</v>
      </c>
      <c r="AA167" t="s">
        <v>74</v>
      </c>
      <c r="AB167" t="s">
        <v>3570</v>
      </c>
      <c r="AC167" t="s">
        <v>3571</v>
      </c>
      <c r="AD167" t="s">
        <v>3572</v>
      </c>
      <c r="AE167" t="s">
        <v>3573</v>
      </c>
      <c r="AF167" t="s">
        <v>74</v>
      </c>
      <c r="AG167">
        <v>60</v>
      </c>
      <c r="AH167">
        <v>2</v>
      </c>
      <c r="AI167">
        <v>2</v>
      </c>
      <c r="AJ167">
        <v>0</v>
      </c>
      <c r="AK167">
        <v>9</v>
      </c>
      <c r="AL167" t="s">
        <v>3574</v>
      </c>
      <c r="AM167" t="s">
        <v>3575</v>
      </c>
      <c r="AN167" t="s">
        <v>3576</v>
      </c>
      <c r="AO167" t="s">
        <v>3577</v>
      </c>
      <c r="AP167" t="s">
        <v>3578</v>
      </c>
      <c r="AQ167" t="s">
        <v>74</v>
      </c>
      <c r="AR167" t="s">
        <v>3562</v>
      </c>
      <c r="AS167" t="s">
        <v>3579</v>
      </c>
      <c r="AT167" t="s">
        <v>3555</v>
      </c>
      <c r="AU167">
        <v>2021</v>
      </c>
      <c r="AV167">
        <v>29</v>
      </c>
      <c r="AW167" t="s">
        <v>74</v>
      </c>
      <c r="AX167" t="s">
        <v>74</v>
      </c>
      <c r="AY167" t="s">
        <v>74</v>
      </c>
      <c r="AZ167" t="s">
        <v>74</v>
      </c>
      <c r="BA167" t="s">
        <v>74</v>
      </c>
      <c r="BB167" t="s">
        <v>74</v>
      </c>
      <c r="BC167" t="s">
        <v>74</v>
      </c>
      <c r="BD167" t="s">
        <v>3580</v>
      </c>
      <c r="BE167" t="s">
        <v>3581</v>
      </c>
      <c r="BF167" t="str">
        <f>HYPERLINK("http://dx.doi.org/10.1590/2358-2936e2021031","http://dx.doi.org/10.1590/2358-2936e2021031")</f>
        <v>http://dx.doi.org/10.1590/2358-2936e2021031</v>
      </c>
      <c r="BG167" t="s">
        <v>74</v>
      </c>
      <c r="BH167" t="s">
        <v>74</v>
      </c>
      <c r="BI167">
        <v>10</v>
      </c>
      <c r="BJ167" t="s">
        <v>3582</v>
      </c>
      <c r="BK167" t="s">
        <v>128</v>
      </c>
      <c r="BL167" t="s">
        <v>3582</v>
      </c>
      <c r="BM167" t="s">
        <v>3583</v>
      </c>
      <c r="BN167" t="s">
        <v>74</v>
      </c>
      <c r="BO167" t="s">
        <v>638</v>
      </c>
      <c r="BP167" t="s">
        <v>74</v>
      </c>
      <c r="BQ167" t="s">
        <v>74</v>
      </c>
      <c r="BR167" t="s">
        <v>102</v>
      </c>
      <c r="BS167" t="s">
        <v>3584</v>
      </c>
      <c r="BT167" t="str">
        <f>HYPERLINK("https%3A%2F%2Fwww.webofscience.com%2Fwos%2Fwoscc%2Ffull-record%2FWOS:000680505500001","View Full Record in Web of Science")</f>
        <v>View Full Record in Web of Science</v>
      </c>
    </row>
    <row r="168" spans="1:72" x14ac:dyDescent="0.15">
      <c r="A168" t="s">
        <v>72</v>
      </c>
      <c r="B168" t="s">
        <v>3585</v>
      </c>
      <c r="C168" t="s">
        <v>74</v>
      </c>
      <c r="D168" t="s">
        <v>74</v>
      </c>
      <c r="E168" t="s">
        <v>74</v>
      </c>
      <c r="F168" t="s">
        <v>3586</v>
      </c>
      <c r="G168" t="s">
        <v>74</v>
      </c>
      <c r="H168" t="s">
        <v>74</v>
      </c>
      <c r="I168" t="s">
        <v>3587</v>
      </c>
      <c r="J168" t="s">
        <v>107</v>
      </c>
      <c r="K168" t="s">
        <v>74</v>
      </c>
      <c r="L168" t="s">
        <v>74</v>
      </c>
      <c r="M168" t="s">
        <v>78</v>
      </c>
      <c r="N168" t="s">
        <v>700</v>
      </c>
      <c r="O168" t="s">
        <v>74</v>
      </c>
      <c r="P168" t="s">
        <v>74</v>
      </c>
      <c r="Q168" t="s">
        <v>74</v>
      </c>
      <c r="R168" t="s">
        <v>74</v>
      </c>
      <c r="S168" t="s">
        <v>74</v>
      </c>
      <c r="T168" t="s">
        <v>3588</v>
      </c>
      <c r="U168" t="s">
        <v>3589</v>
      </c>
      <c r="V168" t="s">
        <v>3590</v>
      </c>
      <c r="W168" t="s">
        <v>3591</v>
      </c>
      <c r="X168" t="s">
        <v>3592</v>
      </c>
      <c r="Y168" t="s">
        <v>3593</v>
      </c>
      <c r="Z168" t="s">
        <v>3594</v>
      </c>
      <c r="AA168" t="s">
        <v>3595</v>
      </c>
      <c r="AB168" t="s">
        <v>3596</v>
      </c>
      <c r="AC168" t="s">
        <v>3597</v>
      </c>
      <c r="AD168" t="s">
        <v>3598</v>
      </c>
      <c r="AE168" t="s">
        <v>3599</v>
      </c>
      <c r="AF168" t="s">
        <v>74</v>
      </c>
      <c r="AG168">
        <v>138</v>
      </c>
      <c r="AH168">
        <v>6</v>
      </c>
      <c r="AI168">
        <v>7</v>
      </c>
      <c r="AJ168">
        <v>2</v>
      </c>
      <c r="AK168">
        <v>27</v>
      </c>
      <c r="AL168" t="s">
        <v>119</v>
      </c>
      <c r="AM168" t="s">
        <v>120</v>
      </c>
      <c r="AN168" t="s">
        <v>121</v>
      </c>
      <c r="AO168" t="s">
        <v>74</v>
      </c>
      <c r="AP168" t="s">
        <v>122</v>
      </c>
      <c r="AQ168" t="s">
        <v>74</v>
      </c>
      <c r="AR168" t="s">
        <v>123</v>
      </c>
      <c r="AS168" t="s">
        <v>124</v>
      </c>
      <c r="AT168" t="s">
        <v>3555</v>
      </c>
      <c r="AU168">
        <v>2021</v>
      </c>
      <c r="AV168">
        <v>8</v>
      </c>
      <c r="AW168" t="s">
        <v>74</v>
      </c>
      <c r="AX168" t="s">
        <v>74</v>
      </c>
      <c r="AY168" t="s">
        <v>74</v>
      </c>
      <c r="AZ168" t="s">
        <v>74</v>
      </c>
      <c r="BA168" t="s">
        <v>74</v>
      </c>
      <c r="BB168" t="s">
        <v>74</v>
      </c>
      <c r="BC168" t="s">
        <v>74</v>
      </c>
      <c r="BD168">
        <v>686477</v>
      </c>
      <c r="BE168" t="s">
        <v>3600</v>
      </c>
      <c r="BF168" t="str">
        <f>HYPERLINK("http://dx.doi.org/10.3389/fmars.2021.686477","http://dx.doi.org/10.3389/fmars.2021.686477")</f>
        <v>http://dx.doi.org/10.3389/fmars.2021.686477</v>
      </c>
      <c r="BG168" t="s">
        <v>74</v>
      </c>
      <c r="BH168" t="s">
        <v>74</v>
      </c>
      <c r="BI168">
        <v>15</v>
      </c>
      <c r="BJ168" t="s">
        <v>127</v>
      </c>
      <c r="BK168" t="s">
        <v>128</v>
      </c>
      <c r="BL168" t="s">
        <v>129</v>
      </c>
      <c r="BM168" t="s">
        <v>3601</v>
      </c>
      <c r="BN168" t="s">
        <v>74</v>
      </c>
      <c r="BO168" t="s">
        <v>311</v>
      </c>
      <c r="BP168" t="s">
        <v>74</v>
      </c>
      <c r="BQ168" t="s">
        <v>74</v>
      </c>
      <c r="BR168" t="s">
        <v>102</v>
      </c>
      <c r="BS168" t="s">
        <v>3602</v>
      </c>
      <c r="BT168" t="str">
        <f>HYPERLINK("https%3A%2F%2Fwww.webofscience.com%2Fwos%2Fwoscc%2Ffull-record%2FWOS:000680031100001","View Full Record in Web of Science")</f>
        <v>View Full Record in Web of Science</v>
      </c>
    </row>
    <row r="169" spans="1:72" x14ac:dyDescent="0.15">
      <c r="A169" t="s">
        <v>72</v>
      </c>
      <c r="B169" t="s">
        <v>3603</v>
      </c>
      <c r="C169" t="s">
        <v>74</v>
      </c>
      <c r="D169" t="s">
        <v>74</v>
      </c>
      <c r="E169" t="s">
        <v>74</v>
      </c>
      <c r="F169" t="s">
        <v>3604</v>
      </c>
      <c r="G169" t="s">
        <v>74</v>
      </c>
      <c r="H169" t="s">
        <v>74</v>
      </c>
      <c r="I169" t="s">
        <v>3605</v>
      </c>
      <c r="J169" t="s">
        <v>3310</v>
      </c>
      <c r="K169" t="s">
        <v>74</v>
      </c>
      <c r="L169" t="s">
        <v>74</v>
      </c>
      <c r="M169" t="s">
        <v>78</v>
      </c>
      <c r="N169" t="s">
        <v>79</v>
      </c>
      <c r="O169" t="s">
        <v>74</v>
      </c>
      <c r="P169" t="s">
        <v>74</v>
      </c>
      <c r="Q169" t="s">
        <v>74</v>
      </c>
      <c r="R169" t="s">
        <v>74</v>
      </c>
      <c r="S169" t="s">
        <v>74</v>
      </c>
      <c r="T169" t="s">
        <v>74</v>
      </c>
      <c r="U169" t="s">
        <v>3606</v>
      </c>
      <c r="V169" t="s">
        <v>3607</v>
      </c>
      <c r="W169" t="s">
        <v>3608</v>
      </c>
      <c r="X169" t="s">
        <v>3609</v>
      </c>
      <c r="Y169" t="s">
        <v>3610</v>
      </c>
      <c r="Z169" t="s">
        <v>3611</v>
      </c>
      <c r="AA169" t="s">
        <v>3612</v>
      </c>
      <c r="AB169" t="s">
        <v>3613</v>
      </c>
      <c r="AC169" t="s">
        <v>3614</v>
      </c>
      <c r="AD169" t="s">
        <v>3615</v>
      </c>
      <c r="AE169" t="s">
        <v>3616</v>
      </c>
      <c r="AF169" t="s">
        <v>74</v>
      </c>
      <c r="AG169">
        <v>86</v>
      </c>
      <c r="AH169">
        <v>2</v>
      </c>
      <c r="AI169">
        <v>2</v>
      </c>
      <c r="AJ169">
        <v>2</v>
      </c>
      <c r="AK169">
        <v>13</v>
      </c>
      <c r="AL169" t="s">
        <v>143</v>
      </c>
      <c r="AM169" t="s">
        <v>144</v>
      </c>
      <c r="AN169" t="s">
        <v>145</v>
      </c>
      <c r="AO169" t="s">
        <v>3322</v>
      </c>
      <c r="AP169" t="s">
        <v>3323</v>
      </c>
      <c r="AQ169" t="s">
        <v>74</v>
      </c>
      <c r="AR169" t="s">
        <v>3310</v>
      </c>
      <c r="AS169" t="s">
        <v>3324</v>
      </c>
      <c r="AT169" t="s">
        <v>3555</v>
      </c>
      <c r="AU169">
        <v>2021</v>
      </c>
      <c r="AV169">
        <v>18</v>
      </c>
      <c r="AW169">
        <v>14</v>
      </c>
      <c r="AX169" t="s">
        <v>74</v>
      </c>
      <c r="AY169" t="s">
        <v>74</v>
      </c>
      <c r="AZ169" t="s">
        <v>74</v>
      </c>
      <c r="BA169" t="s">
        <v>74</v>
      </c>
      <c r="BB169">
        <v>4265</v>
      </c>
      <c r="BC169">
        <v>4280</v>
      </c>
      <c r="BD169" t="s">
        <v>74</v>
      </c>
      <c r="BE169" t="s">
        <v>3617</v>
      </c>
      <c r="BF169" t="str">
        <f>HYPERLINK("http://dx.doi.org/10.5194/bg-18-4265-2021","http://dx.doi.org/10.5194/bg-18-4265-2021")</f>
        <v>http://dx.doi.org/10.5194/bg-18-4265-2021</v>
      </c>
      <c r="BG169" t="s">
        <v>74</v>
      </c>
      <c r="BH169" t="s">
        <v>74</v>
      </c>
      <c r="BI169">
        <v>16</v>
      </c>
      <c r="BJ169" t="s">
        <v>3326</v>
      </c>
      <c r="BK169" t="s">
        <v>128</v>
      </c>
      <c r="BL169" t="s">
        <v>3327</v>
      </c>
      <c r="BM169" t="s">
        <v>3618</v>
      </c>
      <c r="BN169" t="s">
        <v>74</v>
      </c>
      <c r="BO169" t="s">
        <v>3619</v>
      </c>
      <c r="BP169" t="s">
        <v>74</v>
      </c>
      <c r="BQ169" t="s">
        <v>74</v>
      </c>
      <c r="BR169" t="s">
        <v>102</v>
      </c>
      <c r="BS169" t="s">
        <v>3620</v>
      </c>
      <c r="BT169" t="str">
        <f>HYPERLINK("https%3A%2F%2Fwww.webofscience.com%2Fwos%2Fwoscc%2Ffull-record%2FWOS:000677471600001","View Full Record in Web of Science")</f>
        <v>View Full Record in Web of Science</v>
      </c>
    </row>
    <row r="170" spans="1:72" x14ac:dyDescent="0.15">
      <c r="A170" t="s">
        <v>72</v>
      </c>
      <c r="B170" t="s">
        <v>3621</v>
      </c>
      <c r="C170" t="s">
        <v>74</v>
      </c>
      <c r="D170" t="s">
        <v>74</v>
      </c>
      <c r="E170" t="s">
        <v>74</v>
      </c>
      <c r="F170" t="s">
        <v>3622</v>
      </c>
      <c r="G170" t="s">
        <v>74</v>
      </c>
      <c r="H170" t="s">
        <v>74</v>
      </c>
      <c r="I170" t="s">
        <v>3623</v>
      </c>
      <c r="J170" t="s">
        <v>3624</v>
      </c>
      <c r="K170" t="s">
        <v>74</v>
      </c>
      <c r="L170" t="s">
        <v>74</v>
      </c>
      <c r="M170" t="s">
        <v>78</v>
      </c>
      <c r="N170" t="s">
        <v>79</v>
      </c>
      <c r="O170" t="s">
        <v>74</v>
      </c>
      <c r="P170" t="s">
        <v>74</v>
      </c>
      <c r="Q170" t="s">
        <v>74</v>
      </c>
      <c r="R170" t="s">
        <v>74</v>
      </c>
      <c r="S170" t="s">
        <v>74</v>
      </c>
      <c r="T170" t="s">
        <v>3625</v>
      </c>
      <c r="U170" t="s">
        <v>3626</v>
      </c>
      <c r="V170" t="s">
        <v>3627</v>
      </c>
      <c r="W170" t="s">
        <v>3628</v>
      </c>
      <c r="X170" t="s">
        <v>3629</v>
      </c>
      <c r="Y170" t="s">
        <v>3630</v>
      </c>
      <c r="Z170" t="s">
        <v>3631</v>
      </c>
      <c r="AA170" t="s">
        <v>74</v>
      </c>
      <c r="AB170" t="s">
        <v>3632</v>
      </c>
      <c r="AC170" t="s">
        <v>3633</v>
      </c>
      <c r="AD170" t="s">
        <v>3634</v>
      </c>
      <c r="AE170" t="s">
        <v>3635</v>
      </c>
      <c r="AF170" t="s">
        <v>74</v>
      </c>
      <c r="AG170">
        <v>81</v>
      </c>
      <c r="AH170">
        <v>3</v>
      </c>
      <c r="AI170">
        <v>3</v>
      </c>
      <c r="AJ170">
        <v>1</v>
      </c>
      <c r="AK170">
        <v>9</v>
      </c>
      <c r="AL170" t="s">
        <v>450</v>
      </c>
      <c r="AM170" t="s">
        <v>650</v>
      </c>
      <c r="AN170" t="s">
        <v>1957</v>
      </c>
      <c r="AO170" t="s">
        <v>3636</v>
      </c>
      <c r="AP170" t="s">
        <v>3637</v>
      </c>
      <c r="AQ170" t="s">
        <v>74</v>
      </c>
      <c r="AR170" t="s">
        <v>3638</v>
      </c>
      <c r="AS170" t="s">
        <v>3639</v>
      </c>
      <c r="AT170" t="s">
        <v>204</v>
      </c>
      <c r="AU170">
        <v>2021</v>
      </c>
      <c r="AV170">
        <v>57</v>
      </c>
      <c r="AW170" t="s">
        <v>3640</v>
      </c>
      <c r="AX170" t="s">
        <v>74</v>
      </c>
      <c r="AY170" t="s">
        <v>74</v>
      </c>
      <c r="AZ170" t="s">
        <v>74</v>
      </c>
      <c r="BA170" t="s">
        <v>74</v>
      </c>
      <c r="BB170">
        <v>1689</v>
      </c>
      <c r="BC170">
        <v>1707</v>
      </c>
      <c r="BD170" t="s">
        <v>74</v>
      </c>
      <c r="BE170" t="s">
        <v>3641</v>
      </c>
      <c r="BF170" t="str">
        <f>HYPERLINK("http://dx.doi.org/10.1007/s00382-021-05755-3","http://dx.doi.org/10.1007/s00382-021-05755-3")</f>
        <v>http://dx.doi.org/10.1007/s00382-021-05755-3</v>
      </c>
      <c r="BG170" t="s">
        <v>74</v>
      </c>
      <c r="BH170" t="s">
        <v>2323</v>
      </c>
      <c r="BI170">
        <v>19</v>
      </c>
      <c r="BJ170" t="s">
        <v>567</v>
      </c>
      <c r="BK170" t="s">
        <v>128</v>
      </c>
      <c r="BL170" t="s">
        <v>567</v>
      </c>
      <c r="BM170" t="s">
        <v>3642</v>
      </c>
      <c r="BN170" t="s">
        <v>74</v>
      </c>
      <c r="BO170" t="s">
        <v>291</v>
      </c>
      <c r="BP170" t="s">
        <v>74</v>
      </c>
      <c r="BQ170" t="s">
        <v>74</v>
      </c>
      <c r="BR170" t="s">
        <v>102</v>
      </c>
      <c r="BS170" t="s">
        <v>3643</v>
      </c>
      <c r="BT170" t="str">
        <f>HYPERLINK("https%3A%2F%2Fwww.webofscience.com%2Fwos%2Fwoscc%2Ffull-record%2FWOS:000675330300001","View Full Record in Web of Science")</f>
        <v>View Full Record in Web of Science</v>
      </c>
    </row>
    <row r="171" spans="1:72" x14ac:dyDescent="0.15">
      <c r="A171" t="s">
        <v>72</v>
      </c>
      <c r="B171" t="s">
        <v>3644</v>
      </c>
      <c r="C171" t="s">
        <v>74</v>
      </c>
      <c r="D171" t="s">
        <v>74</v>
      </c>
      <c r="E171" t="s">
        <v>74</v>
      </c>
      <c r="F171" t="s">
        <v>3645</v>
      </c>
      <c r="G171" t="s">
        <v>74</v>
      </c>
      <c r="H171" t="s">
        <v>74</v>
      </c>
      <c r="I171" t="s">
        <v>3646</v>
      </c>
      <c r="J171" t="s">
        <v>3647</v>
      </c>
      <c r="K171" t="s">
        <v>74</v>
      </c>
      <c r="L171" t="s">
        <v>74</v>
      </c>
      <c r="M171" t="s">
        <v>78</v>
      </c>
      <c r="N171" t="s">
        <v>79</v>
      </c>
      <c r="O171" t="s">
        <v>74</v>
      </c>
      <c r="P171" t="s">
        <v>74</v>
      </c>
      <c r="Q171" t="s">
        <v>74</v>
      </c>
      <c r="R171" t="s">
        <v>74</v>
      </c>
      <c r="S171" t="s">
        <v>74</v>
      </c>
      <c r="T171" t="s">
        <v>3648</v>
      </c>
      <c r="U171" t="s">
        <v>3649</v>
      </c>
      <c r="V171" t="s">
        <v>3650</v>
      </c>
      <c r="W171" t="s">
        <v>3651</v>
      </c>
      <c r="X171" t="s">
        <v>2640</v>
      </c>
      <c r="Y171" t="s">
        <v>3652</v>
      </c>
      <c r="Z171" t="s">
        <v>3653</v>
      </c>
      <c r="AA171" t="s">
        <v>3654</v>
      </c>
      <c r="AB171" t="s">
        <v>3655</v>
      </c>
      <c r="AC171" t="s">
        <v>3656</v>
      </c>
      <c r="AD171" t="s">
        <v>3657</v>
      </c>
      <c r="AE171" t="s">
        <v>3658</v>
      </c>
      <c r="AF171" t="s">
        <v>74</v>
      </c>
      <c r="AG171">
        <v>54</v>
      </c>
      <c r="AH171">
        <v>4</v>
      </c>
      <c r="AI171">
        <v>4</v>
      </c>
      <c r="AJ171">
        <v>1</v>
      </c>
      <c r="AK171">
        <v>18</v>
      </c>
      <c r="AL171" t="s">
        <v>197</v>
      </c>
      <c r="AM171" t="s">
        <v>198</v>
      </c>
      <c r="AN171" t="s">
        <v>199</v>
      </c>
      <c r="AO171" t="s">
        <v>3659</v>
      </c>
      <c r="AP171" t="s">
        <v>3660</v>
      </c>
      <c r="AQ171" t="s">
        <v>74</v>
      </c>
      <c r="AR171" t="s">
        <v>3661</v>
      </c>
      <c r="AS171" t="s">
        <v>3662</v>
      </c>
      <c r="AT171" t="s">
        <v>204</v>
      </c>
      <c r="AU171">
        <v>2021</v>
      </c>
      <c r="AV171">
        <v>24</v>
      </c>
      <c r="AW171">
        <v>10</v>
      </c>
      <c r="AX171" t="s">
        <v>74</v>
      </c>
      <c r="AY171" t="s">
        <v>74</v>
      </c>
      <c r="AZ171" t="s">
        <v>74</v>
      </c>
      <c r="BA171" t="s">
        <v>74</v>
      </c>
      <c r="BB171">
        <v>2146</v>
      </c>
      <c r="BC171">
        <v>2154</v>
      </c>
      <c r="BD171" t="s">
        <v>74</v>
      </c>
      <c r="BE171" t="s">
        <v>3663</v>
      </c>
      <c r="BF171" t="str">
        <f>HYPERLINK("http://dx.doi.org/10.1111/ele.13844","http://dx.doi.org/10.1111/ele.13844")</f>
        <v>http://dx.doi.org/10.1111/ele.13844</v>
      </c>
      <c r="BG171" t="s">
        <v>74</v>
      </c>
      <c r="BH171" t="s">
        <v>2323</v>
      </c>
      <c r="BI171">
        <v>9</v>
      </c>
      <c r="BJ171" t="s">
        <v>1462</v>
      </c>
      <c r="BK171" t="s">
        <v>128</v>
      </c>
      <c r="BL171" t="s">
        <v>263</v>
      </c>
      <c r="BM171" t="s">
        <v>3664</v>
      </c>
      <c r="BN171">
        <v>34291561</v>
      </c>
      <c r="BO171" t="s">
        <v>408</v>
      </c>
      <c r="BP171" t="s">
        <v>74</v>
      </c>
      <c r="BQ171" t="s">
        <v>74</v>
      </c>
      <c r="BR171" t="s">
        <v>102</v>
      </c>
      <c r="BS171" t="s">
        <v>3665</v>
      </c>
      <c r="BT171" t="str">
        <f>HYPERLINK("https%3A%2F%2Fwww.webofscience.com%2Fwos%2Fwoscc%2Ffull-record%2FWOS:000675243000001","View Full Record in Web of Science")</f>
        <v>View Full Record in Web of Science</v>
      </c>
    </row>
    <row r="172" spans="1:72" x14ac:dyDescent="0.15">
      <c r="A172" t="s">
        <v>72</v>
      </c>
      <c r="B172" t="s">
        <v>3666</v>
      </c>
      <c r="C172" t="s">
        <v>74</v>
      </c>
      <c r="D172" t="s">
        <v>74</v>
      </c>
      <c r="E172" t="s">
        <v>74</v>
      </c>
      <c r="F172" t="s">
        <v>3667</v>
      </c>
      <c r="G172" t="s">
        <v>74</v>
      </c>
      <c r="H172" t="s">
        <v>74</v>
      </c>
      <c r="I172" t="s">
        <v>3668</v>
      </c>
      <c r="J172" t="s">
        <v>2884</v>
      </c>
      <c r="K172" t="s">
        <v>74</v>
      </c>
      <c r="L172" t="s">
        <v>74</v>
      </c>
      <c r="M172" t="s">
        <v>78</v>
      </c>
      <c r="N172" t="s">
        <v>79</v>
      </c>
      <c r="O172" t="s">
        <v>74</v>
      </c>
      <c r="P172" t="s">
        <v>74</v>
      </c>
      <c r="Q172" t="s">
        <v>74</v>
      </c>
      <c r="R172" t="s">
        <v>74</v>
      </c>
      <c r="S172" t="s">
        <v>74</v>
      </c>
      <c r="T172" t="s">
        <v>3669</v>
      </c>
      <c r="U172" t="s">
        <v>3670</v>
      </c>
      <c r="V172" t="s">
        <v>3671</v>
      </c>
      <c r="W172" t="s">
        <v>3672</v>
      </c>
      <c r="X172" t="s">
        <v>3673</v>
      </c>
      <c r="Y172" t="s">
        <v>3674</v>
      </c>
      <c r="Z172" t="s">
        <v>3675</v>
      </c>
      <c r="AA172" t="s">
        <v>3676</v>
      </c>
      <c r="AB172" t="s">
        <v>3677</v>
      </c>
      <c r="AC172" t="s">
        <v>3678</v>
      </c>
      <c r="AD172" t="s">
        <v>3679</v>
      </c>
      <c r="AE172" t="s">
        <v>3680</v>
      </c>
      <c r="AF172" t="s">
        <v>74</v>
      </c>
      <c r="AG172">
        <v>40</v>
      </c>
      <c r="AH172">
        <v>42</v>
      </c>
      <c r="AI172">
        <v>44</v>
      </c>
      <c r="AJ172">
        <v>9</v>
      </c>
      <c r="AK172">
        <v>65</v>
      </c>
      <c r="AL172" t="s">
        <v>197</v>
      </c>
      <c r="AM172" t="s">
        <v>198</v>
      </c>
      <c r="AN172" t="s">
        <v>199</v>
      </c>
      <c r="AO172" t="s">
        <v>2896</v>
      </c>
      <c r="AP172" t="s">
        <v>2897</v>
      </c>
      <c r="AQ172" t="s">
        <v>74</v>
      </c>
      <c r="AR172" t="s">
        <v>2898</v>
      </c>
      <c r="AS172" t="s">
        <v>2899</v>
      </c>
      <c r="AT172" t="s">
        <v>374</v>
      </c>
      <c r="AU172">
        <v>2021</v>
      </c>
      <c r="AV172">
        <v>35</v>
      </c>
      <c r="AW172">
        <v>6</v>
      </c>
      <c r="AX172" t="s">
        <v>74</v>
      </c>
      <c r="AY172" t="s">
        <v>74</v>
      </c>
      <c r="AZ172" t="s">
        <v>74</v>
      </c>
      <c r="BA172" t="s">
        <v>74</v>
      </c>
      <c r="BB172">
        <v>1833</v>
      </c>
      <c r="BC172">
        <v>1849</v>
      </c>
      <c r="BD172" t="s">
        <v>74</v>
      </c>
      <c r="BE172" t="s">
        <v>3681</v>
      </c>
      <c r="BF172" t="str">
        <f>HYPERLINK("http://dx.doi.org/10.1111/cobi.13756","http://dx.doi.org/10.1111/cobi.13756")</f>
        <v>http://dx.doi.org/10.1111/cobi.13756</v>
      </c>
      <c r="BG172" t="s">
        <v>74</v>
      </c>
      <c r="BH172" t="s">
        <v>2323</v>
      </c>
      <c r="BI172">
        <v>17</v>
      </c>
      <c r="BJ172" t="s">
        <v>206</v>
      </c>
      <c r="BK172" t="s">
        <v>128</v>
      </c>
      <c r="BL172" t="s">
        <v>207</v>
      </c>
      <c r="BM172" t="s">
        <v>3682</v>
      </c>
      <c r="BN172">
        <v>34289517</v>
      </c>
      <c r="BO172" t="s">
        <v>238</v>
      </c>
      <c r="BP172" t="s">
        <v>74</v>
      </c>
      <c r="BQ172" t="s">
        <v>74</v>
      </c>
      <c r="BR172" t="s">
        <v>102</v>
      </c>
      <c r="BS172" t="s">
        <v>3683</v>
      </c>
      <c r="BT172" t="str">
        <f>HYPERLINK("https%3A%2F%2Fwww.webofscience.com%2Fwos%2Fwoscc%2Ffull-record%2FWOS:000675179000001","View Full Record in Web of Science")</f>
        <v>View Full Record in Web of Science</v>
      </c>
    </row>
    <row r="173" spans="1:72" x14ac:dyDescent="0.15">
      <c r="A173" t="s">
        <v>72</v>
      </c>
      <c r="B173" t="s">
        <v>3684</v>
      </c>
      <c r="C173" t="s">
        <v>74</v>
      </c>
      <c r="D173" t="s">
        <v>74</v>
      </c>
      <c r="E173" t="s">
        <v>74</v>
      </c>
      <c r="F173" t="s">
        <v>3685</v>
      </c>
      <c r="G173" t="s">
        <v>74</v>
      </c>
      <c r="H173" t="s">
        <v>74</v>
      </c>
      <c r="I173" t="s">
        <v>3686</v>
      </c>
      <c r="J173" t="s">
        <v>2457</v>
      </c>
      <c r="K173" t="s">
        <v>74</v>
      </c>
      <c r="L173" t="s">
        <v>74</v>
      </c>
      <c r="M173" t="s">
        <v>78</v>
      </c>
      <c r="N173" t="s">
        <v>79</v>
      </c>
      <c r="O173" t="s">
        <v>74</v>
      </c>
      <c r="P173" t="s">
        <v>74</v>
      </c>
      <c r="Q173" t="s">
        <v>74</v>
      </c>
      <c r="R173" t="s">
        <v>74</v>
      </c>
      <c r="S173" t="s">
        <v>74</v>
      </c>
      <c r="T173" t="s">
        <v>74</v>
      </c>
      <c r="U173" t="s">
        <v>3687</v>
      </c>
      <c r="V173" t="s">
        <v>3688</v>
      </c>
      <c r="W173" t="s">
        <v>3689</v>
      </c>
      <c r="X173" t="s">
        <v>3690</v>
      </c>
      <c r="Y173" t="s">
        <v>3691</v>
      </c>
      <c r="Z173" t="s">
        <v>3692</v>
      </c>
      <c r="AA173" t="s">
        <v>3693</v>
      </c>
      <c r="AB173" t="s">
        <v>3694</v>
      </c>
      <c r="AC173" t="s">
        <v>3695</v>
      </c>
      <c r="AD173" t="s">
        <v>3696</v>
      </c>
      <c r="AE173" t="s">
        <v>3697</v>
      </c>
      <c r="AF173" t="s">
        <v>74</v>
      </c>
      <c r="AG173">
        <v>66</v>
      </c>
      <c r="AH173">
        <v>2</v>
      </c>
      <c r="AI173">
        <v>4</v>
      </c>
      <c r="AJ173">
        <v>2</v>
      </c>
      <c r="AK173">
        <v>17</v>
      </c>
      <c r="AL173" t="s">
        <v>864</v>
      </c>
      <c r="AM173" t="s">
        <v>865</v>
      </c>
      <c r="AN173" t="s">
        <v>866</v>
      </c>
      <c r="AO173" t="s">
        <v>2469</v>
      </c>
      <c r="AP173" t="s">
        <v>2470</v>
      </c>
      <c r="AQ173" t="s">
        <v>74</v>
      </c>
      <c r="AR173" t="s">
        <v>2471</v>
      </c>
      <c r="AS173" t="s">
        <v>2472</v>
      </c>
      <c r="AT173" t="s">
        <v>3698</v>
      </c>
      <c r="AU173">
        <v>2021</v>
      </c>
      <c r="AV173">
        <v>48</v>
      </c>
      <c r="AW173">
        <v>14</v>
      </c>
      <c r="AX173" t="s">
        <v>74</v>
      </c>
      <c r="AY173" t="s">
        <v>74</v>
      </c>
      <c r="AZ173" t="s">
        <v>74</v>
      </c>
      <c r="BA173" t="s">
        <v>74</v>
      </c>
      <c r="BB173" t="s">
        <v>74</v>
      </c>
      <c r="BC173" t="s">
        <v>74</v>
      </c>
      <c r="BD173" t="s">
        <v>3699</v>
      </c>
      <c r="BE173" t="s">
        <v>3700</v>
      </c>
      <c r="BF173" t="str">
        <f>HYPERLINK("http://dx.doi.org/10.1029/2021GL093868","http://dx.doi.org/10.1029/2021GL093868")</f>
        <v>http://dx.doi.org/10.1029/2021GL093868</v>
      </c>
      <c r="BG173" t="s">
        <v>74</v>
      </c>
      <c r="BH173" t="s">
        <v>74</v>
      </c>
      <c r="BI173">
        <v>11</v>
      </c>
      <c r="BJ173" t="s">
        <v>405</v>
      </c>
      <c r="BK173" t="s">
        <v>128</v>
      </c>
      <c r="BL173" t="s">
        <v>406</v>
      </c>
      <c r="BM173" t="s">
        <v>3701</v>
      </c>
      <c r="BN173" t="s">
        <v>74</v>
      </c>
      <c r="BO173" t="s">
        <v>74</v>
      </c>
      <c r="BP173" t="s">
        <v>74</v>
      </c>
      <c r="BQ173" t="s">
        <v>74</v>
      </c>
      <c r="BR173" t="s">
        <v>102</v>
      </c>
      <c r="BS173" t="s">
        <v>3702</v>
      </c>
      <c r="BT173" t="str">
        <f>HYPERLINK("https%3A%2F%2Fwww.webofscience.com%2Fwos%2Fwoscc%2Ffull-record%2FWOS:000711497300001","View Full Record in Web of Science")</f>
        <v>View Full Record in Web of Science</v>
      </c>
    </row>
    <row r="174" spans="1:72" x14ac:dyDescent="0.15">
      <c r="A174" t="s">
        <v>72</v>
      </c>
      <c r="B174" t="s">
        <v>3703</v>
      </c>
      <c r="C174" t="s">
        <v>74</v>
      </c>
      <c r="D174" t="s">
        <v>74</v>
      </c>
      <c r="E174" t="s">
        <v>74</v>
      </c>
      <c r="F174" t="s">
        <v>3704</v>
      </c>
      <c r="G174" t="s">
        <v>74</v>
      </c>
      <c r="H174" t="s">
        <v>74</v>
      </c>
      <c r="I174" t="s">
        <v>3705</v>
      </c>
      <c r="J174" t="s">
        <v>3706</v>
      </c>
      <c r="K174" t="s">
        <v>74</v>
      </c>
      <c r="L174" t="s">
        <v>74</v>
      </c>
      <c r="M174" t="s">
        <v>78</v>
      </c>
      <c r="N174" t="s">
        <v>79</v>
      </c>
      <c r="O174" t="s">
        <v>74</v>
      </c>
      <c r="P174" t="s">
        <v>74</v>
      </c>
      <c r="Q174" t="s">
        <v>74</v>
      </c>
      <c r="R174" t="s">
        <v>74</v>
      </c>
      <c r="S174" t="s">
        <v>74</v>
      </c>
      <c r="T174" t="s">
        <v>3707</v>
      </c>
      <c r="U174" t="s">
        <v>3708</v>
      </c>
      <c r="V174" t="s">
        <v>3709</v>
      </c>
      <c r="W174" t="s">
        <v>3710</v>
      </c>
      <c r="X174" t="s">
        <v>3711</v>
      </c>
      <c r="Y174" t="s">
        <v>3712</v>
      </c>
      <c r="Z174" t="s">
        <v>3713</v>
      </c>
      <c r="AA174" t="s">
        <v>74</v>
      </c>
      <c r="AB174" t="s">
        <v>3714</v>
      </c>
      <c r="AC174" t="s">
        <v>3715</v>
      </c>
      <c r="AD174" t="s">
        <v>3716</v>
      </c>
      <c r="AE174" t="s">
        <v>3717</v>
      </c>
      <c r="AF174" t="s">
        <v>74</v>
      </c>
      <c r="AG174">
        <v>17</v>
      </c>
      <c r="AH174">
        <v>1</v>
      </c>
      <c r="AI174">
        <v>2</v>
      </c>
      <c r="AJ174">
        <v>1</v>
      </c>
      <c r="AK174">
        <v>3</v>
      </c>
      <c r="AL174" t="s">
        <v>197</v>
      </c>
      <c r="AM174" t="s">
        <v>198</v>
      </c>
      <c r="AN174" t="s">
        <v>199</v>
      </c>
      <c r="AO174" t="s">
        <v>3718</v>
      </c>
      <c r="AP174" t="s">
        <v>3719</v>
      </c>
      <c r="AQ174" t="s">
        <v>74</v>
      </c>
      <c r="AR174" t="s">
        <v>3720</v>
      </c>
      <c r="AS174" t="s">
        <v>3721</v>
      </c>
      <c r="AT174" t="s">
        <v>457</v>
      </c>
      <c r="AU174">
        <v>2022</v>
      </c>
      <c r="AV174">
        <v>305</v>
      </c>
      <c r="AW174">
        <v>3</v>
      </c>
      <c r="AX174" t="s">
        <v>74</v>
      </c>
      <c r="AY174" t="s">
        <v>74</v>
      </c>
      <c r="AZ174" t="s">
        <v>431</v>
      </c>
      <c r="BA174" t="s">
        <v>74</v>
      </c>
      <c r="BB174">
        <v>568</v>
      </c>
      <c r="BC174">
        <v>576</v>
      </c>
      <c r="BD174" t="s">
        <v>74</v>
      </c>
      <c r="BE174" t="s">
        <v>3722</v>
      </c>
      <c r="BF174" t="str">
        <f>HYPERLINK("http://dx.doi.org/10.1002/ar.24720","http://dx.doi.org/10.1002/ar.24720")</f>
        <v>http://dx.doi.org/10.1002/ar.24720</v>
      </c>
      <c r="BG174" t="s">
        <v>74</v>
      </c>
      <c r="BH174" t="s">
        <v>2323</v>
      </c>
      <c r="BI174">
        <v>9</v>
      </c>
      <c r="BJ174" t="s">
        <v>3723</v>
      </c>
      <c r="BK174" t="s">
        <v>128</v>
      </c>
      <c r="BL174" t="s">
        <v>3723</v>
      </c>
      <c r="BM174" t="s">
        <v>3724</v>
      </c>
      <c r="BN174">
        <v>34288524</v>
      </c>
      <c r="BO174" t="s">
        <v>661</v>
      </c>
      <c r="BP174" t="s">
        <v>74</v>
      </c>
      <c r="BQ174" t="s">
        <v>74</v>
      </c>
      <c r="BR174" t="s">
        <v>102</v>
      </c>
      <c r="BS174" t="s">
        <v>3725</v>
      </c>
      <c r="BT174" t="str">
        <f>HYPERLINK("https%3A%2F%2Fwww.webofscience.com%2Fwos%2Fwoscc%2Ffull-record%2FWOS:000674832500001","View Full Record in Web of Science")</f>
        <v>View Full Record in Web of Science</v>
      </c>
    </row>
    <row r="175" spans="1:72" x14ac:dyDescent="0.15">
      <c r="A175" t="s">
        <v>72</v>
      </c>
      <c r="B175" t="s">
        <v>3726</v>
      </c>
      <c r="C175" t="s">
        <v>74</v>
      </c>
      <c r="D175" t="s">
        <v>74</v>
      </c>
      <c r="E175" t="s">
        <v>74</v>
      </c>
      <c r="F175" t="s">
        <v>3727</v>
      </c>
      <c r="G175" t="s">
        <v>74</v>
      </c>
      <c r="H175" t="s">
        <v>74</v>
      </c>
      <c r="I175" t="s">
        <v>3728</v>
      </c>
      <c r="J175" t="s">
        <v>3729</v>
      </c>
      <c r="K175" t="s">
        <v>74</v>
      </c>
      <c r="L175" t="s">
        <v>74</v>
      </c>
      <c r="M175" t="s">
        <v>78</v>
      </c>
      <c r="N175" t="s">
        <v>79</v>
      </c>
      <c r="O175" t="s">
        <v>74</v>
      </c>
      <c r="P175" t="s">
        <v>74</v>
      </c>
      <c r="Q175" t="s">
        <v>74</v>
      </c>
      <c r="R175" t="s">
        <v>74</v>
      </c>
      <c r="S175" t="s">
        <v>74</v>
      </c>
      <c r="T175" t="s">
        <v>3730</v>
      </c>
      <c r="U175" t="s">
        <v>3731</v>
      </c>
      <c r="V175" t="s">
        <v>3732</v>
      </c>
      <c r="W175" t="s">
        <v>3733</v>
      </c>
      <c r="X175" t="s">
        <v>3734</v>
      </c>
      <c r="Y175" t="s">
        <v>3735</v>
      </c>
      <c r="Z175" t="s">
        <v>3736</v>
      </c>
      <c r="AA175" t="s">
        <v>3737</v>
      </c>
      <c r="AB175" t="s">
        <v>3738</v>
      </c>
      <c r="AC175" t="s">
        <v>3739</v>
      </c>
      <c r="AD175" t="s">
        <v>3740</v>
      </c>
      <c r="AE175" t="s">
        <v>3741</v>
      </c>
      <c r="AF175" t="s">
        <v>74</v>
      </c>
      <c r="AG175">
        <v>62</v>
      </c>
      <c r="AH175">
        <v>4</v>
      </c>
      <c r="AI175">
        <v>5</v>
      </c>
      <c r="AJ175">
        <v>1</v>
      </c>
      <c r="AK175">
        <v>7</v>
      </c>
      <c r="AL175" t="s">
        <v>281</v>
      </c>
      <c r="AM175" t="s">
        <v>228</v>
      </c>
      <c r="AN175" t="s">
        <v>282</v>
      </c>
      <c r="AO175" t="s">
        <v>3742</v>
      </c>
      <c r="AP175" t="s">
        <v>3743</v>
      </c>
      <c r="AQ175" t="s">
        <v>74</v>
      </c>
      <c r="AR175" t="s">
        <v>3744</v>
      </c>
      <c r="AS175" t="s">
        <v>3745</v>
      </c>
      <c r="AT175" t="s">
        <v>3746</v>
      </c>
      <c r="AU175">
        <v>2021</v>
      </c>
      <c r="AV175">
        <v>266</v>
      </c>
      <c r="AW175" t="s">
        <v>74</v>
      </c>
      <c r="AX175" t="s">
        <v>74</v>
      </c>
      <c r="AY175" t="s">
        <v>74</v>
      </c>
      <c r="AZ175" t="s">
        <v>74</v>
      </c>
      <c r="BA175" t="s">
        <v>74</v>
      </c>
      <c r="BB175" t="s">
        <v>74</v>
      </c>
      <c r="BC175" t="s">
        <v>74</v>
      </c>
      <c r="BD175">
        <v>107068</v>
      </c>
      <c r="BE175" t="s">
        <v>3747</v>
      </c>
      <c r="BF175" t="str">
        <f>HYPERLINK("http://dx.doi.org/10.1016/j.quascirev.2021.107068","http://dx.doi.org/10.1016/j.quascirev.2021.107068")</f>
        <v>http://dx.doi.org/10.1016/j.quascirev.2021.107068</v>
      </c>
      <c r="BG175" t="s">
        <v>74</v>
      </c>
      <c r="BH175" t="s">
        <v>2323</v>
      </c>
      <c r="BI175">
        <v>15</v>
      </c>
      <c r="BJ175" t="s">
        <v>151</v>
      </c>
      <c r="BK175" t="s">
        <v>128</v>
      </c>
      <c r="BL175" t="s">
        <v>152</v>
      </c>
      <c r="BM175" t="s">
        <v>3748</v>
      </c>
      <c r="BN175" t="s">
        <v>74</v>
      </c>
      <c r="BO175" t="s">
        <v>1154</v>
      </c>
      <c r="BP175" t="s">
        <v>74</v>
      </c>
      <c r="BQ175" t="s">
        <v>74</v>
      </c>
      <c r="BR175" t="s">
        <v>102</v>
      </c>
      <c r="BS175" t="s">
        <v>3749</v>
      </c>
      <c r="BT175" t="str">
        <f>HYPERLINK("https%3A%2F%2Fwww.webofscience.com%2Fwos%2Fwoscc%2Ffull-record%2FWOS:000694899400008","View Full Record in Web of Science")</f>
        <v>View Full Record in Web of Science</v>
      </c>
    </row>
    <row r="176" spans="1:72" x14ac:dyDescent="0.15">
      <c r="A176" t="s">
        <v>72</v>
      </c>
      <c r="B176" t="s">
        <v>3750</v>
      </c>
      <c r="C176" t="s">
        <v>74</v>
      </c>
      <c r="D176" t="s">
        <v>74</v>
      </c>
      <c r="E176" t="s">
        <v>74</v>
      </c>
      <c r="F176" t="s">
        <v>3751</v>
      </c>
      <c r="G176" t="s">
        <v>74</v>
      </c>
      <c r="H176" t="s">
        <v>74</v>
      </c>
      <c r="I176" t="s">
        <v>3752</v>
      </c>
      <c r="J176" t="s">
        <v>3753</v>
      </c>
      <c r="K176" t="s">
        <v>74</v>
      </c>
      <c r="L176" t="s">
        <v>74</v>
      </c>
      <c r="M176" t="s">
        <v>78</v>
      </c>
      <c r="N176" t="s">
        <v>79</v>
      </c>
      <c r="O176" t="s">
        <v>74</v>
      </c>
      <c r="P176" t="s">
        <v>74</v>
      </c>
      <c r="Q176" t="s">
        <v>74</v>
      </c>
      <c r="R176" t="s">
        <v>74</v>
      </c>
      <c r="S176" t="s">
        <v>74</v>
      </c>
      <c r="T176" t="s">
        <v>3754</v>
      </c>
      <c r="U176" t="s">
        <v>3755</v>
      </c>
      <c r="V176" t="s">
        <v>3756</v>
      </c>
      <c r="W176" t="s">
        <v>3757</v>
      </c>
      <c r="X176" t="s">
        <v>3758</v>
      </c>
      <c r="Y176" t="s">
        <v>3193</v>
      </c>
      <c r="Z176" t="s">
        <v>3194</v>
      </c>
      <c r="AA176" t="s">
        <v>3759</v>
      </c>
      <c r="AB176" t="s">
        <v>3760</v>
      </c>
      <c r="AC176" t="s">
        <v>3761</v>
      </c>
      <c r="AD176" t="s">
        <v>3762</v>
      </c>
      <c r="AE176" t="s">
        <v>3763</v>
      </c>
      <c r="AF176" t="s">
        <v>74</v>
      </c>
      <c r="AG176">
        <v>156</v>
      </c>
      <c r="AH176">
        <v>6</v>
      </c>
      <c r="AI176">
        <v>6</v>
      </c>
      <c r="AJ176">
        <v>3</v>
      </c>
      <c r="AK176">
        <v>10</v>
      </c>
      <c r="AL176" t="s">
        <v>89</v>
      </c>
      <c r="AM176" t="s">
        <v>90</v>
      </c>
      <c r="AN176" t="s">
        <v>91</v>
      </c>
      <c r="AO176" t="s">
        <v>3764</v>
      </c>
      <c r="AP176" t="s">
        <v>3765</v>
      </c>
      <c r="AQ176" t="s">
        <v>74</v>
      </c>
      <c r="AR176" t="s">
        <v>3766</v>
      </c>
      <c r="AS176" t="s">
        <v>3767</v>
      </c>
      <c r="AT176" t="s">
        <v>402</v>
      </c>
      <c r="AU176">
        <v>2021</v>
      </c>
      <c r="AV176">
        <v>439</v>
      </c>
      <c r="AW176" t="s">
        <v>74</v>
      </c>
      <c r="AX176" t="s">
        <v>74</v>
      </c>
      <c r="AY176" t="s">
        <v>74</v>
      </c>
      <c r="AZ176" t="s">
        <v>74</v>
      </c>
      <c r="BA176" t="s">
        <v>74</v>
      </c>
      <c r="BB176" t="s">
        <v>74</v>
      </c>
      <c r="BC176" t="s">
        <v>74</v>
      </c>
      <c r="BD176">
        <v>106565</v>
      </c>
      <c r="BE176" t="s">
        <v>3768</v>
      </c>
      <c r="BF176" t="str">
        <f>HYPERLINK("http://dx.doi.org/10.1016/j.margeo.2021.106565","http://dx.doi.org/10.1016/j.margeo.2021.106565")</f>
        <v>http://dx.doi.org/10.1016/j.margeo.2021.106565</v>
      </c>
      <c r="BG176" t="s">
        <v>74</v>
      </c>
      <c r="BH176" t="s">
        <v>2323</v>
      </c>
      <c r="BI176">
        <v>21</v>
      </c>
      <c r="BJ176" t="s">
        <v>3769</v>
      </c>
      <c r="BK176" t="s">
        <v>128</v>
      </c>
      <c r="BL176" t="s">
        <v>3770</v>
      </c>
      <c r="BM176" t="s">
        <v>3771</v>
      </c>
      <c r="BN176" t="s">
        <v>74</v>
      </c>
      <c r="BO176" t="s">
        <v>2514</v>
      </c>
      <c r="BP176" t="s">
        <v>74</v>
      </c>
      <c r="BQ176" t="s">
        <v>74</v>
      </c>
      <c r="BR176" t="s">
        <v>102</v>
      </c>
      <c r="BS176" t="s">
        <v>3772</v>
      </c>
      <c r="BT176" t="str">
        <f>HYPERLINK("https%3A%2F%2Fwww.webofscience.com%2Fwos%2Fwoscc%2Ffull-record%2FWOS:000680656200015","View Full Record in Web of Science")</f>
        <v>View Full Record in Web of Science</v>
      </c>
    </row>
    <row r="177" spans="1:72" x14ac:dyDescent="0.15">
      <c r="A177" t="s">
        <v>72</v>
      </c>
      <c r="B177" t="s">
        <v>3773</v>
      </c>
      <c r="C177" t="s">
        <v>74</v>
      </c>
      <c r="D177" t="s">
        <v>74</v>
      </c>
      <c r="E177" t="s">
        <v>74</v>
      </c>
      <c r="F177" t="s">
        <v>3774</v>
      </c>
      <c r="G177" t="s">
        <v>74</v>
      </c>
      <c r="H177" t="s">
        <v>74</v>
      </c>
      <c r="I177" t="s">
        <v>3775</v>
      </c>
      <c r="J177" t="s">
        <v>3776</v>
      </c>
      <c r="K177" t="s">
        <v>74</v>
      </c>
      <c r="L177" t="s">
        <v>74</v>
      </c>
      <c r="M177" t="s">
        <v>78</v>
      </c>
      <c r="N177" t="s">
        <v>79</v>
      </c>
      <c r="O177" t="s">
        <v>74</v>
      </c>
      <c r="P177" t="s">
        <v>74</v>
      </c>
      <c r="Q177" t="s">
        <v>74</v>
      </c>
      <c r="R177" t="s">
        <v>74</v>
      </c>
      <c r="S177" t="s">
        <v>74</v>
      </c>
      <c r="T177" t="s">
        <v>74</v>
      </c>
      <c r="U177" t="s">
        <v>3777</v>
      </c>
      <c r="V177" t="s">
        <v>3778</v>
      </c>
      <c r="W177" t="s">
        <v>3779</v>
      </c>
      <c r="X177" t="s">
        <v>3780</v>
      </c>
      <c r="Y177" t="s">
        <v>3781</v>
      </c>
      <c r="Z177" t="s">
        <v>3782</v>
      </c>
      <c r="AA177" t="s">
        <v>3783</v>
      </c>
      <c r="AB177" t="s">
        <v>3784</v>
      </c>
      <c r="AC177" t="s">
        <v>3785</v>
      </c>
      <c r="AD177" t="s">
        <v>3786</v>
      </c>
      <c r="AE177" t="s">
        <v>3787</v>
      </c>
      <c r="AF177" t="s">
        <v>74</v>
      </c>
      <c r="AG177">
        <v>40</v>
      </c>
      <c r="AH177">
        <v>7</v>
      </c>
      <c r="AI177">
        <v>7</v>
      </c>
      <c r="AJ177">
        <v>3</v>
      </c>
      <c r="AK177">
        <v>18</v>
      </c>
      <c r="AL177" t="s">
        <v>143</v>
      </c>
      <c r="AM177" t="s">
        <v>144</v>
      </c>
      <c r="AN177" t="s">
        <v>145</v>
      </c>
      <c r="AO177" t="s">
        <v>3788</v>
      </c>
      <c r="AP177" t="s">
        <v>3789</v>
      </c>
      <c r="AQ177" t="s">
        <v>74</v>
      </c>
      <c r="AR177" t="s">
        <v>3790</v>
      </c>
      <c r="AS177" t="s">
        <v>3791</v>
      </c>
      <c r="AT177" t="s">
        <v>3792</v>
      </c>
      <c r="AU177">
        <v>2021</v>
      </c>
      <c r="AV177">
        <v>21</v>
      </c>
      <c r="AW177">
        <v>14</v>
      </c>
      <c r="AX177" t="s">
        <v>74</v>
      </c>
      <c r="AY177" t="s">
        <v>74</v>
      </c>
      <c r="AZ177" t="s">
        <v>74</v>
      </c>
      <c r="BA177" t="s">
        <v>74</v>
      </c>
      <c r="BB177">
        <v>11041</v>
      </c>
      <c r="BC177">
        <v>11052</v>
      </c>
      <c r="BD177" t="s">
        <v>74</v>
      </c>
      <c r="BE177" t="s">
        <v>3793</v>
      </c>
      <c r="BF177" t="str">
        <f>HYPERLINK("http://dx.doi.org/10.5194/acp-21-11041-2021","http://dx.doi.org/10.5194/acp-21-11041-2021")</f>
        <v>http://dx.doi.org/10.5194/acp-21-11041-2021</v>
      </c>
      <c r="BG177" t="s">
        <v>74</v>
      </c>
      <c r="BH177" t="s">
        <v>74</v>
      </c>
      <c r="BI177">
        <v>12</v>
      </c>
      <c r="BJ177" t="s">
        <v>635</v>
      </c>
      <c r="BK177" t="s">
        <v>128</v>
      </c>
      <c r="BL177" t="s">
        <v>636</v>
      </c>
      <c r="BM177" t="s">
        <v>3794</v>
      </c>
      <c r="BN177" t="s">
        <v>74</v>
      </c>
      <c r="BO177" t="s">
        <v>2789</v>
      </c>
      <c r="BP177" t="s">
        <v>74</v>
      </c>
      <c r="BQ177" t="s">
        <v>74</v>
      </c>
      <c r="BR177" t="s">
        <v>102</v>
      </c>
      <c r="BS177" t="s">
        <v>3795</v>
      </c>
      <c r="BT177" t="str">
        <f>HYPERLINK("https%3A%2F%2Fwww.webofscience.com%2Fwos%2Fwoscc%2Ffull-record%2FWOS:000675388100007","View Full Record in Web of Science")</f>
        <v>View Full Record in Web of Science</v>
      </c>
    </row>
    <row r="178" spans="1:72" x14ac:dyDescent="0.15">
      <c r="A178" t="s">
        <v>72</v>
      </c>
      <c r="B178" t="s">
        <v>3796</v>
      </c>
      <c r="C178" t="s">
        <v>74</v>
      </c>
      <c r="D178" t="s">
        <v>74</v>
      </c>
      <c r="E178" t="s">
        <v>74</v>
      </c>
      <c r="F178" t="s">
        <v>3797</v>
      </c>
      <c r="G178" t="s">
        <v>74</v>
      </c>
      <c r="H178" t="s">
        <v>74</v>
      </c>
      <c r="I178" t="s">
        <v>3798</v>
      </c>
      <c r="J178" t="s">
        <v>3799</v>
      </c>
      <c r="K178" t="s">
        <v>74</v>
      </c>
      <c r="L178" t="s">
        <v>74</v>
      </c>
      <c r="M178" t="s">
        <v>78</v>
      </c>
      <c r="N178" t="s">
        <v>79</v>
      </c>
      <c r="O178" t="s">
        <v>74</v>
      </c>
      <c r="P178" t="s">
        <v>74</v>
      </c>
      <c r="Q178" t="s">
        <v>74</v>
      </c>
      <c r="R178" t="s">
        <v>74</v>
      </c>
      <c r="S178" t="s">
        <v>74</v>
      </c>
      <c r="T178" t="s">
        <v>3800</v>
      </c>
      <c r="U178" t="s">
        <v>3801</v>
      </c>
      <c r="V178" t="s">
        <v>3802</v>
      </c>
      <c r="W178" t="s">
        <v>3803</v>
      </c>
      <c r="X178" t="s">
        <v>3804</v>
      </c>
      <c r="Y178" t="s">
        <v>3805</v>
      </c>
      <c r="Z178" t="s">
        <v>3806</v>
      </c>
      <c r="AA178" t="s">
        <v>3807</v>
      </c>
      <c r="AB178" t="s">
        <v>3808</v>
      </c>
      <c r="AC178" t="s">
        <v>3809</v>
      </c>
      <c r="AD178" t="s">
        <v>3809</v>
      </c>
      <c r="AE178" t="s">
        <v>3810</v>
      </c>
      <c r="AF178" t="s">
        <v>74</v>
      </c>
      <c r="AG178">
        <v>46</v>
      </c>
      <c r="AH178">
        <v>27</v>
      </c>
      <c r="AI178">
        <v>29</v>
      </c>
      <c r="AJ178">
        <v>1</v>
      </c>
      <c r="AK178">
        <v>21</v>
      </c>
      <c r="AL178" t="s">
        <v>197</v>
      </c>
      <c r="AM178" t="s">
        <v>198</v>
      </c>
      <c r="AN178" t="s">
        <v>199</v>
      </c>
      <c r="AO178" t="s">
        <v>3811</v>
      </c>
      <c r="AP178" t="s">
        <v>3812</v>
      </c>
      <c r="AQ178" t="s">
        <v>74</v>
      </c>
      <c r="AR178" t="s">
        <v>3813</v>
      </c>
      <c r="AS178" t="s">
        <v>3814</v>
      </c>
      <c r="AT178" t="s">
        <v>96</v>
      </c>
      <c r="AU178">
        <v>2021</v>
      </c>
      <c r="AV178">
        <v>22</v>
      </c>
      <c r="AW178">
        <v>6</v>
      </c>
      <c r="AX178" t="s">
        <v>74</v>
      </c>
      <c r="AY178" t="s">
        <v>74</v>
      </c>
      <c r="AZ178" t="s">
        <v>74</v>
      </c>
      <c r="BA178" t="s">
        <v>74</v>
      </c>
      <c r="BB178">
        <v>1377</v>
      </c>
      <c r="BC178">
        <v>1391</v>
      </c>
      <c r="BD178" t="s">
        <v>74</v>
      </c>
      <c r="BE178" t="s">
        <v>3815</v>
      </c>
      <c r="BF178" t="str">
        <f>HYPERLINK("http://dx.doi.org/10.1111/faf.12593","http://dx.doi.org/10.1111/faf.12593")</f>
        <v>http://dx.doi.org/10.1111/faf.12593</v>
      </c>
      <c r="BG178" t="s">
        <v>74</v>
      </c>
      <c r="BH178" t="s">
        <v>2323</v>
      </c>
      <c r="BI178">
        <v>15</v>
      </c>
      <c r="BJ178" t="s">
        <v>99</v>
      </c>
      <c r="BK178" t="s">
        <v>128</v>
      </c>
      <c r="BL178" t="s">
        <v>99</v>
      </c>
      <c r="BM178" t="s">
        <v>3816</v>
      </c>
      <c r="BN178" t="s">
        <v>74</v>
      </c>
      <c r="BO178" t="s">
        <v>408</v>
      </c>
      <c r="BP178" t="s">
        <v>74</v>
      </c>
      <c r="BQ178" t="s">
        <v>74</v>
      </c>
      <c r="BR178" t="s">
        <v>102</v>
      </c>
      <c r="BS178" t="s">
        <v>3817</v>
      </c>
      <c r="BT178" t="str">
        <f>HYPERLINK("https%3A%2F%2Fwww.webofscience.com%2Fwos%2Fwoscc%2Ffull-record%2FWOS:000674286600001","View Full Record in Web of Science")</f>
        <v>View Full Record in Web of Science</v>
      </c>
    </row>
    <row r="179" spans="1:72" x14ac:dyDescent="0.15">
      <c r="A179" t="s">
        <v>72</v>
      </c>
      <c r="B179" t="s">
        <v>3818</v>
      </c>
      <c r="C179" t="s">
        <v>74</v>
      </c>
      <c r="D179" t="s">
        <v>74</v>
      </c>
      <c r="E179" t="s">
        <v>74</v>
      </c>
      <c r="F179" t="s">
        <v>3819</v>
      </c>
      <c r="G179" t="s">
        <v>74</v>
      </c>
      <c r="H179" t="s">
        <v>74</v>
      </c>
      <c r="I179" t="s">
        <v>3820</v>
      </c>
      <c r="J179" t="s">
        <v>413</v>
      </c>
      <c r="K179" t="s">
        <v>74</v>
      </c>
      <c r="L179" t="s">
        <v>74</v>
      </c>
      <c r="M179" t="s">
        <v>78</v>
      </c>
      <c r="N179" t="s">
        <v>79</v>
      </c>
      <c r="O179" t="s">
        <v>74</v>
      </c>
      <c r="P179" t="s">
        <v>74</v>
      </c>
      <c r="Q179" t="s">
        <v>74</v>
      </c>
      <c r="R179" t="s">
        <v>74</v>
      </c>
      <c r="S179" t="s">
        <v>74</v>
      </c>
      <c r="T179" t="s">
        <v>3821</v>
      </c>
      <c r="U179" t="s">
        <v>3822</v>
      </c>
      <c r="V179" t="s">
        <v>3823</v>
      </c>
      <c r="W179" t="s">
        <v>3824</v>
      </c>
      <c r="X179" t="s">
        <v>3825</v>
      </c>
      <c r="Y179" t="s">
        <v>3826</v>
      </c>
      <c r="Z179" t="s">
        <v>3827</v>
      </c>
      <c r="AA179" t="s">
        <v>3828</v>
      </c>
      <c r="AB179" t="s">
        <v>3829</v>
      </c>
      <c r="AC179" t="s">
        <v>3830</v>
      </c>
      <c r="AD179" t="s">
        <v>3831</v>
      </c>
      <c r="AE179" t="s">
        <v>3832</v>
      </c>
      <c r="AF179" t="s">
        <v>74</v>
      </c>
      <c r="AG179">
        <v>82</v>
      </c>
      <c r="AH179">
        <v>4</v>
      </c>
      <c r="AI179">
        <v>4</v>
      </c>
      <c r="AJ179">
        <v>2</v>
      </c>
      <c r="AK179">
        <v>5</v>
      </c>
      <c r="AL179" t="s">
        <v>197</v>
      </c>
      <c r="AM179" t="s">
        <v>198</v>
      </c>
      <c r="AN179" t="s">
        <v>199</v>
      </c>
      <c r="AO179" t="s">
        <v>426</v>
      </c>
      <c r="AP179" t="s">
        <v>427</v>
      </c>
      <c r="AQ179" t="s">
        <v>74</v>
      </c>
      <c r="AR179" t="s">
        <v>428</v>
      </c>
      <c r="AS179" t="s">
        <v>429</v>
      </c>
      <c r="AT179" t="s">
        <v>430</v>
      </c>
      <c r="AU179">
        <v>2022</v>
      </c>
      <c r="AV179">
        <v>37</v>
      </c>
      <c r="AW179">
        <v>5</v>
      </c>
      <c r="AX179" t="s">
        <v>74</v>
      </c>
      <c r="AY179" t="s">
        <v>74</v>
      </c>
      <c r="AZ179" t="s">
        <v>431</v>
      </c>
      <c r="BA179" t="s">
        <v>74</v>
      </c>
      <c r="BB179">
        <v>851</v>
      </c>
      <c r="BC179">
        <v>867</v>
      </c>
      <c r="BD179" t="s">
        <v>74</v>
      </c>
      <c r="BE179" t="s">
        <v>3833</v>
      </c>
      <c r="BF179" t="str">
        <f>HYPERLINK("http://dx.doi.org/10.1002/jqs.3342","http://dx.doi.org/10.1002/jqs.3342")</f>
        <v>http://dx.doi.org/10.1002/jqs.3342</v>
      </c>
      <c r="BG179" t="s">
        <v>74</v>
      </c>
      <c r="BH179" t="s">
        <v>2323</v>
      </c>
      <c r="BI179">
        <v>17</v>
      </c>
      <c r="BJ179" t="s">
        <v>151</v>
      </c>
      <c r="BK179" t="s">
        <v>128</v>
      </c>
      <c r="BL179" t="s">
        <v>152</v>
      </c>
      <c r="BM179" t="s">
        <v>433</v>
      </c>
      <c r="BN179" t="s">
        <v>74</v>
      </c>
      <c r="BO179" t="s">
        <v>74</v>
      </c>
      <c r="BP179" t="s">
        <v>74</v>
      </c>
      <c r="BQ179" t="s">
        <v>74</v>
      </c>
      <c r="BR179" t="s">
        <v>102</v>
      </c>
      <c r="BS179" t="s">
        <v>3834</v>
      </c>
      <c r="BT179" t="str">
        <f>HYPERLINK("https%3A%2F%2Fwww.webofscience.com%2Fwos%2Fwoscc%2Ffull-record%2FWOS:000674501300001","View Full Record in Web of Science")</f>
        <v>View Full Record in Web of Science</v>
      </c>
    </row>
    <row r="180" spans="1:72" x14ac:dyDescent="0.15">
      <c r="A180" t="s">
        <v>72</v>
      </c>
      <c r="B180" t="s">
        <v>3835</v>
      </c>
      <c r="C180" t="s">
        <v>74</v>
      </c>
      <c r="D180" t="s">
        <v>74</v>
      </c>
      <c r="E180" t="s">
        <v>74</v>
      </c>
      <c r="F180" t="s">
        <v>3836</v>
      </c>
      <c r="G180" t="s">
        <v>74</v>
      </c>
      <c r="H180" t="s">
        <v>74</v>
      </c>
      <c r="I180" t="s">
        <v>3837</v>
      </c>
      <c r="J180" t="s">
        <v>3838</v>
      </c>
      <c r="K180" t="s">
        <v>74</v>
      </c>
      <c r="L180" t="s">
        <v>74</v>
      </c>
      <c r="M180" t="s">
        <v>78</v>
      </c>
      <c r="N180" t="s">
        <v>79</v>
      </c>
      <c r="O180" t="s">
        <v>74</v>
      </c>
      <c r="P180" t="s">
        <v>74</v>
      </c>
      <c r="Q180" t="s">
        <v>74</v>
      </c>
      <c r="R180" t="s">
        <v>74</v>
      </c>
      <c r="S180" t="s">
        <v>74</v>
      </c>
      <c r="T180" t="s">
        <v>3839</v>
      </c>
      <c r="U180" t="s">
        <v>3840</v>
      </c>
      <c r="V180" t="s">
        <v>3841</v>
      </c>
      <c r="W180" t="s">
        <v>3842</v>
      </c>
      <c r="X180" t="s">
        <v>3843</v>
      </c>
      <c r="Y180" t="s">
        <v>3844</v>
      </c>
      <c r="Z180" t="s">
        <v>3845</v>
      </c>
      <c r="AA180" t="s">
        <v>3846</v>
      </c>
      <c r="AB180" t="s">
        <v>3847</v>
      </c>
      <c r="AC180" t="s">
        <v>74</v>
      </c>
      <c r="AD180" t="s">
        <v>74</v>
      </c>
      <c r="AE180" t="s">
        <v>74</v>
      </c>
      <c r="AF180" t="s">
        <v>74</v>
      </c>
      <c r="AG180">
        <v>28</v>
      </c>
      <c r="AH180">
        <v>1</v>
      </c>
      <c r="AI180">
        <v>1</v>
      </c>
      <c r="AJ180">
        <v>0</v>
      </c>
      <c r="AK180">
        <v>4</v>
      </c>
      <c r="AL180" t="s">
        <v>450</v>
      </c>
      <c r="AM180" t="s">
        <v>650</v>
      </c>
      <c r="AN180" t="s">
        <v>1957</v>
      </c>
      <c r="AO180" t="s">
        <v>3848</v>
      </c>
      <c r="AP180" t="s">
        <v>3849</v>
      </c>
      <c r="AQ180" t="s">
        <v>74</v>
      </c>
      <c r="AR180" t="s">
        <v>3850</v>
      </c>
      <c r="AS180" t="s">
        <v>3851</v>
      </c>
      <c r="AT180" t="s">
        <v>204</v>
      </c>
      <c r="AU180">
        <v>2021</v>
      </c>
      <c r="AV180">
        <v>49</v>
      </c>
      <c r="AW180">
        <v>10</v>
      </c>
      <c r="AX180" t="s">
        <v>74</v>
      </c>
      <c r="AY180" t="s">
        <v>74</v>
      </c>
      <c r="AZ180" t="s">
        <v>74</v>
      </c>
      <c r="BA180" t="s">
        <v>74</v>
      </c>
      <c r="BB180">
        <v>2575</v>
      </c>
      <c r="BC180">
        <v>2581</v>
      </c>
      <c r="BD180" t="s">
        <v>74</v>
      </c>
      <c r="BE180" t="s">
        <v>3852</v>
      </c>
      <c r="BF180" t="str">
        <f>HYPERLINK("http://dx.doi.org/10.1007/s12524-021-01412-8","http://dx.doi.org/10.1007/s12524-021-01412-8")</f>
        <v>http://dx.doi.org/10.1007/s12524-021-01412-8</v>
      </c>
      <c r="BG180" t="s">
        <v>74</v>
      </c>
      <c r="BH180" t="s">
        <v>2323</v>
      </c>
      <c r="BI180">
        <v>7</v>
      </c>
      <c r="BJ180" t="s">
        <v>3853</v>
      </c>
      <c r="BK180" t="s">
        <v>128</v>
      </c>
      <c r="BL180" t="s">
        <v>2654</v>
      </c>
      <c r="BM180" t="s">
        <v>3854</v>
      </c>
      <c r="BN180" t="s">
        <v>74</v>
      </c>
      <c r="BO180" t="s">
        <v>74</v>
      </c>
      <c r="BP180" t="s">
        <v>74</v>
      </c>
      <c r="BQ180" t="s">
        <v>74</v>
      </c>
      <c r="BR180" t="s">
        <v>102</v>
      </c>
      <c r="BS180" t="s">
        <v>3855</v>
      </c>
      <c r="BT180" t="str">
        <f>HYPERLINK("https%3A%2F%2Fwww.webofscience.com%2Fwos%2Fwoscc%2Ffull-record%2FWOS:000674206100001","View Full Record in Web of Science")</f>
        <v>View Full Record in Web of Science</v>
      </c>
    </row>
    <row r="181" spans="1:72" x14ac:dyDescent="0.15">
      <c r="A181" t="s">
        <v>72</v>
      </c>
      <c r="B181" t="s">
        <v>3856</v>
      </c>
      <c r="C181" t="s">
        <v>74</v>
      </c>
      <c r="D181" t="s">
        <v>74</v>
      </c>
      <c r="E181" t="s">
        <v>74</v>
      </c>
      <c r="F181" t="s">
        <v>3857</v>
      </c>
      <c r="G181" t="s">
        <v>74</v>
      </c>
      <c r="H181" t="s">
        <v>74</v>
      </c>
      <c r="I181" t="s">
        <v>3858</v>
      </c>
      <c r="J181" t="s">
        <v>3859</v>
      </c>
      <c r="K181" t="s">
        <v>74</v>
      </c>
      <c r="L181" t="s">
        <v>74</v>
      </c>
      <c r="M181" t="s">
        <v>78</v>
      </c>
      <c r="N181" t="s">
        <v>79</v>
      </c>
      <c r="O181" t="s">
        <v>74</v>
      </c>
      <c r="P181" t="s">
        <v>74</v>
      </c>
      <c r="Q181" t="s">
        <v>74</v>
      </c>
      <c r="R181" t="s">
        <v>74</v>
      </c>
      <c r="S181" t="s">
        <v>74</v>
      </c>
      <c r="T181" t="s">
        <v>3860</v>
      </c>
      <c r="U181" t="s">
        <v>3861</v>
      </c>
      <c r="V181" t="s">
        <v>3862</v>
      </c>
      <c r="W181" t="s">
        <v>3863</v>
      </c>
      <c r="X181" t="s">
        <v>3864</v>
      </c>
      <c r="Y181" t="s">
        <v>3865</v>
      </c>
      <c r="Z181" t="s">
        <v>3866</v>
      </c>
      <c r="AA181" t="s">
        <v>3867</v>
      </c>
      <c r="AB181" t="s">
        <v>3868</v>
      </c>
      <c r="AC181" t="s">
        <v>3869</v>
      </c>
      <c r="AD181" t="s">
        <v>3870</v>
      </c>
      <c r="AE181" t="s">
        <v>3871</v>
      </c>
      <c r="AF181" t="s">
        <v>74</v>
      </c>
      <c r="AG181">
        <v>53</v>
      </c>
      <c r="AH181">
        <v>2</v>
      </c>
      <c r="AI181">
        <v>2</v>
      </c>
      <c r="AJ181">
        <v>0</v>
      </c>
      <c r="AK181">
        <v>3</v>
      </c>
      <c r="AL181" t="s">
        <v>814</v>
      </c>
      <c r="AM181" t="s">
        <v>815</v>
      </c>
      <c r="AN181" t="s">
        <v>816</v>
      </c>
      <c r="AO181" t="s">
        <v>3872</v>
      </c>
      <c r="AP181" t="s">
        <v>3873</v>
      </c>
      <c r="AQ181" t="s">
        <v>74</v>
      </c>
      <c r="AR181" t="s">
        <v>3874</v>
      </c>
      <c r="AS181" t="s">
        <v>3875</v>
      </c>
      <c r="AT181" t="s">
        <v>96</v>
      </c>
      <c r="AU181">
        <v>2021</v>
      </c>
      <c r="AV181">
        <v>191</v>
      </c>
      <c r="AW181">
        <v>6</v>
      </c>
      <c r="AX181" t="s">
        <v>74</v>
      </c>
      <c r="AY181" t="s">
        <v>74</v>
      </c>
      <c r="AZ181" t="s">
        <v>431</v>
      </c>
      <c r="BA181" t="s">
        <v>74</v>
      </c>
      <c r="BB181">
        <v>1111</v>
      </c>
      <c r="BC181">
        <v>1124</v>
      </c>
      <c r="BD181" t="s">
        <v>74</v>
      </c>
      <c r="BE181" t="s">
        <v>3876</v>
      </c>
      <c r="BF181" t="str">
        <f>HYPERLINK("http://dx.doi.org/10.1007/s00360-021-01388-4","http://dx.doi.org/10.1007/s00360-021-01388-4")</f>
        <v>http://dx.doi.org/10.1007/s00360-021-01388-4</v>
      </c>
      <c r="BG181" t="s">
        <v>74</v>
      </c>
      <c r="BH181" t="s">
        <v>2323</v>
      </c>
      <c r="BI181">
        <v>14</v>
      </c>
      <c r="BJ181" t="s">
        <v>3877</v>
      </c>
      <c r="BK181" t="s">
        <v>128</v>
      </c>
      <c r="BL181" t="s">
        <v>3877</v>
      </c>
      <c r="BM181" t="s">
        <v>3878</v>
      </c>
      <c r="BN181">
        <v>34274983</v>
      </c>
      <c r="BO181" t="s">
        <v>74</v>
      </c>
      <c r="BP181" t="s">
        <v>74</v>
      </c>
      <c r="BQ181" t="s">
        <v>74</v>
      </c>
      <c r="BR181" t="s">
        <v>102</v>
      </c>
      <c r="BS181" t="s">
        <v>3879</v>
      </c>
      <c r="BT181" t="str">
        <f>HYPERLINK("https%3A%2F%2Fwww.webofscience.com%2Fwos%2Fwoscc%2Ffull-record%2FWOS:000673742200001","View Full Record in Web of Science")</f>
        <v>View Full Record in Web of Science</v>
      </c>
    </row>
    <row r="182" spans="1:72" x14ac:dyDescent="0.15">
      <c r="A182" t="s">
        <v>72</v>
      </c>
      <c r="B182" t="s">
        <v>3880</v>
      </c>
      <c r="C182" t="s">
        <v>74</v>
      </c>
      <c r="D182" t="s">
        <v>74</v>
      </c>
      <c r="E182" t="s">
        <v>74</v>
      </c>
      <c r="F182" t="s">
        <v>3881</v>
      </c>
      <c r="G182" t="s">
        <v>74</v>
      </c>
      <c r="H182" t="s">
        <v>74</v>
      </c>
      <c r="I182" t="s">
        <v>3882</v>
      </c>
      <c r="J182" t="s">
        <v>2178</v>
      </c>
      <c r="K182" t="s">
        <v>74</v>
      </c>
      <c r="L182" t="s">
        <v>74</v>
      </c>
      <c r="M182" t="s">
        <v>78</v>
      </c>
      <c r="N182" t="s">
        <v>79</v>
      </c>
      <c r="O182" t="s">
        <v>74</v>
      </c>
      <c r="P182" t="s">
        <v>74</v>
      </c>
      <c r="Q182" t="s">
        <v>74</v>
      </c>
      <c r="R182" t="s">
        <v>74</v>
      </c>
      <c r="S182" t="s">
        <v>74</v>
      </c>
      <c r="T182" t="s">
        <v>3883</v>
      </c>
      <c r="U182" t="s">
        <v>3884</v>
      </c>
      <c r="V182" t="s">
        <v>3885</v>
      </c>
      <c r="W182" t="s">
        <v>3886</v>
      </c>
      <c r="X182" t="s">
        <v>3887</v>
      </c>
      <c r="Y182" t="s">
        <v>3888</v>
      </c>
      <c r="Z182" t="s">
        <v>3889</v>
      </c>
      <c r="AA182" t="s">
        <v>3890</v>
      </c>
      <c r="AB182" t="s">
        <v>3891</v>
      </c>
      <c r="AC182" t="s">
        <v>3892</v>
      </c>
      <c r="AD182" t="s">
        <v>3893</v>
      </c>
      <c r="AE182" t="s">
        <v>3894</v>
      </c>
      <c r="AF182" t="s">
        <v>74</v>
      </c>
      <c r="AG182">
        <v>157</v>
      </c>
      <c r="AH182">
        <v>14</v>
      </c>
      <c r="AI182">
        <v>15</v>
      </c>
      <c r="AJ182">
        <v>1</v>
      </c>
      <c r="AK182">
        <v>12</v>
      </c>
      <c r="AL182" t="s">
        <v>2190</v>
      </c>
      <c r="AM182" t="s">
        <v>228</v>
      </c>
      <c r="AN182" t="s">
        <v>2191</v>
      </c>
      <c r="AO182" t="s">
        <v>2192</v>
      </c>
      <c r="AP182" t="s">
        <v>2193</v>
      </c>
      <c r="AQ182" t="s">
        <v>74</v>
      </c>
      <c r="AR182" t="s">
        <v>2194</v>
      </c>
      <c r="AS182" t="s">
        <v>2195</v>
      </c>
      <c r="AT182" t="s">
        <v>3895</v>
      </c>
      <c r="AU182">
        <v>2022</v>
      </c>
      <c r="AV182">
        <v>194</v>
      </c>
      <c r="AW182">
        <v>3</v>
      </c>
      <c r="AX182" t="s">
        <v>74</v>
      </c>
      <c r="AY182" t="s">
        <v>74</v>
      </c>
      <c r="AZ182" t="s">
        <v>74</v>
      </c>
      <c r="BA182" t="s">
        <v>74</v>
      </c>
      <c r="BB182">
        <v>789</v>
      </c>
      <c r="BC182">
        <v>857</v>
      </c>
      <c r="BD182" t="s">
        <v>74</v>
      </c>
      <c r="BE182" t="s">
        <v>3896</v>
      </c>
      <c r="BF182" t="str">
        <f>HYPERLINK("http://dx.doi.org/10.1093/zoolinnean/zlab031","http://dx.doi.org/10.1093/zoolinnean/zlab031")</f>
        <v>http://dx.doi.org/10.1093/zoolinnean/zlab031</v>
      </c>
      <c r="BG182" t="s">
        <v>74</v>
      </c>
      <c r="BH182" t="s">
        <v>2323</v>
      </c>
      <c r="BI182">
        <v>69</v>
      </c>
      <c r="BJ182" t="s">
        <v>2197</v>
      </c>
      <c r="BK182" t="s">
        <v>128</v>
      </c>
      <c r="BL182" t="s">
        <v>2197</v>
      </c>
      <c r="BM182" t="s">
        <v>3897</v>
      </c>
      <c r="BN182" t="s">
        <v>74</v>
      </c>
      <c r="BO182" t="s">
        <v>408</v>
      </c>
      <c r="BP182" t="s">
        <v>74</v>
      </c>
      <c r="BQ182" t="s">
        <v>74</v>
      </c>
      <c r="BR182" t="s">
        <v>102</v>
      </c>
      <c r="BS182" t="s">
        <v>3898</v>
      </c>
      <c r="BT182" t="str">
        <f>HYPERLINK("https%3A%2F%2Fwww.webofscience.com%2Fwos%2Fwoscc%2Ffull-record%2FWOS:000764717200001","View Full Record in Web of Science")</f>
        <v>View Full Record in Web of Science</v>
      </c>
    </row>
    <row r="183" spans="1:72" x14ac:dyDescent="0.15">
      <c r="A183" t="s">
        <v>72</v>
      </c>
      <c r="B183" t="s">
        <v>3899</v>
      </c>
      <c r="C183" t="s">
        <v>74</v>
      </c>
      <c r="D183" t="s">
        <v>74</v>
      </c>
      <c r="E183" t="s">
        <v>74</v>
      </c>
      <c r="F183" t="s">
        <v>3900</v>
      </c>
      <c r="G183" t="s">
        <v>74</v>
      </c>
      <c r="H183" t="s">
        <v>74</v>
      </c>
      <c r="I183" t="s">
        <v>3901</v>
      </c>
      <c r="J183" t="s">
        <v>243</v>
      </c>
      <c r="K183" t="s">
        <v>74</v>
      </c>
      <c r="L183" t="s">
        <v>74</v>
      </c>
      <c r="M183" t="s">
        <v>78</v>
      </c>
      <c r="N183" t="s">
        <v>79</v>
      </c>
      <c r="O183" t="s">
        <v>74</v>
      </c>
      <c r="P183" t="s">
        <v>74</v>
      </c>
      <c r="Q183" t="s">
        <v>74</v>
      </c>
      <c r="R183" t="s">
        <v>74</v>
      </c>
      <c r="S183" t="s">
        <v>74</v>
      </c>
      <c r="T183" t="s">
        <v>3902</v>
      </c>
      <c r="U183" t="s">
        <v>3903</v>
      </c>
      <c r="V183" t="s">
        <v>3904</v>
      </c>
      <c r="W183" t="s">
        <v>3905</v>
      </c>
      <c r="X183" t="s">
        <v>3906</v>
      </c>
      <c r="Y183" t="s">
        <v>3907</v>
      </c>
      <c r="Z183" t="s">
        <v>3908</v>
      </c>
      <c r="AA183" t="s">
        <v>3909</v>
      </c>
      <c r="AB183" t="s">
        <v>3910</v>
      </c>
      <c r="AC183" t="s">
        <v>3911</v>
      </c>
      <c r="AD183" t="s">
        <v>3912</v>
      </c>
      <c r="AE183" t="s">
        <v>3913</v>
      </c>
      <c r="AF183" t="s">
        <v>74</v>
      </c>
      <c r="AG183">
        <v>86</v>
      </c>
      <c r="AH183">
        <v>5</v>
      </c>
      <c r="AI183">
        <v>5</v>
      </c>
      <c r="AJ183">
        <v>4</v>
      </c>
      <c r="AK183">
        <v>34</v>
      </c>
      <c r="AL183" t="s">
        <v>89</v>
      </c>
      <c r="AM183" t="s">
        <v>90</v>
      </c>
      <c r="AN183" t="s">
        <v>91</v>
      </c>
      <c r="AO183" t="s">
        <v>256</v>
      </c>
      <c r="AP183" t="s">
        <v>257</v>
      </c>
      <c r="AQ183" t="s">
        <v>74</v>
      </c>
      <c r="AR183" t="s">
        <v>258</v>
      </c>
      <c r="AS183" t="s">
        <v>259</v>
      </c>
      <c r="AT183" t="s">
        <v>3914</v>
      </c>
      <c r="AU183">
        <v>2021</v>
      </c>
      <c r="AV183">
        <v>796</v>
      </c>
      <c r="AW183" t="s">
        <v>74</v>
      </c>
      <c r="AX183" t="s">
        <v>74</v>
      </c>
      <c r="AY183" t="s">
        <v>74</v>
      </c>
      <c r="AZ183" t="s">
        <v>74</v>
      </c>
      <c r="BA183" t="s">
        <v>74</v>
      </c>
      <c r="BB183" t="s">
        <v>74</v>
      </c>
      <c r="BC183" t="s">
        <v>74</v>
      </c>
      <c r="BD183">
        <v>149054</v>
      </c>
      <c r="BE183" t="s">
        <v>3915</v>
      </c>
      <c r="BF183" t="str">
        <f>HYPERLINK("http://dx.doi.org/10.1016/j.scitotenv.2021.149054","http://dx.doi.org/10.1016/j.scitotenv.2021.149054")</f>
        <v>http://dx.doi.org/10.1016/j.scitotenv.2021.149054</v>
      </c>
      <c r="BG183" t="s">
        <v>74</v>
      </c>
      <c r="BH183" t="s">
        <v>2323</v>
      </c>
      <c r="BI183">
        <v>13</v>
      </c>
      <c r="BJ183" t="s">
        <v>262</v>
      </c>
      <c r="BK183" t="s">
        <v>128</v>
      </c>
      <c r="BL183" t="s">
        <v>263</v>
      </c>
      <c r="BM183" t="s">
        <v>3916</v>
      </c>
      <c r="BN183">
        <v>34328894</v>
      </c>
      <c r="BO183" t="s">
        <v>291</v>
      </c>
      <c r="BP183" t="s">
        <v>74</v>
      </c>
      <c r="BQ183" t="s">
        <v>74</v>
      </c>
      <c r="BR183" t="s">
        <v>102</v>
      </c>
      <c r="BS183" t="s">
        <v>3917</v>
      </c>
      <c r="BT183" t="str">
        <f>HYPERLINK("https%3A%2F%2Fwww.webofscience.com%2Fwos%2Fwoscc%2Ffull-record%2FWOS:000697054000012","View Full Record in Web of Science")</f>
        <v>View Full Record in Web of Science</v>
      </c>
    </row>
    <row r="184" spans="1:72" x14ac:dyDescent="0.15">
      <c r="A184" t="s">
        <v>72</v>
      </c>
      <c r="B184" t="s">
        <v>3918</v>
      </c>
      <c r="C184" t="s">
        <v>74</v>
      </c>
      <c r="D184" t="s">
        <v>74</v>
      </c>
      <c r="E184" t="s">
        <v>74</v>
      </c>
      <c r="F184" t="s">
        <v>3919</v>
      </c>
      <c r="G184" t="s">
        <v>74</v>
      </c>
      <c r="H184" t="s">
        <v>74</v>
      </c>
      <c r="I184" t="s">
        <v>3920</v>
      </c>
      <c r="J184" t="s">
        <v>3729</v>
      </c>
      <c r="K184" t="s">
        <v>74</v>
      </c>
      <c r="L184" t="s">
        <v>74</v>
      </c>
      <c r="M184" t="s">
        <v>78</v>
      </c>
      <c r="N184" t="s">
        <v>79</v>
      </c>
      <c r="O184" t="s">
        <v>74</v>
      </c>
      <c r="P184" t="s">
        <v>74</v>
      </c>
      <c r="Q184" t="s">
        <v>74</v>
      </c>
      <c r="R184" t="s">
        <v>74</v>
      </c>
      <c r="S184" t="s">
        <v>74</v>
      </c>
      <c r="T184" t="s">
        <v>3921</v>
      </c>
      <c r="U184" t="s">
        <v>3922</v>
      </c>
      <c r="V184" t="s">
        <v>3923</v>
      </c>
      <c r="W184" t="s">
        <v>3924</v>
      </c>
      <c r="X184" t="s">
        <v>3925</v>
      </c>
      <c r="Y184" t="s">
        <v>3926</v>
      </c>
      <c r="Z184" t="s">
        <v>3927</v>
      </c>
      <c r="AA184" t="s">
        <v>3928</v>
      </c>
      <c r="AB184" t="s">
        <v>3929</v>
      </c>
      <c r="AC184" t="s">
        <v>3930</v>
      </c>
      <c r="AD184" t="s">
        <v>3931</v>
      </c>
      <c r="AE184" t="s">
        <v>3932</v>
      </c>
      <c r="AF184" t="s">
        <v>74</v>
      </c>
      <c r="AG184">
        <v>54</v>
      </c>
      <c r="AH184">
        <v>10</v>
      </c>
      <c r="AI184">
        <v>10</v>
      </c>
      <c r="AJ184">
        <v>0</v>
      </c>
      <c r="AK184">
        <v>5</v>
      </c>
      <c r="AL184" t="s">
        <v>281</v>
      </c>
      <c r="AM184" t="s">
        <v>228</v>
      </c>
      <c r="AN184" t="s">
        <v>282</v>
      </c>
      <c r="AO184" t="s">
        <v>3742</v>
      </c>
      <c r="AP184" t="s">
        <v>3743</v>
      </c>
      <c r="AQ184" t="s">
        <v>74</v>
      </c>
      <c r="AR184" t="s">
        <v>3744</v>
      </c>
      <c r="AS184" t="s">
        <v>3745</v>
      </c>
      <c r="AT184" t="s">
        <v>3746</v>
      </c>
      <c r="AU184">
        <v>2021</v>
      </c>
      <c r="AV184">
        <v>266</v>
      </c>
      <c r="AW184" t="s">
        <v>74</v>
      </c>
      <c r="AX184" t="s">
        <v>74</v>
      </c>
      <c r="AY184" t="s">
        <v>74</v>
      </c>
      <c r="AZ184" t="s">
        <v>74</v>
      </c>
      <c r="BA184" t="s">
        <v>74</v>
      </c>
      <c r="BB184" t="s">
        <v>74</v>
      </c>
      <c r="BC184" t="s">
        <v>74</v>
      </c>
      <c r="BD184">
        <v>107078</v>
      </c>
      <c r="BE184" t="s">
        <v>3933</v>
      </c>
      <c r="BF184" t="str">
        <f>HYPERLINK("http://dx.doi.org/10.1016/j.quascirev.2021.107078","http://dx.doi.org/10.1016/j.quascirev.2021.107078")</f>
        <v>http://dx.doi.org/10.1016/j.quascirev.2021.107078</v>
      </c>
      <c r="BG184" t="s">
        <v>74</v>
      </c>
      <c r="BH184" t="s">
        <v>2323</v>
      </c>
      <c r="BI184">
        <v>16</v>
      </c>
      <c r="BJ184" t="s">
        <v>151</v>
      </c>
      <c r="BK184" t="s">
        <v>128</v>
      </c>
      <c r="BL184" t="s">
        <v>152</v>
      </c>
      <c r="BM184" t="s">
        <v>3934</v>
      </c>
      <c r="BN184" t="s">
        <v>74</v>
      </c>
      <c r="BO184" t="s">
        <v>1154</v>
      </c>
      <c r="BP184" t="s">
        <v>74</v>
      </c>
      <c r="BQ184" t="s">
        <v>74</v>
      </c>
      <c r="BR184" t="s">
        <v>102</v>
      </c>
      <c r="BS184" t="s">
        <v>3935</v>
      </c>
      <c r="BT184" t="str">
        <f>HYPERLINK("https%3A%2F%2Fwww.webofscience.com%2Fwos%2Fwoscc%2Ffull-record%2FWOS:000684295900008","View Full Record in Web of Science")</f>
        <v>View Full Record in Web of Science</v>
      </c>
    </row>
    <row r="185" spans="1:72" x14ac:dyDescent="0.15">
      <c r="A185" t="s">
        <v>72</v>
      </c>
      <c r="B185" t="s">
        <v>3936</v>
      </c>
      <c r="C185" t="s">
        <v>74</v>
      </c>
      <c r="D185" t="s">
        <v>74</v>
      </c>
      <c r="E185" t="s">
        <v>74</v>
      </c>
      <c r="F185" t="s">
        <v>3937</v>
      </c>
      <c r="G185" t="s">
        <v>74</v>
      </c>
      <c r="H185" t="s">
        <v>74</v>
      </c>
      <c r="I185" t="s">
        <v>3938</v>
      </c>
      <c r="J185" t="s">
        <v>3939</v>
      </c>
      <c r="K185" t="s">
        <v>74</v>
      </c>
      <c r="L185" t="s">
        <v>74</v>
      </c>
      <c r="M185" t="s">
        <v>78</v>
      </c>
      <c r="N185" t="s">
        <v>79</v>
      </c>
      <c r="O185" t="s">
        <v>74</v>
      </c>
      <c r="P185" t="s">
        <v>74</v>
      </c>
      <c r="Q185" t="s">
        <v>74</v>
      </c>
      <c r="R185" t="s">
        <v>74</v>
      </c>
      <c r="S185" t="s">
        <v>74</v>
      </c>
      <c r="T185" t="s">
        <v>3940</v>
      </c>
      <c r="U185" t="s">
        <v>3941</v>
      </c>
      <c r="V185" t="s">
        <v>3942</v>
      </c>
      <c r="W185" t="s">
        <v>3943</v>
      </c>
      <c r="X185" t="s">
        <v>3944</v>
      </c>
      <c r="Y185" t="s">
        <v>3945</v>
      </c>
      <c r="Z185" t="s">
        <v>3946</v>
      </c>
      <c r="AA185" t="s">
        <v>3947</v>
      </c>
      <c r="AB185" t="s">
        <v>3948</v>
      </c>
      <c r="AC185" t="s">
        <v>3949</v>
      </c>
      <c r="AD185" t="s">
        <v>3949</v>
      </c>
      <c r="AE185" t="s">
        <v>3950</v>
      </c>
      <c r="AF185" t="s">
        <v>74</v>
      </c>
      <c r="AG185">
        <v>101</v>
      </c>
      <c r="AH185">
        <v>3</v>
      </c>
      <c r="AI185">
        <v>4</v>
      </c>
      <c r="AJ185">
        <v>1</v>
      </c>
      <c r="AK185">
        <v>9</v>
      </c>
      <c r="AL185" t="s">
        <v>3951</v>
      </c>
      <c r="AM185" t="s">
        <v>3952</v>
      </c>
      <c r="AN185" t="s">
        <v>3953</v>
      </c>
      <c r="AO185" t="s">
        <v>3954</v>
      </c>
      <c r="AP185" t="s">
        <v>3955</v>
      </c>
      <c r="AQ185" t="s">
        <v>74</v>
      </c>
      <c r="AR185" t="s">
        <v>3956</v>
      </c>
      <c r="AS185" t="s">
        <v>3957</v>
      </c>
      <c r="AT185" t="s">
        <v>457</v>
      </c>
      <c r="AU185">
        <v>2022</v>
      </c>
      <c r="AV185">
        <v>67</v>
      </c>
      <c r="AW185">
        <v>1</v>
      </c>
      <c r="AX185" t="s">
        <v>74</v>
      </c>
      <c r="AY185" t="s">
        <v>74</v>
      </c>
      <c r="AZ185" t="s">
        <v>74</v>
      </c>
      <c r="BA185" t="s">
        <v>74</v>
      </c>
      <c r="BB185">
        <v>218</v>
      </c>
      <c r="BC185">
        <v>232</v>
      </c>
      <c r="BD185" t="s">
        <v>74</v>
      </c>
      <c r="BE185" t="s">
        <v>3958</v>
      </c>
      <c r="BF185" t="str">
        <f>HYPERLINK("http://dx.doi.org/10.1007/s11686-021-00455-8","http://dx.doi.org/10.1007/s11686-021-00455-8")</f>
        <v>http://dx.doi.org/10.1007/s11686-021-00455-8</v>
      </c>
      <c r="BG185" t="s">
        <v>74</v>
      </c>
      <c r="BH185" t="s">
        <v>2323</v>
      </c>
      <c r="BI185">
        <v>15</v>
      </c>
      <c r="BJ185" t="s">
        <v>3959</v>
      </c>
      <c r="BK185" t="s">
        <v>128</v>
      </c>
      <c r="BL185" t="s">
        <v>3959</v>
      </c>
      <c r="BM185" t="s">
        <v>3960</v>
      </c>
      <c r="BN185">
        <v>34275092</v>
      </c>
      <c r="BO185" t="s">
        <v>1154</v>
      </c>
      <c r="BP185" t="s">
        <v>74</v>
      </c>
      <c r="BQ185" t="s">
        <v>74</v>
      </c>
      <c r="BR185" t="s">
        <v>102</v>
      </c>
      <c r="BS185" t="s">
        <v>3961</v>
      </c>
      <c r="BT185" t="str">
        <f>HYPERLINK("https%3A%2F%2Fwww.webofscience.com%2Fwos%2Fwoscc%2Ffull-record%2FWOS:000673804000002","View Full Record in Web of Science")</f>
        <v>View Full Record in Web of Science</v>
      </c>
    </row>
    <row r="186" spans="1:72" x14ac:dyDescent="0.15">
      <c r="A186" t="s">
        <v>72</v>
      </c>
      <c r="B186" t="s">
        <v>3962</v>
      </c>
      <c r="C186" t="s">
        <v>74</v>
      </c>
      <c r="D186" t="s">
        <v>74</v>
      </c>
      <c r="E186" t="s">
        <v>74</v>
      </c>
      <c r="F186" t="s">
        <v>3963</v>
      </c>
      <c r="G186" t="s">
        <v>74</v>
      </c>
      <c r="H186" t="s">
        <v>74</v>
      </c>
      <c r="I186" t="s">
        <v>3964</v>
      </c>
      <c r="J186" t="s">
        <v>3965</v>
      </c>
      <c r="K186" t="s">
        <v>74</v>
      </c>
      <c r="L186" t="s">
        <v>74</v>
      </c>
      <c r="M186" t="s">
        <v>78</v>
      </c>
      <c r="N186" t="s">
        <v>79</v>
      </c>
      <c r="O186" t="s">
        <v>74</v>
      </c>
      <c r="P186" t="s">
        <v>74</v>
      </c>
      <c r="Q186" t="s">
        <v>74</v>
      </c>
      <c r="R186" t="s">
        <v>74</v>
      </c>
      <c r="S186" t="s">
        <v>74</v>
      </c>
      <c r="T186" t="s">
        <v>3966</v>
      </c>
      <c r="U186" t="s">
        <v>3967</v>
      </c>
      <c r="V186" t="s">
        <v>3968</v>
      </c>
      <c r="W186" t="s">
        <v>3969</v>
      </c>
      <c r="X186" t="s">
        <v>3970</v>
      </c>
      <c r="Y186" t="s">
        <v>3971</v>
      </c>
      <c r="Z186" t="s">
        <v>3972</v>
      </c>
      <c r="AA186" t="s">
        <v>3973</v>
      </c>
      <c r="AB186" t="s">
        <v>3974</v>
      </c>
      <c r="AC186" t="s">
        <v>3975</v>
      </c>
      <c r="AD186" t="s">
        <v>3976</v>
      </c>
      <c r="AE186" t="s">
        <v>3977</v>
      </c>
      <c r="AF186" t="s">
        <v>74</v>
      </c>
      <c r="AG186">
        <v>89</v>
      </c>
      <c r="AH186">
        <v>19</v>
      </c>
      <c r="AI186">
        <v>19</v>
      </c>
      <c r="AJ186">
        <v>1</v>
      </c>
      <c r="AK186">
        <v>21</v>
      </c>
      <c r="AL186" t="s">
        <v>281</v>
      </c>
      <c r="AM186" t="s">
        <v>228</v>
      </c>
      <c r="AN186" t="s">
        <v>282</v>
      </c>
      <c r="AO186" t="s">
        <v>3978</v>
      </c>
      <c r="AP186" t="s">
        <v>3979</v>
      </c>
      <c r="AQ186" t="s">
        <v>74</v>
      </c>
      <c r="AR186" t="s">
        <v>3965</v>
      </c>
      <c r="AS186" t="s">
        <v>3980</v>
      </c>
      <c r="AT186" t="s">
        <v>374</v>
      </c>
      <c r="AU186">
        <v>2021</v>
      </c>
      <c r="AV186">
        <v>285</v>
      </c>
      <c r="AW186" t="s">
        <v>74</v>
      </c>
      <c r="AX186" t="s">
        <v>74</v>
      </c>
      <c r="AY186" t="s">
        <v>74</v>
      </c>
      <c r="AZ186" t="s">
        <v>74</v>
      </c>
      <c r="BA186" t="s">
        <v>74</v>
      </c>
      <c r="BB186" t="s">
        <v>74</v>
      </c>
      <c r="BC186" t="s">
        <v>74</v>
      </c>
      <c r="BD186">
        <v>131423</v>
      </c>
      <c r="BE186" t="s">
        <v>3981</v>
      </c>
      <c r="BF186" t="str">
        <f>HYPERLINK("http://dx.doi.org/10.1016/j.chemosphere.2021.131423","http://dx.doi.org/10.1016/j.chemosphere.2021.131423")</f>
        <v>http://dx.doi.org/10.1016/j.chemosphere.2021.131423</v>
      </c>
      <c r="BG186" t="s">
        <v>74</v>
      </c>
      <c r="BH186" t="s">
        <v>2323</v>
      </c>
      <c r="BI186">
        <v>9</v>
      </c>
      <c r="BJ186" t="s">
        <v>262</v>
      </c>
      <c r="BK186" t="s">
        <v>128</v>
      </c>
      <c r="BL186" t="s">
        <v>263</v>
      </c>
      <c r="BM186" t="s">
        <v>3982</v>
      </c>
      <c r="BN186">
        <v>34329144</v>
      </c>
      <c r="BO186" t="s">
        <v>1154</v>
      </c>
      <c r="BP186" t="s">
        <v>74</v>
      </c>
      <c r="BQ186" t="s">
        <v>74</v>
      </c>
      <c r="BR186" t="s">
        <v>102</v>
      </c>
      <c r="BS186" t="s">
        <v>3983</v>
      </c>
      <c r="BT186" t="str">
        <f>HYPERLINK("https%3A%2F%2Fwww.webofscience.com%2Fwos%2Fwoscc%2Ffull-record%2FWOS:000704464400004","View Full Record in Web of Science")</f>
        <v>View Full Record in Web of Science</v>
      </c>
    </row>
    <row r="187" spans="1:72" x14ac:dyDescent="0.15">
      <c r="A187" t="s">
        <v>72</v>
      </c>
      <c r="B187" t="s">
        <v>3984</v>
      </c>
      <c r="C187" t="s">
        <v>74</v>
      </c>
      <c r="D187" t="s">
        <v>74</v>
      </c>
      <c r="E187" t="s">
        <v>74</v>
      </c>
      <c r="F187" t="s">
        <v>3985</v>
      </c>
      <c r="G187" t="s">
        <v>74</v>
      </c>
      <c r="H187" t="s">
        <v>74</v>
      </c>
      <c r="I187" t="s">
        <v>3986</v>
      </c>
      <c r="J187" t="s">
        <v>3987</v>
      </c>
      <c r="K187" t="s">
        <v>74</v>
      </c>
      <c r="L187" t="s">
        <v>74</v>
      </c>
      <c r="M187" t="s">
        <v>78</v>
      </c>
      <c r="N187" t="s">
        <v>79</v>
      </c>
      <c r="O187" t="s">
        <v>74</v>
      </c>
      <c r="P187" t="s">
        <v>74</v>
      </c>
      <c r="Q187" t="s">
        <v>74</v>
      </c>
      <c r="R187" t="s">
        <v>74</v>
      </c>
      <c r="S187" t="s">
        <v>74</v>
      </c>
      <c r="T187" t="s">
        <v>3988</v>
      </c>
      <c r="U187" t="s">
        <v>3989</v>
      </c>
      <c r="V187" t="s">
        <v>3990</v>
      </c>
      <c r="W187" t="s">
        <v>3991</v>
      </c>
      <c r="X187" t="s">
        <v>3992</v>
      </c>
      <c r="Y187" t="s">
        <v>3993</v>
      </c>
      <c r="Z187" t="s">
        <v>3994</v>
      </c>
      <c r="AA187" t="s">
        <v>3995</v>
      </c>
      <c r="AB187" t="s">
        <v>3996</v>
      </c>
      <c r="AC187" t="s">
        <v>3997</v>
      </c>
      <c r="AD187" t="s">
        <v>3998</v>
      </c>
      <c r="AE187" t="s">
        <v>3999</v>
      </c>
      <c r="AF187" t="s">
        <v>74</v>
      </c>
      <c r="AG187">
        <v>57</v>
      </c>
      <c r="AH187">
        <v>15</v>
      </c>
      <c r="AI187">
        <v>16</v>
      </c>
      <c r="AJ187">
        <v>4</v>
      </c>
      <c r="AK187">
        <v>46</v>
      </c>
      <c r="AL187" t="s">
        <v>89</v>
      </c>
      <c r="AM187" t="s">
        <v>90</v>
      </c>
      <c r="AN187" t="s">
        <v>4000</v>
      </c>
      <c r="AO187" t="s">
        <v>4001</v>
      </c>
      <c r="AP187" t="s">
        <v>4002</v>
      </c>
      <c r="AQ187" t="s">
        <v>74</v>
      </c>
      <c r="AR187" t="s">
        <v>4003</v>
      </c>
      <c r="AS187" t="s">
        <v>4004</v>
      </c>
      <c r="AT187" t="s">
        <v>204</v>
      </c>
      <c r="AU187">
        <v>2021</v>
      </c>
      <c r="AV187">
        <v>148</v>
      </c>
      <c r="AW187" t="s">
        <v>74</v>
      </c>
      <c r="AX187" t="s">
        <v>74</v>
      </c>
      <c r="AY187" t="s">
        <v>74</v>
      </c>
      <c r="AZ187" t="s">
        <v>74</v>
      </c>
      <c r="BA187" t="s">
        <v>74</v>
      </c>
      <c r="BB187" t="s">
        <v>74</v>
      </c>
      <c r="BC187" t="s">
        <v>74</v>
      </c>
      <c r="BD187">
        <v>110456</v>
      </c>
      <c r="BE187" t="s">
        <v>4005</v>
      </c>
      <c r="BF187" t="str">
        <f>HYPERLINK("http://dx.doi.org/10.1016/j.foodres.2021.110456","http://dx.doi.org/10.1016/j.foodres.2021.110456")</f>
        <v>http://dx.doi.org/10.1016/j.foodres.2021.110456</v>
      </c>
      <c r="BG187" t="s">
        <v>74</v>
      </c>
      <c r="BH187" t="s">
        <v>2323</v>
      </c>
      <c r="BI187">
        <v>13</v>
      </c>
      <c r="BJ187" t="s">
        <v>4006</v>
      </c>
      <c r="BK187" t="s">
        <v>128</v>
      </c>
      <c r="BL187" t="s">
        <v>4006</v>
      </c>
      <c r="BM187" t="s">
        <v>4007</v>
      </c>
      <c r="BN187">
        <v>34507719</v>
      </c>
      <c r="BO187" t="s">
        <v>74</v>
      </c>
      <c r="BP187" t="s">
        <v>74</v>
      </c>
      <c r="BQ187" t="s">
        <v>74</v>
      </c>
      <c r="BR187" t="s">
        <v>102</v>
      </c>
      <c r="BS187" t="s">
        <v>4008</v>
      </c>
      <c r="BT187" t="str">
        <f>HYPERLINK("https%3A%2F%2Fwww.webofscience.com%2Fwos%2Fwoscc%2Ffull-record%2FWOS:000697718700001","View Full Record in Web of Science")</f>
        <v>View Full Record in Web of Science</v>
      </c>
    </row>
    <row r="188" spans="1:72" x14ac:dyDescent="0.15">
      <c r="A188" t="s">
        <v>72</v>
      </c>
      <c r="B188" t="s">
        <v>4009</v>
      </c>
      <c r="C188" t="s">
        <v>74</v>
      </c>
      <c r="D188" t="s">
        <v>74</v>
      </c>
      <c r="E188" t="s">
        <v>74</v>
      </c>
      <c r="F188" t="s">
        <v>4010</v>
      </c>
      <c r="G188" t="s">
        <v>74</v>
      </c>
      <c r="H188" t="s">
        <v>74</v>
      </c>
      <c r="I188" t="s">
        <v>4011</v>
      </c>
      <c r="J188" t="s">
        <v>2457</v>
      </c>
      <c r="K188" t="s">
        <v>74</v>
      </c>
      <c r="L188" t="s">
        <v>74</v>
      </c>
      <c r="M188" t="s">
        <v>78</v>
      </c>
      <c r="N188" t="s">
        <v>79</v>
      </c>
      <c r="O188" t="s">
        <v>74</v>
      </c>
      <c r="P188" t="s">
        <v>74</v>
      </c>
      <c r="Q188" t="s">
        <v>74</v>
      </c>
      <c r="R188" t="s">
        <v>74</v>
      </c>
      <c r="S188" t="s">
        <v>74</v>
      </c>
      <c r="T188" t="s">
        <v>74</v>
      </c>
      <c r="U188" t="s">
        <v>4012</v>
      </c>
      <c r="V188" t="s">
        <v>4013</v>
      </c>
      <c r="W188" t="s">
        <v>4014</v>
      </c>
      <c r="X188" t="s">
        <v>4015</v>
      </c>
      <c r="Y188" t="s">
        <v>4016</v>
      </c>
      <c r="Z188" t="s">
        <v>4017</v>
      </c>
      <c r="AA188" t="s">
        <v>4018</v>
      </c>
      <c r="AB188" t="s">
        <v>4019</v>
      </c>
      <c r="AC188" t="s">
        <v>4020</v>
      </c>
      <c r="AD188" t="s">
        <v>4021</v>
      </c>
      <c r="AE188" t="s">
        <v>4022</v>
      </c>
      <c r="AF188" t="s">
        <v>74</v>
      </c>
      <c r="AG188">
        <v>55</v>
      </c>
      <c r="AH188">
        <v>15</v>
      </c>
      <c r="AI188">
        <v>16</v>
      </c>
      <c r="AJ188">
        <v>9</v>
      </c>
      <c r="AK188">
        <v>45</v>
      </c>
      <c r="AL188" t="s">
        <v>864</v>
      </c>
      <c r="AM188" t="s">
        <v>865</v>
      </c>
      <c r="AN188" t="s">
        <v>866</v>
      </c>
      <c r="AO188" t="s">
        <v>2469</v>
      </c>
      <c r="AP188" t="s">
        <v>2470</v>
      </c>
      <c r="AQ188" t="s">
        <v>74</v>
      </c>
      <c r="AR188" t="s">
        <v>2471</v>
      </c>
      <c r="AS188" t="s">
        <v>2472</v>
      </c>
      <c r="AT188" t="s">
        <v>4023</v>
      </c>
      <c r="AU188">
        <v>2021</v>
      </c>
      <c r="AV188">
        <v>48</v>
      </c>
      <c r="AW188">
        <v>13</v>
      </c>
      <c r="AX188" t="s">
        <v>74</v>
      </c>
      <c r="AY188" t="s">
        <v>74</v>
      </c>
      <c r="AZ188" t="s">
        <v>74</v>
      </c>
      <c r="BA188" t="s">
        <v>74</v>
      </c>
      <c r="BB188" t="s">
        <v>74</v>
      </c>
      <c r="BC188" t="s">
        <v>74</v>
      </c>
      <c r="BD188" t="s">
        <v>4024</v>
      </c>
      <c r="BE188" t="s">
        <v>4025</v>
      </c>
      <c r="BF188" t="str">
        <f>HYPERLINK("http://dx.doi.org/10.1029/2021GL094068","http://dx.doi.org/10.1029/2021GL094068")</f>
        <v>http://dx.doi.org/10.1029/2021GL094068</v>
      </c>
      <c r="BG188" t="s">
        <v>74</v>
      </c>
      <c r="BH188" t="s">
        <v>74</v>
      </c>
      <c r="BI188">
        <v>12</v>
      </c>
      <c r="BJ188" t="s">
        <v>405</v>
      </c>
      <c r="BK188" t="s">
        <v>128</v>
      </c>
      <c r="BL188" t="s">
        <v>406</v>
      </c>
      <c r="BM188" t="s">
        <v>4026</v>
      </c>
      <c r="BN188" t="s">
        <v>74</v>
      </c>
      <c r="BO188" t="s">
        <v>2514</v>
      </c>
      <c r="BP188" t="s">
        <v>74</v>
      </c>
      <c r="BQ188" t="s">
        <v>74</v>
      </c>
      <c r="BR188" t="s">
        <v>102</v>
      </c>
      <c r="BS188" t="s">
        <v>4027</v>
      </c>
      <c r="BT188" t="str">
        <f>HYPERLINK("https%3A%2F%2Fwww.webofscience.com%2Fwos%2Fwoscc%2Ffull-record%2FWOS:000694024600002","View Full Record in Web of Science")</f>
        <v>View Full Record in Web of Science</v>
      </c>
    </row>
    <row r="189" spans="1:72" x14ac:dyDescent="0.15">
      <c r="A189" t="s">
        <v>72</v>
      </c>
      <c r="B189" t="s">
        <v>4028</v>
      </c>
      <c r="C189" t="s">
        <v>74</v>
      </c>
      <c r="D189" t="s">
        <v>74</v>
      </c>
      <c r="E189" t="s">
        <v>74</v>
      </c>
      <c r="F189" t="s">
        <v>4029</v>
      </c>
      <c r="G189" t="s">
        <v>74</v>
      </c>
      <c r="H189" t="s">
        <v>74</v>
      </c>
      <c r="I189" t="s">
        <v>4030</v>
      </c>
      <c r="J189" t="s">
        <v>4031</v>
      </c>
      <c r="K189" t="s">
        <v>74</v>
      </c>
      <c r="L189" t="s">
        <v>74</v>
      </c>
      <c r="M189" t="s">
        <v>78</v>
      </c>
      <c r="N189" t="s">
        <v>79</v>
      </c>
      <c r="O189" t="s">
        <v>74</v>
      </c>
      <c r="P189" t="s">
        <v>74</v>
      </c>
      <c r="Q189" t="s">
        <v>74</v>
      </c>
      <c r="R189" t="s">
        <v>74</v>
      </c>
      <c r="S189" t="s">
        <v>74</v>
      </c>
      <c r="T189" t="s">
        <v>4032</v>
      </c>
      <c r="U189" t="s">
        <v>4033</v>
      </c>
      <c r="V189" t="s">
        <v>4034</v>
      </c>
      <c r="W189" t="s">
        <v>4035</v>
      </c>
      <c r="X189" t="s">
        <v>4036</v>
      </c>
      <c r="Y189" t="s">
        <v>4037</v>
      </c>
      <c r="Z189" t="s">
        <v>4038</v>
      </c>
      <c r="AA189" t="s">
        <v>4039</v>
      </c>
      <c r="AB189" t="s">
        <v>4040</v>
      </c>
      <c r="AC189" t="s">
        <v>4041</v>
      </c>
      <c r="AD189" t="s">
        <v>4042</v>
      </c>
      <c r="AE189" t="s">
        <v>4043</v>
      </c>
      <c r="AF189" t="s">
        <v>74</v>
      </c>
      <c r="AG189">
        <v>90</v>
      </c>
      <c r="AH189">
        <v>10</v>
      </c>
      <c r="AI189">
        <v>10</v>
      </c>
      <c r="AJ189">
        <v>1</v>
      </c>
      <c r="AK189">
        <v>4</v>
      </c>
      <c r="AL189" t="s">
        <v>227</v>
      </c>
      <c r="AM189" t="s">
        <v>228</v>
      </c>
      <c r="AN189" t="s">
        <v>229</v>
      </c>
      <c r="AO189" t="s">
        <v>4044</v>
      </c>
      <c r="AP189" t="s">
        <v>4045</v>
      </c>
      <c r="AQ189" t="s">
        <v>74</v>
      </c>
      <c r="AR189" t="s">
        <v>4046</v>
      </c>
      <c r="AS189" t="s">
        <v>4047</v>
      </c>
      <c r="AT189" t="s">
        <v>402</v>
      </c>
      <c r="AU189">
        <v>2021</v>
      </c>
      <c r="AV189">
        <v>165</v>
      </c>
      <c r="AW189" t="s">
        <v>74</v>
      </c>
      <c r="AX189" t="s">
        <v>74</v>
      </c>
      <c r="AY189" t="s">
        <v>74</v>
      </c>
      <c r="AZ189" t="s">
        <v>74</v>
      </c>
      <c r="BA189" t="s">
        <v>74</v>
      </c>
      <c r="BB189" t="s">
        <v>74</v>
      </c>
      <c r="BC189" t="s">
        <v>74</v>
      </c>
      <c r="BD189">
        <v>101843</v>
      </c>
      <c r="BE189" t="s">
        <v>4048</v>
      </c>
      <c r="BF189" t="str">
        <f>HYPERLINK("http://dx.doi.org/10.1016/j.ocemod.2021.101843","http://dx.doi.org/10.1016/j.ocemod.2021.101843")</f>
        <v>http://dx.doi.org/10.1016/j.ocemod.2021.101843</v>
      </c>
      <c r="BG189" t="s">
        <v>74</v>
      </c>
      <c r="BH189" t="s">
        <v>2323</v>
      </c>
      <c r="BI189">
        <v>18</v>
      </c>
      <c r="BJ189" t="s">
        <v>4049</v>
      </c>
      <c r="BK189" t="s">
        <v>128</v>
      </c>
      <c r="BL189" t="s">
        <v>4049</v>
      </c>
      <c r="BM189" t="s">
        <v>4050</v>
      </c>
      <c r="BN189" t="s">
        <v>74</v>
      </c>
      <c r="BO189" t="s">
        <v>291</v>
      </c>
      <c r="BP189" t="s">
        <v>74</v>
      </c>
      <c r="BQ189" t="s">
        <v>74</v>
      </c>
      <c r="BR189" t="s">
        <v>102</v>
      </c>
      <c r="BS189" t="s">
        <v>4051</v>
      </c>
      <c r="BT189" t="str">
        <f>HYPERLINK("https%3A%2F%2Fwww.webofscience.com%2Fwos%2Fwoscc%2Ffull-record%2FWOS:000686747000002","View Full Record in Web of Science")</f>
        <v>View Full Record in Web of Science</v>
      </c>
    </row>
    <row r="190" spans="1:72" x14ac:dyDescent="0.15">
      <c r="A190" t="s">
        <v>72</v>
      </c>
      <c r="B190" t="s">
        <v>4052</v>
      </c>
      <c r="C190" t="s">
        <v>74</v>
      </c>
      <c r="D190" t="s">
        <v>74</v>
      </c>
      <c r="E190" t="s">
        <v>74</v>
      </c>
      <c r="F190" t="s">
        <v>4053</v>
      </c>
      <c r="G190" t="s">
        <v>74</v>
      </c>
      <c r="H190" t="s">
        <v>74</v>
      </c>
      <c r="I190" t="s">
        <v>4054</v>
      </c>
      <c r="J190" t="s">
        <v>4055</v>
      </c>
      <c r="K190" t="s">
        <v>74</v>
      </c>
      <c r="L190" t="s">
        <v>74</v>
      </c>
      <c r="M190" t="s">
        <v>78</v>
      </c>
      <c r="N190" t="s">
        <v>79</v>
      </c>
      <c r="O190" t="s">
        <v>74</v>
      </c>
      <c r="P190" t="s">
        <v>74</v>
      </c>
      <c r="Q190" t="s">
        <v>74</v>
      </c>
      <c r="R190" t="s">
        <v>74</v>
      </c>
      <c r="S190" t="s">
        <v>74</v>
      </c>
      <c r="T190" t="s">
        <v>74</v>
      </c>
      <c r="U190" t="s">
        <v>4056</v>
      </c>
      <c r="V190" t="s">
        <v>4057</v>
      </c>
      <c r="W190" t="s">
        <v>4058</v>
      </c>
      <c r="X190" t="s">
        <v>4059</v>
      </c>
      <c r="Y190" t="s">
        <v>4060</v>
      </c>
      <c r="Z190" t="s">
        <v>4061</v>
      </c>
      <c r="AA190" t="s">
        <v>4062</v>
      </c>
      <c r="AB190" t="s">
        <v>4063</v>
      </c>
      <c r="AC190" t="s">
        <v>4064</v>
      </c>
      <c r="AD190" t="s">
        <v>4065</v>
      </c>
      <c r="AE190" t="s">
        <v>4066</v>
      </c>
      <c r="AF190" t="s">
        <v>74</v>
      </c>
      <c r="AG190">
        <v>71</v>
      </c>
      <c r="AH190">
        <v>30</v>
      </c>
      <c r="AI190">
        <v>31</v>
      </c>
      <c r="AJ190">
        <v>4</v>
      </c>
      <c r="AK190">
        <v>14</v>
      </c>
      <c r="AL190" t="s">
        <v>4067</v>
      </c>
      <c r="AM190" t="s">
        <v>396</v>
      </c>
      <c r="AN190" t="s">
        <v>397</v>
      </c>
      <c r="AO190" t="s">
        <v>4068</v>
      </c>
      <c r="AP190" t="s">
        <v>74</v>
      </c>
      <c r="AQ190" t="s">
        <v>74</v>
      </c>
      <c r="AR190" t="s">
        <v>4069</v>
      </c>
      <c r="AS190" t="s">
        <v>4070</v>
      </c>
      <c r="AT190" t="s">
        <v>4023</v>
      </c>
      <c r="AU190">
        <v>2021</v>
      </c>
      <c r="AV190">
        <v>12</v>
      </c>
      <c r="AW190">
        <v>1</v>
      </c>
      <c r="AX190" t="s">
        <v>74</v>
      </c>
      <c r="AY190" t="s">
        <v>74</v>
      </c>
      <c r="AZ190" t="s">
        <v>74</v>
      </c>
      <c r="BA190" t="s">
        <v>74</v>
      </c>
      <c r="BB190" t="s">
        <v>74</v>
      </c>
      <c r="BC190" t="s">
        <v>74</v>
      </c>
      <c r="BD190">
        <v>4348</v>
      </c>
      <c r="BE190" t="s">
        <v>4071</v>
      </c>
      <c r="BF190" t="str">
        <f>HYPERLINK("http://dx.doi.org/10.1038/s41467-021-24648-x","http://dx.doi.org/10.1038/s41467-021-24648-x")</f>
        <v>http://dx.doi.org/10.1038/s41467-021-24648-x</v>
      </c>
      <c r="BG190" t="s">
        <v>74</v>
      </c>
      <c r="BH190" t="s">
        <v>74</v>
      </c>
      <c r="BI190">
        <v>13</v>
      </c>
      <c r="BJ190" t="s">
        <v>2609</v>
      </c>
      <c r="BK190" t="s">
        <v>128</v>
      </c>
      <c r="BL190" t="s">
        <v>2610</v>
      </c>
      <c r="BM190" t="s">
        <v>4072</v>
      </c>
      <c r="BN190">
        <v>34272391</v>
      </c>
      <c r="BO190" t="s">
        <v>1377</v>
      </c>
      <c r="BP190" t="s">
        <v>74</v>
      </c>
      <c r="BQ190" t="s">
        <v>74</v>
      </c>
      <c r="BR190" t="s">
        <v>102</v>
      </c>
      <c r="BS190" t="s">
        <v>4073</v>
      </c>
      <c r="BT190" t="str">
        <f>HYPERLINK("https%3A%2F%2Fwww.webofscience.com%2Fwos%2Fwoscc%2Ffull-record%2FWOS:000677489800001","View Full Record in Web of Science")</f>
        <v>View Full Record in Web of Science</v>
      </c>
    </row>
    <row r="191" spans="1:72" x14ac:dyDescent="0.15">
      <c r="A191" t="s">
        <v>72</v>
      </c>
      <c r="B191" t="s">
        <v>4074</v>
      </c>
      <c r="C191" t="s">
        <v>74</v>
      </c>
      <c r="D191" t="s">
        <v>74</v>
      </c>
      <c r="E191" t="s">
        <v>74</v>
      </c>
      <c r="F191" t="s">
        <v>4075</v>
      </c>
      <c r="G191" t="s">
        <v>74</v>
      </c>
      <c r="H191" t="s">
        <v>74</v>
      </c>
      <c r="I191" t="s">
        <v>4076</v>
      </c>
      <c r="J191" t="s">
        <v>4077</v>
      </c>
      <c r="K191" t="s">
        <v>74</v>
      </c>
      <c r="L191" t="s">
        <v>74</v>
      </c>
      <c r="M191" t="s">
        <v>78</v>
      </c>
      <c r="N191" t="s">
        <v>79</v>
      </c>
      <c r="O191" t="s">
        <v>74</v>
      </c>
      <c r="P191" t="s">
        <v>74</v>
      </c>
      <c r="Q191" t="s">
        <v>74</v>
      </c>
      <c r="R191" t="s">
        <v>74</v>
      </c>
      <c r="S191" t="s">
        <v>74</v>
      </c>
      <c r="T191" t="s">
        <v>4078</v>
      </c>
      <c r="U191" t="s">
        <v>4079</v>
      </c>
      <c r="V191" t="s">
        <v>4080</v>
      </c>
      <c r="W191" t="s">
        <v>4081</v>
      </c>
      <c r="X191" t="s">
        <v>4082</v>
      </c>
      <c r="Y191" t="s">
        <v>4083</v>
      </c>
      <c r="Z191" t="s">
        <v>4084</v>
      </c>
      <c r="AA191" t="s">
        <v>4085</v>
      </c>
      <c r="AB191" t="s">
        <v>4086</v>
      </c>
      <c r="AC191" t="s">
        <v>4087</v>
      </c>
      <c r="AD191" t="s">
        <v>4088</v>
      </c>
      <c r="AE191" t="s">
        <v>4089</v>
      </c>
      <c r="AF191" t="s">
        <v>74</v>
      </c>
      <c r="AG191">
        <v>82</v>
      </c>
      <c r="AH191">
        <v>13</v>
      </c>
      <c r="AI191">
        <v>15</v>
      </c>
      <c r="AJ191">
        <v>8</v>
      </c>
      <c r="AK191">
        <v>56</v>
      </c>
      <c r="AL191" t="s">
        <v>197</v>
      </c>
      <c r="AM191" t="s">
        <v>198</v>
      </c>
      <c r="AN191" t="s">
        <v>199</v>
      </c>
      <c r="AO191" t="s">
        <v>4090</v>
      </c>
      <c r="AP191" t="s">
        <v>4091</v>
      </c>
      <c r="AQ191" t="s">
        <v>74</v>
      </c>
      <c r="AR191" t="s">
        <v>4092</v>
      </c>
      <c r="AS191" t="s">
        <v>4093</v>
      </c>
      <c r="AT191" t="s">
        <v>402</v>
      </c>
      <c r="AU191">
        <v>2021</v>
      </c>
      <c r="AV191">
        <v>30</v>
      </c>
      <c r="AW191">
        <v>17</v>
      </c>
      <c r="AX191" t="s">
        <v>74</v>
      </c>
      <c r="AY191" t="s">
        <v>74</v>
      </c>
      <c r="AZ191" t="s">
        <v>74</v>
      </c>
      <c r="BA191" t="s">
        <v>74</v>
      </c>
      <c r="BB191">
        <v>4231</v>
      </c>
      <c r="BC191">
        <v>4244</v>
      </c>
      <c r="BD191" t="s">
        <v>74</v>
      </c>
      <c r="BE191" t="s">
        <v>4094</v>
      </c>
      <c r="BF191" t="str">
        <f>HYPERLINK("http://dx.doi.org/10.1111/mec.16054","http://dx.doi.org/10.1111/mec.16054")</f>
        <v>http://dx.doi.org/10.1111/mec.16054</v>
      </c>
      <c r="BG191" t="s">
        <v>74</v>
      </c>
      <c r="BH191" t="s">
        <v>2323</v>
      </c>
      <c r="BI191">
        <v>14</v>
      </c>
      <c r="BJ191" t="s">
        <v>4095</v>
      </c>
      <c r="BK191" t="s">
        <v>128</v>
      </c>
      <c r="BL191" t="s">
        <v>4096</v>
      </c>
      <c r="BM191" t="s">
        <v>4097</v>
      </c>
      <c r="BN191">
        <v>34214230</v>
      </c>
      <c r="BO191" t="s">
        <v>74</v>
      </c>
      <c r="BP191" t="s">
        <v>74</v>
      </c>
      <c r="BQ191" t="s">
        <v>74</v>
      </c>
      <c r="BR191" t="s">
        <v>102</v>
      </c>
      <c r="BS191" t="s">
        <v>4098</v>
      </c>
      <c r="BT191" t="str">
        <f>HYPERLINK("https%3A%2F%2Fwww.webofscience.com%2Fwos%2Fwoscc%2Ffull-record%2FWOS:000674002500001","View Full Record in Web of Science")</f>
        <v>View Full Record in Web of Science</v>
      </c>
    </row>
    <row r="192" spans="1:72" x14ac:dyDescent="0.15">
      <c r="A192" t="s">
        <v>72</v>
      </c>
      <c r="B192" t="s">
        <v>4099</v>
      </c>
      <c r="C192" t="s">
        <v>74</v>
      </c>
      <c r="D192" t="s">
        <v>74</v>
      </c>
      <c r="E192" t="s">
        <v>74</v>
      </c>
      <c r="F192" t="s">
        <v>4100</v>
      </c>
      <c r="G192" t="s">
        <v>74</v>
      </c>
      <c r="H192" t="s">
        <v>74</v>
      </c>
      <c r="I192" t="s">
        <v>4101</v>
      </c>
      <c r="J192" t="s">
        <v>3624</v>
      </c>
      <c r="K192" t="s">
        <v>74</v>
      </c>
      <c r="L192" t="s">
        <v>74</v>
      </c>
      <c r="M192" t="s">
        <v>78</v>
      </c>
      <c r="N192" t="s">
        <v>79</v>
      </c>
      <c r="O192" t="s">
        <v>74</v>
      </c>
      <c r="P192" t="s">
        <v>74</v>
      </c>
      <c r="Q192" t="s">
        <v>74</v>
      </c>
      <c r="R192" t="s">
        <v>74</v>
      </c>
      <c r="S192" t="s">
        <v>74</v>
      </c>
      <c r="T192" t="s">
        <v>4102</v>
      </c>
      <c r="U192" t="s">
        <v>4103</v>
      </c>
      <c r="V192" t="s">
        <v>4104</v>
      </c>
      <c r="W192" t="s">
        <v>4105</v>
      </c>
      <c r="X192" t="s">
        <v>4106</v>
      </c>
      <c r="Y192" t="s">
        <v>4107</v>
      </c>
      <c r="Z192" t="s">
        <v>4108</v>
      </c>
      <c r="AA192" t="s">
        <v>4109</v>
      </c>
      <c r="AB192" t="s">
        <v>4110</v>
      </c>
      <c r="AC192" t="s">
        <v>4111</v>
      </c>
      <c r="AD192" t="s">
        <v>4112</v>
      </c>
      <c r="AE192" t="s">
        <v>4113</v>
      </c>
      <c r="AF192" t="s">
        <v>74</v>
      </c>
      <c r="AG192">
        <v>67</v>
      </c>
      <c r="AH192">
        <v>1</v>
      </c>
      <c r="AI192">
        <v>1</v>
      </c>
      <c r="AJ192">
        <v>3</v>
      </c>
      <c r="AK192">
        <v>14</v>
      </c>
      <c r="AL192" t="s">
        <v>450</v>
      </c>
      <c r="AM192" t="s">
        <v>650</v>
      </c>
      <c r="AN192" t="s">
        <v>1957</v>
      </c>
      <c r="AO192" t="s">
        <v>3636</v>
      </c>
      <c r="AP192" t="s">
        <v>3637</v>
      </c>
      <c r="AQ192" t="s">
        <v>74</v>
      </c>
      <c r="AR192" t="s">
        <v>3638</v>
      </c>
      <c r="AS192" t="s">
        <v>3639</v>
      </c>
      <c r="AT192" t="s">
        <v>3459</v>
      </c>
      <c r="AU192">
        <v>2022</v>
      </c>
      <c r="AV192">
        <v>58</v>
      </c>
      <c r="AW192" t="s">
        <v>4114</v>
      </c>
      <c r="AX192" t="s">
        <v>74</v>
      </c>
      <c r="AY192" t="s">
        <v>74</v>
      </c>
      <c r="AZ192" t="s">
        <v>74</v>
      </c>
      <c r="BA192" t="s">
        <v>74</v>
      </c>
      <c r="BB192">
        <v>35</v>
      </c>
      <c r="BC192">
        <v>47</v>
      </c>
      <c r="BD192" t="s">
        <v>74</v>
      </c>
      <c r="BE192" t="s">
        <v>4115</v>
      </c>
      <c r="BF192" t="str">
        <f>HYPERLINK("http://dx.doi.org/10.1007/s00382-021-05886-7","http://dx.doi.org/10.1007/s00382-021-05886-7")</f>
        <v>http://dx.doi.org/10.1007/s00382-021-05886-7</v>
      </c>
      <c r="BG192" t="s">
        <v>74</v>
      </c>
      <c r="BH192" t="s">
        <v>2323</v>
      </c>
      <c r="BI192">
        <v>13</v>
      </c>
      <c r="BJ192" t="s">
        <v>567</v>
      </c>
      <c r="BK192" t="s">
        <v>128</v>
      </c>
      <c r="BL192" t="s">
        <v>567</v>
      </c>
      <c r="BM192" t="s">
        <v>4116</v>
      </c>
      <c r="BN192" t="s">
        <v>74</v>
      </c>
      <c r="BO192" t="s">
        <v>408</v>
      </c>
      <c r="BP192" t="s">
        <v>74</v>
      </c>
      <c r="BQ192" t="s">
        <v>74</v>
      </c>
      <c r="BR192" t="s">
        <v>102</v>
      </c>
      <c r="BS192" t="s">
        <v>4117</v>
      </c>
      <c r="BT192" t="str">
        <f>HYPERLINK("https%3A%2F%2Fwww.webofscience.com%2Fwos%2Fwoscc%2Ffull-record%2FWOS:000673181100001","View Full Record in Web of Science")</f>
        <v>View Full Record in Web of Science</v>
      </c>
    </row>
    <row r="193" spans="1:72" x14ac:dyDescent="0.15">
      <c r="A193" t="s">
        <v>72</v>
      </c>
      <c r="B193" t="s">
        <v>4118</v>
      </c>
      <c r="C193" t="s">
        <v>74</v>
      </c>
      <c r="D193" t="s">
        <v>74</v>
      </c>
      <c r="E193" t="s">
        <v>74</v>
      </c>
      <c r="F193" t="s">
        <v>4119</v>
      </c>
      <c r="G193" t="s">
        <v>74</v>
      </c>
      <c r="H193" t="s">
        <v>74</v>
      </c>
      <c r="I193" t="s">
        <v>4120</v>
      </c>
      <c r="J193" t="s">
        <v>2457</v>
      </c>
      <c r="K193" t="s">
        <v>74</v>
      </c>
      <c r="L193" t="s">
        <v>74</v>
      </c>
      <c r="M193" t="s">
        <v>78</v>
      </c>
      <c r="N193" t="s">
        <v>79</v>
      </c>
      <c r="O193" t="s">
        <v>74</v>
      </c>
      <c r="P193" t="s">
        <v>74</v>
      </c>
      <c r="Q193" t="s">
        <v>74</v>
      </c>
      <c r="R193" t="s">
        <v>74</v>
      </c>
      <c r="S193" t="s">
        <v>74</v>
      </c>
      <c r="T193" t="s">
        <v>4121</v>
      </c>
      <c r="U193" t="s">
        <v>4122</v>
      </c>
      <c r="V193" t="s">
        <v>4123</v>
      </c>
      <c r="W193" t="s">
        <v>4124</v>
      </c>
      <c r="X193" t="s">
        <v>4125</v>
      </c>
      <c r="Y193" t="s">
        <v>4126</v>
      </c>
      <c r="Z193" t="s">
        <v>4127</v>
      </c>
      <c r="AA193" t="s">
        <v>74</v>
      </c>
      <c r="AB193" t="s">
        <v>4128</v>
      </c>
      <c r="AC193" t="s">
        <v>4129</v>
      </c>
      <c r="AD193" t="s">
        <v>4130</v>
      </c>
      <c r="AE193" t="s">
        <v>4131</v>
      </c>
      <c r="AF193" t="s">
        <v>74</v>
      </c>
      <c r="AG193">
        <v>37</v>
      </c>
      <c r="AH193">
        <v>2</v>
      </c>
      <c r="AI193">
        <v>2</v>
      </c>
      <c r="AJ193">
        <v>1</v>
      </c>
      <c r="AK193">
        <v>7</v>
      </c>
      <c r="AL193" t="s">
        <v>864</v>
      </c>
      <c r="AM193" t="s">
        <v>865</v>
      </c>
      <c r="AN193" t="s">
        <v>866</v>
      </c>
      <c r="AO193" t="s">
        <v>2469</v>
      </c>
      <c r="AP193" t="s">
        <v>2470</v>
      </c>
      <c r="AQ193" t="s">
        <v>74</v>
      </c>
      <c r="AR193" t="s">
        <v>2471</v>
      </c>
      <c r="AS193" t="s">
        <v>2472</v>
      </c>
      <c r="AT193" t="s">
        <v>4023</v>
      </c>
      <c r="AU193">
        <v>2021</v>
      </c>
      <c r="AV193">
        <v>48</v>
      </c>
      <c r="AW193">
        <v>13</v>
      </c>
      <c r="AX193" t="s">
        <v>74</v>
      </c>
      <c r="AY193" t="s">
        <v>74</v>
      </c>
      <c r="AZ193" t="s">
        <v>74</v>
      </c>
      <c r="BA193" t="s">
        <v>74</v>
      </c>
      <c r="BB193" t="s">
        <v>74</v>
      </c>
      <c r="BC193" t="s">
        <v>74</v>
      </c>
      <c r="BD193" t="s">
        <v>4132</v>
      </c>
      <c r="BE193" t="s">
        <v>4133</v>
      </c>
      <c r="BF193" t="str">
        <f>HYPERLINK("http://dx.doi.org/10.1029/2021GL093479","http://dx.doi.org/10.1029/2021GL093479")</f>
        <v>http://dx.doi.org/10.1029/2021GL093479</v>
      </c>
      <c r="BG193" t="s">
        <v>74</v>
      </c>
      <c r="BH193" t="s">
        <v>74</v>
      </c>
      <c r="BI193">
        <v>10</v>
      </c>
      <c r="BJ193" t="s">
        <v>405</v>
      </c>
      <c r="BK193" t="s">
        <v>128</v>
      </c>
      <c r="BL193" t="s">
        <v>406</v>
      </c>
      <c r="BM193" t="s">
        <v>4134</v>
      </c>
      <c r="BN193" t="s">
        <v>74</v>
      </c>
      <c r="BO193" t="s">
        <v>291</v>
      </c>
      <c r="BP193" t="s">
        <v>74</v>
      </c>
      <c r="BQ193" t="s">
        <v>74</v>
      </c>
      <c r="BR193" t="s">
        <v>102</v>
      </c>
      <c r="BS193" t="s">
        <v>4135</v>
      </c>
      <c r="BT193" t="str">
        <f>HYPERLINK("https%3A%2F%2Fwww.webofscience.com%2Fwos%2Fwoscc%2Ffull-record%2FWOS:000694024100004","View Full Record in Web of Science")</f>
        <v>View Full Record in Web of Science</v>
      </c>
    </row>
    <row r="194" spans="1:72" x14ac:dyDescent="0.15">
      <c r="A194" t="s">
        <v>72</v>
      </c>
      <c r="B194" t="s">
        <v>4136</v>
      </c>
      <c r="C194" t="s">
        <v>74</v>
      </c>
      <c r="D194" t="s">
        <v>74</v>
      </c>
      <c r="E194" t="s">
        <v>74</v>
      </c>
      <c r="F194" t="s">
        <v>4137</v>
      </c>
      <c r="G194" t="s">
        <v>74</v>
      </c>
      <c r="H194" t="s">
        <v>74</v>
      </c>
      <c r="I194" t="s">
        <v>4138</v>
      </c>
      <c r="J194" t="s">
        <v>3729</v>
      </c>
      <c r="K194" t="s">
        <v>74</v>
      </c>
      <c r="L194" t="s">
        <v>74</v>
      </c>
      <c r="M194" t="s">
        <v>78</v>
      </c>
      <c r="N194" t="s">
        <v>79</v>
      </c>
      <c r="O194" t="s">
        <v>74</v>
      </c>
      <c r="P194" t="s">
        <v>74</v>
      </c>
      <c r="Q194" t="s">
        <v>74</v>
      </c>
      <c r="R194" t="s">
        <v>74</v>
      </c>
      <c r="S194" t="s">
        <v>74</v>
      </c>
      <c r="T194" t="s">
        <v>4139</v>
      </c>
      <c r="U194" t="s">
        <v>4140</v>
      </c>
      <c r="V194" t="s">
        <v>4141</v>
      </c>
      <c r="W194" t="s">
        <v>4142</v>
      </c>
      <c r="X194" t="s">
        <v>4143</v>
      </c>
      <c r="Y194" t="s">
        <v>4144</v>
      </c>
      <c r="Z194" t="s">
        <v>4145</v>
      </c>
      <c r="AA194" t="s">
        <v>4146</v>
      </c>
      <c r="AB194" t="s">
        <v>4147</v>
      </c>
      <c r="AC194" t="s">
        <v>4148</v>
      </c>
      <c r="AD194" t="s">
        <v>4149</v>
      </c>
      <c r="AE194" t="s">
        <v>4150</v>
      </c>
      <c r="AF194" t="s">
        <v>74</v>
      </c>
      <c r="AG194">
        <v>241</v>
      </c>
      <c r="AH194">
        <v>3</v>
      </c>
      <c r="AI194">
        <v>4</v>
      </c>
      <c r="AJ194">
        <v>4</v>
      </c>
      <c r="AK194">
        <v>23</v>
      </c>
      <c r="AL194" t="s">
        <v>281</v>
      </c>
      <c r="AM194" t="s">
        <v>228</v>
      </c>
      <c r="AN194" t="s">
        <v>282</v>
      </c>
      <c r="AO194" t="s">
        <v>3742</v>
      </c>
      <c r="AP194" t="s">
        <v>3743</v>
      </c>
      <c r="AQ194" t="s">
        <v>74</v>
      </c>
      <c r="AR194" t="s">
        <v>3744</v>
      </c>
      <c r="AS194" t="s">
        <v>3745</v>
      </c>
      <c r="AT194" t="s">
        <v>3746</v>
      </c>
      <c r="AU194">
        <v>2021</v>
      </c>
      <c r="AV194">
        <v>266</v>
      </c>
      <c r="AW194" t="s">
        <v>74</v>
      </c>
      <c r="AX194" t="s">
        <v>74</v>
      </c>
      <c r="AY194" t="s">
        <v>74</v>
      </c>
      <c r="AZ194" t="s">
        <v>74</v>
      </c>
      <c r="BA194" t="s">
        <v>74</v>
      </c>
      <c r="BB194" t="s">
        <v>74</v>
      </c>
      <c r="BC194" t="s">
        <v>74</v>
      </c>
      <c r="BD194">
        <v>107069</v>
      </c>
      <c r="BE194" t="s">
        <v>4151</v>
      </c>
      <c r="BF194" t="str">
        <f>HYPERLINK("http://dx.doi.org/10.1016/j.quascirev.2021.107069","http://dx.doi.org/10.1016/j.quascirev.2021.107069")</f>
        <v>http://dx.doi.org/10.1016/j.quascirev.2021.107069</v>
      </c>
      <c r="BG194" t="s">
        <v>74</v>
      </c>
      <c r="BH194" t="s">
        <v>2323</v>
      </c>
      <c r="BI194">
        <v>23</v>
      </c>
      <c r="BJ194" t="s">
        <v>151</v>
      </c>
      <c r="BK194" t="s">
        <v>128</v>
      </c>
      <c r="BL194" t="s">
        <v>152</v>
      </c>
      <c r="BM194" t="s">
        <v>3748</v>
      </c>
      <c r="BN194" t="s">
        <v>74</v>
      </c>
      <c r="BO194" t="s">
        <v>2514</v>
      </c>
      <c r="BP194" t="s">
        <v>74</v>
      </c>
      <c r="BQ194" t="s">
        <v>74</v>
      </c>
      <c r="BR194" t="s">
        <v>102</v>
      </c>
      <c r="BS194" t="s">
        <v>4152</v>
      </c>
      <c r="BT194" t="str">
        <f>HYPERLINK("https%3A%2F%2Fwww.webofscience.com%2Fwos%2Fwoscc%2Ffull-record%2FWOS:000694899400009","View Full Record in Web of Science")</f>
        <v>View Full Record in Web of Science</v>
      </c>
    </row>
    <row r="195" spans="1:72" x14ac:dyDescent="0.15">
      <c r="A195" t="s">
        <v>72</v>
      </c>
      <c r="B195" t="s">
        <v>4153</v>
      </c>
      <c r="C195" t="s">
        <v>74</v>
      </c>
      <c r="D195" t="s">
        <v>74</v>
      </c>
      <c r="E195" t="s">
        <v>74</v>
      </c>
      <c r="F195" t="s">
        <v>4154</v>
      </c>
      <c r="G195" t="s">
        <v>74</v>
      </c>
      <c r="H195" t="s">
        <v>74</v>
      </c>
      <c r="I195" t="s">
        <v>4155</v>
      </c>
      <c r="J195" t="s">
        <v>4156</v>
      </c>
      <c r="K195" t="s">
        <v>74</v>
      </c>
      <c r="L195" t="s">
        <v>74</v>
      </c>
      <c r="M195" t="s">
        <v>78</v>
      </c>
      <c r="N195" t="s">
        <v>79</v>
      </c>
      <c r="O195" t="s">
        <v>74</v>
      </c>
      <c r="P195" t="s">
        <v>74</v>
      </c>
      <c r="Q195" t="s">
        <v>74</v>
      </c>
      <c r="R195" t="s">
        <v>74</v>
      </c>
      <c r="S195" t="s">
        <v>74</v>
      </c>
      <c r="T195" t="s">
        <v>4157</v>
      </c>
      <c r="U195" t="s">
        <v>4158</v>
      </c>
      <c r="V195" t="s">
        <v>4159</v>
      </c>
      <c r="W195" t="s">
        <v>4160</v>
      </c>
      <c r="X195" t="s">
        <v>4161</v>
      </c>
      <c r="Y195" t="s">
        <v>4162</v>
      </c>
      <c r="Z195" t="s">
        <v>4163</v>
      </c>
      <c r="AA195" t="s">
        <v>4164</v>
      </c>
      <c r="AB195" t="s">
        <v>4165</v>
      </c>
      <c r="AC195" t="s">
        <v>4166</v>
      </c>
      <c r="AD195" t="s">
        <v>4167</v>
      </c>
      <c r="AE195" t="s">
        <v>4168</v>
      </c>
      <c r="AF195" t="s">
        <v>74</v>
      </c>
      <c r="AG195">
        <v>93</v>
      </c>
      <c r="AH195">
        <v>13</v>
      </c>
      <c r="AI195">
        <v>14</v>
      </c>
      <c r="AJ195">
        <v>2</v>
      </c>
      <c r="AK195">
        <v>27</v>
      </c>
      <c r="AL195" t="s">
        <v>89</v>
      </c>
      <c r="AM195" t="s">
        <v>90</v>
      </c>
      <c r="AN195" t="s">
        <v>91</v>
      </c>
      <c r="AO195" t="s">
        <v>4169</v>
      </c>
      <c r="AP195" t="s">
        <v>4170</v>
      </c>
      <c r="AQ195" t="s">
        <v>74</v>
      </c>
      <c r="AR195" t="s">
        <v>4171</v>
      </c>
      <c r="AS195" t="s">
        <v>4172</v>
      </c>
      <c r="AT195" t="s">
        <v>4173</v>
      </c>
      <c r="AU195">
        <v>2021</v>
      </c>
      <c r="AV195">
        <v>235</v>
      </c>
      <c r="AW195" t="s">
        <v>74</v>
      </c>
      <c r="AX195" t="s">
        <v>74</v>
      </c>
      <c r="AY195" t="s">
        <v>74</v>
      </c>
      <c r="AZ195" t="s">
        <v>74</v>
      </c>
      <c r="BA195" t="s">
        <v>74</v>
      </c>
      <c r="BB195" t="s">
        <v>74</v>
      </c>
      <c r="BC195" t="s">
        <v>74</v>
      </c>
      <c r="BD195">
        <v>104008</v>
      </c>
      <c r="BE195" t="s">
        <v>4174</v>
      </c>
      <c r="BF195" t="str">
        <f>HYPERLINK("http://dx.doi.org/10.1016/j.marchem.2021.104008","http://dx.doi.org/10.1016/j.marchem.2021.104008")</f>
        <v>http://dx.doi.org/10.1016/j.marchem.2021.104008</v>
      </c>
      <c r="BG195" t="s">
        <v>74</v>
      </c>
      <c r="BH195" t="s">
        <v>2323</v>
      </c>
      <c r="BI195">
        <v>13</v>
      </c>
      <c r="BJ195" t="s">
        <v>4175</v>
      </c>
      <c r="BK195" t="s">
        <v>128</v>
      </c>
      <c r="BL195" t="s">
        <v>4176</v>
      </c>
      <c r="BM195" t="s">
        <v>4177</v>
      </c>
      <c r="BN195" t="s">
        <v>74</v>
      </c>
      <c r="BO195" t="s">
        <v>291</v>
      </c>
      <c r="BP195" t="s">
        <v>74</v>
      </c>
      <c r="BQ195" t="s">
        <v>74</v>
      </c>
      <c r="BR195" t="s">
        <v>102</v>
      </c>
      <c r="BS195" t="s">
        <v>4178</v>
      </c>
      <c r="BT195" t="str">
        <f>HYPERLINK("https%3A%2F%2Fwww.webofscience.com%2Fwos%2Fwoscc%2Ffull-record%2FWOS:000692441600004","View Full Record in Web of Science")</f>
        <v>View Full Record in Web of Science</v>
      </c>
    </row>
    <row r="196" spans="1:72" x14ac:dyDescent="0.15">
      <c r="A196" t="s">
        <v>72</v>
      </c>
      <c r="B196" t="s">
        <v>4179</v>
      </c>
      <c r="C196" t="s">
        <v>74</v>
      </c>
      <c r="D196" t="s">
        <v>74</v>
      </c>
      <c r="E196" t="s">
        <v>74</v>
      </c>
      <c r="F196" t="s">
        <v>4180</v>
      </c>
      <c r="G196" t="s">
        <v>74</v>
      </c>
      <c r="H196" t="s">
        <v>74</v>
      </c>
      <c r="I196" t="s">
        <v>4181</v>
      </c>
      <c r="J196" t="s">
        <v>4182</v>
      </c>
      <c r="K196" t="s">
        <v>74</v>
      </c>
      <c r="L196" t="s">
        <v>74</v>
      </c>
      <c r="M196" t="s">
        <v>78</v>
      </c>
      <c r="N196" t="s">
        <v>79</v>
      </c>
      <c r="O196" t="s">
        <v>74</v>
      </c>
      <c r="P196" t="s">
        <v>74</v>
      </c>
      <c r="Q196" t="s">
        <v>74</v>
      </c>
      <c r="R196" t="s">
        <v>74</v>
      </c>
      <c r="S196" t="s">
        <v>74</v>
      </c>
      <c r="T196" t="s">
        <v>4183</v>
      </c>
      <c r="U196" t="s">
        <v>4184</v>
      </c>
      <c r="V196" t="s">
        <v>4185</v>
      </c>
      <c r="W196" t="s">
        <v>4186</v>
      </c>
      <c r="X196" t="s">
        <v>4187</v>
      </c>
      <c r="Y196" t="s">
        <v>4188</v>
      </c>
      <c r="Z196" t="s">
        <v>4189</v>
      </c>
      <c r="AA196" t="s">
        <v>4190</v>
      </c>
      <c r="AB196" t="s">
        <v>4191</v>
      </c>
      <c r="AC196" t="s">
        <v>74</v>
      </c>
      <c r="AD196" t="s">
        <v>74</v>
      </c>
      <c r="AE196" t="s">
        <v>74</v>
      </c>
      <c r="AF196" t="s">
        <v>74</v>
      </c>
      <c r="AG196">
        <v>63</v>
      </c>
      <c r="AH196">
        <v>14</v>
      </c>
      <c r="AI196">
        <v>16</v>
      </c>
      <c r="AJ196">
        <v>7</v>
      </c>
      <c r="AK196">
        <v>50</v>
      </c>
      <c r="AL196" t="s">
        <v>89</v>
      </c>
      <c r="AM196" t="s">
        <v>90</v>
      </c>
      <c r="AN196" t="s">
        <v>91</v>
      </c>
      <c r="AO196" t="s">
        <v>4192</v>
      </c>
      <c r="AP196" t="s">
        <v>4193</v>
      </c>
      <c r="AQ196" t="s">
        <v>74</v>
      </c>
      <c r="AR196" t="s">
        <v>4182</v>
      </c>
      <c r="AS196" t="s">
        <v>4194</v>
      </c>
      <c r="AT196" t="s">
        <v>4195</v>
      </c>
      <c r="AU196">
        <v>2021</v>
      </c>
      <c r="AV196">
        <v>545</v>
      </c>
      <c r="AW196" t="s">
        <v>74</v>
      </c>
      <c r="AX196" t="s">
        <v>74</v>
      </c>
      <c r="AY196" t="s">
        <v>74</v>
      </c>
      <c r="AZ196" t="s">
        <v>74</v>
      </c>
      <c r="BA196" t="s">
        <v>74</v>
      </c>
      <c r="BB196" t="s">
        <v>74</v>
      </c>
      <c r="BC196" t="s">
        <v>74</v>
      </c>
      <c r="BD196">
        <v>737166</v>
      </c>
      <c r="BE196" t="s">
        <v>4196</v>
      </c>
      <c r="BF196" t="str">
        <f>HYPERLINK("http://dx.doi.org/10.1016/j.aquaculture.2021.737166","http://dx.doi.org/10.1016/j.aquaculture.2021.737166")</f>
        <v>http://dx.doi.org/10.1016/j.aquaculture.2021.737166</v>
      </c>
      <c r="BG196" t="s">
        <v>74</v>
      </c>
      <c r="BH196" t="s">
        <v>2323</v>
      </c>
      <c r="BI196">
        <v>10</v>
      </c>
      <c r="BJ196" t="s">
        <v>459</v>
      </c>
      <c r="BK196" t="s">
        <v>128</v>
      </c>
      <c r="BL196" t="s">
        <v>459</v>
      </c>
      <c r="BM196" t="s">
        <v>4197</v>
      </c>
      <c r="BN196" t="s">
        <v>74</v>
      </c>
      <c r="BO196" t="s">
        <v>2514</v>
      </c>
      <c r="BP196" t="s">
        <v>74</v>
      </c>
      <c r="BQ196" t="s">
        <v>74</v>
      </c>
      <c r="BR196" t="s">
        <v>102</v>
      </c>
      <c r="BS196" t="s">
        <v>4198</v>
      </c>
      <c r="BT196" t="str">
        <f>HYPERLINK("https%3A%2F%2Fwww.webofscience.com%2Fwos%2Fwoscc%2Ffull-record%2FWOS:000691819600007","View Full Record in Web of Science")</f>
        <v>View Full Record in Web of Science</v>
      </c>
    </row>
    <row r="197" spans="1:72" x14ac:dyDescent="0.15">
      <c r="A197" t="s">
        <v>72</v>
      </c>
      <c r="B197" t="s">
        <v>4199</v>
      </c>
      <c r="C197" t="s">
        <v>74</v>
      </c>
      <c r="D197" t="s">
        <v>74</v>
      </c>
      <c r="E197" t="s">
        <v>74</v>
      </c>
      <c r="F197" t="s">
        <v>4200</v>
      </c>
      <c r="G197" t="s">
        <v>74</v>
      </c>
      <c r="H197" t="s">
        <v>74</v>
      </c>
      <c r="I197" t="s">
        <v>4201</v>
      </c>
      <c r="J197" t="s">
        <v>4202</v>
      </c>
      <c r="K197" t="s">
        <v>74</v>
      </c>
      <c r="L197" t="s">
        <v>74</v>
      </c>
      <c r="M197" t="s">
        <v>78</v>
      </c>
      <c r="N197" t="s">
        <v>700</v>
      </c>
      <c r="O197" t="s">
        <v>74</v>
      </c>
      <c r="P197" t="s">
        <v>74</v>
      </c>
      <c r="Q197" t="s">
        <v>74</v>
      </c>
      <c r="R197" t="s">
        <v>74</v>
      </c>
      <c r="S197" t="s">
        <v>74</v>
      </c>
      <c r="T197" t="s">
        <v>4203</v>
      </c>
      <c r="U197" t="s">
        <v>4204</v>
      </c>
      <c r="V197" t="s">
        <v>4205</v>
      </c>
      <c r="W197" t="s">
        <v>4206</v>
      </c>
      <c r="X197" t="s">
        <v>4207</v>
      </c>
      <c r="Y197" t="s">
        <v>4208</v>
      </c>
      <c r="Z197" t="s">
        <v>4209</v>
      </c>
      <c r="AA197" t="s">
        <v>74</v>
      </c>
      <c r="AB197" t="s">
        <v>4210</v>
      </c>
      <c r="AC197" t="s">
        <v>4211</v>
      </c>
      <c r="AD197" t="s">
        <v>4212</v>
      </c>
      <c r="AE197" t="s">
        <v>4213</v>
      </c>
      <c r="AF197" t="s">
        <v>74</v>
      </c>
      <c r="AG197">
        <v>137</v>
      </c>
      <c r="AH197">
        <v>68</v>
      </c>
      <c r="AI197">
        <v>71</v>
      </c>
      <c r="AJ197">
        <v>99</v>
      </c>
      <c r="AK197">
        <v>492</v>
      </c>
      <c r="AL197" t="s">
        <v>4214</v>
      </c>
      <c r="AM197" t="s">
        <v>865</v>
      </c>
      <c r="AN197" t="s">
        <v>4215</v>
      </c>
      <c r="AO197" t="s">
        <v>4216</v>
      </c>
      <c r="AP197" t="s">
        <v>4217</v>
      </c>
      <c r="AQ197" t="s">
        <v>74</v>
      </c>
      <c r="AR197" t="s">
        <v>4218</v>
      </c>
      <c r="AS197" t="s">
        <v>4219</v>
      </c>
      <c r="AT197" t="s">
        <v>125</v>
      </c>
      <c r="AU197">
        <v>2021</v>
      </c>
      <c r="AV197">
        <v>55</v>
      </c>
      <c r="AW197">
        <v>15</v>
      </c>
      <c r="AX197" t="s">
        <v>74</v>
      </c>
      <c r="AY197" t="s">
        <v>74</v>
      </c>
      <c r="AZ197" t="s">
        <v>74</v>
      </c>
      <c r="BA197" t="s">
        <v>74</v>
      </c>
      <c r="BB197">
        <v>10192</v>
      </c>
      <c r="BC197">
        <v>10209</v>
      </c>
      <c r="BD197" t="s">
        <v>74</v>
      </c>
      <c r="BE197" t="s">
        <v>4220</v>
      </c>
      <c r="BF197" t="str">
        <f>HYPERLINK("http://dx.doi.org/10.1021/acs.est.0c08822","http://dx.doi.org/10.1021/acs.est.0c08822")</f>
        <v>http://dx.doi.org/10.1021/acs.est.0c08822</v>
      </c>
      <c r="BG197" t="s">
        <v>74</v>
      </c>
      <c r="BH197" t="s">
        <v>2323</v>
      </c>
      <c r="BI197">
        <v>18</v>
      </c>
      <c r="BJ197" t="s">
        <v>335</v>
      </c>
      <c r="BK197" t="s">
        <v>128</v>
      </c>
      <c r="BL197" t="s">
        <v>336</v>
      </c>
      <c r="BM197" t="s">
        <v>4221</v>
      </c>
      <c r="BN197">
        <v>34263594</v>
      </c>
      <c r="BO197" t="s">
        <v>74</v>
      </c>
      <c r="BP197" t="s">
        <v>74</v>
      </c>
      <c r="BQ197" t="s">
        <v>74</v>
      </c>
      <c r="BR197" t="s">
        <v>102</v>
      </c>
      <c r="BS197" t="s">
        <v>4222</v>
      </c>
      <c r="BT197" t="str">
        <f>HYPERLINK("https%3A%2F%2Fwww.webofscience.com%2Fwos%2Fwoscc%2Ffull-record%2FWOS:000683363600002","View Full Record in Web of Science")</f>
        <v>View Full Record in Web of Science</v>
      </c>
    </row>
    <row r="198" spans="1:72" x14ac:dyDescent="0.15">
      <c r="A198" t="s">
        <v>72</v>
      </c>
      <c r="B198" t="s">
        <v>4223</v>
      </c>
      <c r="C198" t="s">
        <v>74</v>
      </c>
      <c r="D198" t="s">
        <v>74</v>
      </c>
      <c r="E198" t="s">
        <v>74</v>
      </c>
      <c r="F198" t="s">
        <v>4224</v>
      </c>
      <c r="G198" t="s">
        <v>74</v>
      </c>
      <c r="H198" t="s">
        <v>74</v>
      </c>
      <c r="I198" t="s">
        <v>4225</v>
      </c>
      <c r="J198" t="s">
        <v>4226</v>
      </c>
      <c r="K198" t="s">
        <v>74</v>
      </c>
      <c r="L198" t="s">
        <v>74</v>
      </c>
      <c r="M198" t="s">
        <v>78</v>
      </c>
      <c r="N198" t="s">
        <v>79</v>
      </c>
      <c r="O198" t="s">
        <v>74</v>
      </c>
      <c r="P198" t="s">
        <v>74</v>
      </c>
      <c r="Q198" t="s">
        <v>74</v>
      </c>
      <c r="R198" t="s">
        <v>74</v>
      </c>
      <c r="S198" t="s">
        <v>74</v>
      </c>
      <c r="T198" t="s">
        <v>4227</v>
      </c>
      <c r="U198" t="s">
        <v>4228</v>
      </c>
      <c r="V198" t="s">
        <v>4229</v>
      </c>
      <c r="W198" t="s">
        <v>4230</v>
      </c>
      <c r="X198" t="s">
        <v>4231</v>
      </c>
      <c r="Y198" t="s">
        <v>4232</v>
      </c>
      <c r="Z198" t="s">
        <v>4233</v>
      </c>
      <c r="AA198" t="s">
        <v>74</v>
      </c>
      <c r="AB198" t="s">
        <v>4234</v>
      </c>
      <c r="AC198" t="s">
        <v>4235</v>
      </c>
      <c r="AD198" t="s">
        <v>4236</v>
      </c>
      <c r="AE198" t="s">
        <v>4237</v>
      </c>
      <c r="AF198" t="s">
        <v>74</v>
      </c>
      <c r="AG198">
        <v>57</v>
      </c>
      <c r="AH198">
        <v>12</v>
      </c>
      <c r="AI198">
        <v>14</v>
      </c>
      <c r="AJ198">
        <v>1</v>
      </c>
      <c r="AK198">
        <v>4</v>
      </c>
      <c r="AL198" t="s">
        <v>119</v>
      </c>
      <c r="AM198" t="s">
        <v>120</v>
      </c>
      <c r="AN198" t="s">
        <v>121</v>
      </c>
      <c r="AO198" t="s">
        <v>74</v>
      </c>
      <c r="AP198" t="s">
        <v>4238</v>
      </c>
      <c r="AQ198" t="s">
        <v>74</v>
      </c>
      <c r="AR198" t="s">
        <v>4239</v>
      </c>
      <c r="AS198" t="s">
        <v>4240</v>
      </c>
      <c r="AT198" t="s">
        <v>4241</v>
      </c>
      <c r="AU198">
        <v>2021</v>
      </c>
      <c r="AV198">
        <v>9</v>
      </c>
      <c r="AW198" t="s">
        <v>74</v>
      </c>
      <c r="AX198" t="s">
        <v>74</v>
      </c>
      <c r="AY198" t="s">
        <v>74</v>
      </c>
      <c r="AZ198" t="s">
        <v>74</v>
      </c>
      <c r="BA198" t="s">
        <v>74</v>
      </c>
      <c r="BB198" t="s">
        <v>74</v>
      </c>
      <c r="BC198" t="s">
        <v>74</v>
      </c>
      <c r="BD198">
        <v>702761</v>
      </c>
      <c r="BE198" t="s">
        <v>4242</v>
      </c>
      <c r="BF198" t="str">
        <f>HYPERLINK("http://dx.doi.org/10.3389/feart.2021.702761","http://dx.doi.org/10.3389/feart.2021.702761")</f>
        <v>http://dx.doi.org/10.3389/feart.2021.702761</v>
      </c>
      <c r="BG198" t="s">
        <v>74</v>
      </c>
      <c r="BH198" t="s">
        <v>74</v>
      </c>
      <c r="BI198">
        <v>11</v>
      </c>
      <c r="BJ198" t="s">
        <v>405</v>
      </c>
      <c r="BK198" t="s">
        <v>128</v>
      </c>
      <c r="BL198" t="s">
        <v>406</v>
      </c>
      <c r="BM198" t="s">
        <v>4243</v>
      </c>
      <c r="BN198" t="s">
        <v>74</v>
      </c>
      <c r="BO198" t="s">
        <v>638</v>
      </c>
      <c r="BP198" t="s">
        <v>74</v>
      </c>
      <c r="BQ198" t="s">
        <v>74</v>
      </c>
      <c r="BR198" t="s">
        <v>102</v>
      </c>
      <c r="BS198" t="s">
        <v>4244</v>
      </c>
      <c r="BT198" t="str">
        <f>HYPERLINK("https%3A%2F%2Fwww.webofscience.com%2Fwos%2Fwoscc%2Ffull-record%2FWOS:000678718700001","View Full Record in Web of Science")</f>
        <v>View Full Record in Web of Science</v>
      </c>
    </row>
    <row r="199" spans="1:72" x14ac:dyDescent="0.15">
      <c r="A199" t="s">
        <v>72</v>
      </c>
      <c r="B199" t="s">
        <v>4245</v>
      </c>
      <c r="C199" t="s">
        <v>74</v>
      </c>
      <c r="D199" t="s">
        <v>74</v>
      </c>
      <c r="E199" t="s">
        <v>74</v>
      </c>
      <c r="F199" t="s">
        <v>4246</v>
      </c>
      <c r="G199" t="s">
        <v>74</v>
      </c>
      <c r="H199" t="s">
        <v>74</v>
      </c>
      <c r="I199" t="s">
        <v>4247</v>
      </c>
      <c r="J199" t="s">
        <v>107</v>
      </c>
      <c r="K199" t="s">
        <v>74</v>
      </c>
      <c r="L199" t="s">
        <v>74</v>
      </c>
      <c r="M199" t="s">
        <v>78</v>
      </c>
      <c r="N199" t="s">
        <v>79</v>
      </c>
      <c r="O199" t="s">
        <v>74</v>
      </c>
      <c r="P199" t="s">
        <v>74</v>
      </c>
      <c r="Q199" t="s">
        <v>74</v>
      </c>
      <c r="R199" t="s">
        <v>74</v>
      </c>
      <c r="S199" t="s">
        <v>74</v>
      </c>
      <c r="T199" t="s">
        <v>4248</v>
      </c>
      <c r="U199" t="s">
        <v>4249</v>
      </c>
      <c r="V199" t="s">
        <v>4250</v>
      </c>
      <c r="W199" t="s">
        <v>4251</v>
      </c>
      <c r="X199" t="s">
        <v>4252</v>
      </c>
      <c r="Y199" t="s">
        <v>4253</v>
      </c>
      <c r="Z199" t="s">
        <v>4254</v>
      </c>
      <c r="AA199" t="s">
        <v>74</v>
      </c>
      <c r="AB199" t="s">
        <v>74</v>
      </c>
      <c r="AC199" t="s">
        <v>4255</v>
      </c>
      <c r="AD199" t="s">
        <v>4256</v>
      </c>
      <c r="AE199" t="s">
        <v>4257</v>
      </c>
      <c r="AF199" t="s">
        <v>74</v>
      </c>
      <c r="AG199">
        <v>66</v>
      </c>
      <c r="AH199">
        <v>0</v>
      </c>
      <c r="AI199">
        <v>2</v>
      </c>
      <c r="AJ199">
        <v>0</v>
      </c>
      <c r="AK199">
        <v>27</v>
      </c>
      <c r="AL199" t="s">
        <v>119</v>
      </c>
      <c r="AM199" t="s">
        <v>120</v>
      </c>
      <c r="AN199" t="s">
        <v>121</v>
      </c>
      <c r="AO199" t="s">
        <v>74</v>
      </c>
      <c r="AP199" t="s">
        <v>122</v>
      </c>
      <c r="AQ199" t="s">
        <v>74</v>
      </c>
      <c r="AR199" t="s">
        <v>123</v>
      </c>
      <c r="AS199" t="s">
        <v>124</v>
      </c>
      <c r="AT199" t="s">
        <v>4241</v>
      </c>
      <c r="AU199">
        <v>2021</v>
      </c>
      <c r="AV199">
        <v>8</v>
      </c>
      <c r="AW199" t="s">
        <v>74</v>
      </c>
      <c r="AX199" t="s">
        <v>74</v>
      </c>
      <c r="AY199" t="s">
        <v>74</v>
      </c>
      <c r="AZ199" t="s">
        <v>74</v>
      </c>
      <c r="BA199" t="s">
        <v>74</v>
      </c>
      <c r="BB199" t="s">
        <v>74</v>
      </c>
      <c r="BC199" t="s">
        <v>74</v>
      </c>
      <c r="BD199">
        <v>701014</v>
      </c>
      <c r="BE199" t="s">
        <v>4258</v>
      </c>
      <c r="BF199" t="str">
        <f>HYPERLINK("http://dx.doi.org/10.3389/fmars.2021.701014","http://dx.doi.org/10.3389/fmars.2021.701014")</f>
        <v>http://dx.doi.org/10.3389/fmars.2021.701014</v>
      </c>
      <c r="BG199" t="s">
        <v>74</v>
      </c>
      <c r="BH199" t="s">
        <v>74</v>
      </c>
      <c r="BI199">
        <v>13</v>
      </c>
      <c r="BJ199" t="s">
        <v>127</v>
      </c>
      <c r="BK199" t="s">
        <v>128</v>
      </c>
      <c r="BL199" t="s">
        <v>129</v>
      </c>
      <c r="BM199" t="s">
        <v>4259</v>
      </c>
      <c r="BN199" t="s">
        <v>74</v>
      </c>
      <c r="BO199" t="s">
        <v>638</v>
      </c>
      <c r="BP199" t="s">
        <v>74</v>
      </c>
      <c r="BQ199" t="s">
        <v>74</v>
      </c>
      <c r="BR199" t="s">
        <v>102</v>
      </c>
      <c r="BS199" t="s">
        <v>4260</v>
      </c>
      <c r="BT199" t="str">
        <f>HYPERLINK("https%3A%2F%2Fwww.webofscience.com%2Fwos%2Fwoscc%2Ffull-record%2FWOS:000678191700001","View Full Record in Web of Science")</f>
        <v>View Full Record in Web of Science</v>
      </c>
    </row>
    <row r="200" spans="1:72" x14ac:dyDescent="0.15">
      <c r="A200" t="s">
        <v>72</v>
      </c>
      <c r="B200" t="s">
        <v>4261</v>
      </c>
      <c r="C200" t="s">
        <v>74</v>
      </c>
      <c r="D200" t="s">
        <v>74</v>
      </c>
      <c r="E200" t="s">
        <v>74</v>
      </c>
      <c r="F200" t="s">
        <v>4262</v>
      </c>
      <c r="G200" t="s">
        <v>74</v>
      </c>
      <c r="H200" t="s">
        <v>74</v>
      </c>
      <c r="I200" t="s">
        <v>4263</v>
      </c>
      <c r="J200" t="s">
        <v>4264</v>
      </c>
      <c r="K200" t="s">
        <v>74</v>
      </c>
      <c r="L200" t="s">
        <v>74</v>
      </c>
      <c r="M200" t="s">
        <v>78</v>
      </c>
      <c r="N200" t="s">
        <v>79</v>
      </c>
      <c r="O200" t="s">
        <v>74</v>
      </c>
      <c r="P200" t="s">
        <v>74</v>
      </c>
      <c r="Q200" t="s">
        <v>74</v>
      </c>
      <c r="R200" t="s">
        <v>74</v>
      </c>
      <c r="S200" t="s">
        <v>74</v>
      </c>
      <c r="T200" t="s">
        <v>4265</v>
      </c>
      <c r="U200" t="s">
        <v>4266</v>
      </c>
      <c r="V200" t="s">
        <v>4267</v>
      </c>
      <c r="W200" t="s">
        <v>4268</v>
      </c>
      <c r="X200" t="s">
        <v>4269</v>
      </c>
      <c r="Y200" t="s">
        <v>4270</v>
      </c>
      <c r="Z200" t="s">
        <v>4271</v>
      </c>
      <c r="AA200" t="s">
        <v>4272</v>
      </c>
      <c r="AB200" t="s">
        <v>4273</v>
      </c>
      <c r="AC200" t="s">
        <v>74</v>
      </c>
      <c r="AD200" t="s">
        <v>74</v>
      </c>
      <c r="AE200" t="s">
        <v>74</v>
      </c>
      <c r="AF200" t="s">
        <v>74</v>
      </c>
      <c r="AG200">
        <v>78</v>
      </c>
      <c r="AH200">
        <v>2</v>
      </c>
      <c r="AI200">
        <v>2</v>
      </c>
      <c r="AJ200">
        <v>1</v>
      </c>
      <c r="AK200">
        <v>9</v>
      </c>
      <c r="AL200" t="s">
        <v>4274</v>
      </c>
      <c r="AM200" t="s">
        <v>4275</v>
      </c>
      <c r="AN200" t="s">
        <v>4276</v>
      </c>
      <c r="AO200" t="s">
        <v>4277</v>
      </c>
      <c r="AP200" t="s">
        <v>4278</v>
      </c>
      <c r="AQ200" t="s">
        <v>74</v>
      </c>
      <c r="AR200" t="s">
        <v>4279</v>
      </c>
      <c r="AS200" t="s">
        <v>4280</v>
      </c>
      <c r="AT200" t="s">
        <v>4281</v>
      </c>
      <c r="AU200">
        <v>2021</v>
      </c>
      <c r="AV200">
        <v>13</v>
      </c>
      <c r="AW200">
        <v>2</v>
      </c>
      <c r="AX200" t="s">
        <v>74</v>
      </c>
      <c r="AY200" t="s">
        <v>74</v>
      </c>
      <c r="AZ200" t="s">
        <v>431</v>
      </c>
      <c r="BA200" t="s">
        <v>74</v>
      </c>
      <c r="BB200">
        <v>165</v>
      </c>
      <c r="BC200">
        <v>184</v>
      </c>
      <c r="BD200" t="s">
        <v>74</v>
      </c>
      <c r="BE200" t="s">
        <v>4282</v>
      </c>
      <c r="BF200" t="str">
        <f>HYPERLINK("http://dx.doi.org/10.1108/JPPEL-02-2021-0013","http://dx.doi.org/10.1108/JPPEL-02-2021-0013")</f>
        <v>http://dx.doi.org/10.1108/JPPEL-02-2021-0013</v>
      </c>
      <c r="BG200" t="s">
        <v>74</v>
      </c>
      <c r="BH200" t="s">
        <v>2323</v>
      </c>
      <c r="BI200">
        <v>20</v>
      </c>
      <c r="BJ200" t="s">
        <v>4283</v>
      </c>
      <c r="BK200" t="s">
        <v>1819</v>
      </c>
      <c r="BL200" t="s">
        <v>4284</v>
      </c>
      <c r="BM200" t="s">
        <v>4285</v>
      </c>
      <c r="BN200" t="s">
        <v>74</v>
      </c>
      <c r="BO200" t="s">
        <v>74</v>
      </c>
      <c r="BP200" t="s">
        <v>74</v>
      </c>
      <c r="BQ200" t="s">
        <v>74</v>
      </c>
      <c r="BR200" t="s">
        <v>102</v>
      </c>
      <c r="BS200" t="s">
        <v>4286</v>
      </c>
      <c r="BT200" t="str">
        <f>HYPERLINK("https%3A%2F%2Fwww.webofscience.com%2Fwos%2Fwoscc%2Ffull-record%2FWOS:000674410000001","View Full Record in Web of Science")</f>
        <v>View Full Record in Web of Science</v>
      </c>
    </row>
    <row r="201" spans="1:72" x14ac:dyDescent="0.15">
      <c r="A201" t="s">
        <v>72</v>
      </c>
      <c r="B201" t="s">
        <v>4287</v>
      </c>
      <c r="C201" t="s">
        <v>74</v>
      </c>
      <c r="D201" t="s">
        <v>74</v>
      </c>
      <c r="E201" t="s">
        <v>74</v>
      </c>
      <c r="F201" t="s">
        <v>4288</v>
      </c>
      <c r="G201" t="s">
        <v>74</v>
      </c>
      <c r="H201" t="s">
        <v>74</v>
      </c>
      <c r="I201" t="s">
        <v>4289</v>
      </c>
      <c r="J201" t="s">
        <v>3939</v>
      </c>
      <c r="K201" t="s">
        <v>74</v>
      </c>
      <c r="L201" t="s">
        <v>74</v>
      </c>
      <c r="M201" t="s">
        <v>78</v>
      </c>
      <c r="N201" t="s">
        <v>79</v>
      </c>
      <c r="O201" t="s">
        <v>74</v>
      </c>
      <c r="P201" t="s">
        <v>74</v>
      </c>
      <c r="Q201" t="s">
        <v>74</v>
      </c>
      <c r="R201" t="s">
        <v>74</v>
      </c>
      <c r="S201" t="s">
        <v>74</v>
      </c>
      <c r="T201" t="s">
        <v>4290</v>
      </c>
      <c r="U201" t="s">
        <v>4291</v>
      </c>
      <c r="V201" t="s">
        <v>4292</v>
      </c>
      <c r="W201" t="s">
        <v>4293</v>
      </c>
      <c r="X201" t="s">
        <v>4294</v>
      </c>
      <c r="Y201" t="s">
        <v>4295</v>
      </c>
      <c r="Z201" t="s">
        <v>4296</v>
      </c>
      <c r="AA201" t="s">
        <v>4297</v>
      </c>
      <c r="AB201" t="s">
        <v>4298</v>
      </c>
      <c r="AC201" t="s">
        <v>4299</v>
      </c>
      <c r="AD201" t="s">
        <v>4300</v>
      </c>
      <c r="AE201" t="s">
        <v>4301</v>
      </c>
      <c r="AF201" t="s">
        <v>74</v>
      </c>
      <c r="AG201">
        <v>48</v>
      </c>
      <c r="AH201">
        <v>0</v>
      </c>
      <c r="AI201">
        <v>0</v>
      </c>
      <c r="AJ201">
        <v>0</v>
      </c>
      <c r="AK201">
        <v>7</v>
      </c>
      <c r="AL201" t="s">
        <v>3951</v>
      </c>
      <c r="AM201" t="s">
        <v>3952</v>
      </c>
      <c r="AN201" t="s">
        <v>3953</v>
      </c>
      <c r="AO201" t="s">
        <v>3954</v>
      </c>
      <c r="AP201" t="s">
        <v>3955</v>
      </c>
      <c r="AQ201" t="s">
        <v>74</v>
      </c>
      <c r="AR201" t="s">
        <v>3956</v>
      </c>
      <c r="AS201" t="s">
        <v>3957</v>
      </c>
      <c r="AT201" t="s">
        <v>457</v>
      </c>
      <c r="AU201">
        <v>2022</v>
      </c>
      <c r="AV201">
        <v>67</v>
      </c>
      <c r="AW201">
        <v>1</v>
      </c>
      <c r="AX201" t="s">
        <v>74</v>
      </c>
      <c r="AY201" t="s">
        <v>74</v>
      </c>
      <c r="AZ201" t="s">
        <v>74</v>
      </c>
      <c r="BA201" t="s">
        <v>74</v>
      </c>
      <c r="BB201">
        <v>207</v>
      </c>
      <c r="BC201">
        <v>217</v>
      </c>
      <c r="BD201" t="s">
        <v>74</v>
      </c>
      <c r="BE201" t="s">
        <v>4302</v>
      </c>
      <c r="BF201" t="str">
        <f>HYPERLINK("http://dx.doi.org/10.1007/s11686-021-00448-7","http://dx.doi.org/10.1007/s11686-021-00448-7")</f>
        <v>http://dx.doi.org/10.1007/s11686-021-00448-7</v>
      </c>
      <c r="BG201" t="s">
        <v>74</v>
      </c>
      <c r="BH201" t="s">
        <v>2323</v>
      </c>
      <c r="BI201">
        <v>11</v>
      </c>
      <c r="BJ201" t="s">
        <v>3959</v>
      </c>
      <c r="BK201" t="s">
        <v>128</v>
      </c>
      <c r="BL201" t="s">
        <v>3959</v>
      </c>
      <c r="BM201" t="s">
        <v>3960</v>
      </c>
      <c r="BN201">
        <v>34268664</v>
      </c>
      <c r="BO201" t="s">
        <v>74</v>
      </c>
      <c r="BP201" t="s">
        <v>74</v>
      </c>
      <c r="BQ201" t="s">
        <v>74</v>
      </c>
      <c r="BR201" t="s">
        <v>102</v>
      </c>
      <c r="BS201" t="s">
        <v>4303</v>
      </c>
      <c r="BT201" t="str">
        <f>HYPERLINK("https%3A%2F%2Fwww.webofscience.com%2Fwos%2Fwoscc%2Ffull-record%2FWOS:000673902300005","View Full Record in Web of Science")</f>
        <v>View Full Record in Web of Science</v>
      </c>
    </row>
    <row r="202" spans="1:72" x14ac:dyDescent="0.15">
      <c r="A202" t="s">
        <v>72</v>
      </c>
      <c r="B202" t="s">
        <v>4304</v>
      </c>
      <c r="C202" t="s">
        <v>74</v>
      </c>
      <c r="D202" t="s">
        <v>74</v>
      </c>
      <c r="E202" t="s">
        <v>74</v>
      </c>
      <c r="F202" t="s">
        <v>4305</v>
      </c>
      <c r="G202" t="s">
        <v>74</v>
      </c>
      <c r="H202" t="s">
        <v>74</v>
      </c>
      <c r="I202" t="s">
        <v>4306</v>
      </c>
      <c r="J202" t="s">
        <v>4307</v>
      </c>
      <c r="K202" t="s">
        <v>74</v>
      </c>
      <c r="L202" t="s">
        <v>74</v>
      </c>
      <c r="M202" t="s">
        <v>78</v>
      </c>
      <c r="N202" t="s">
        <v>79</v>
      </c>
      <c r="O202" t="s">
        <v>74</v>
      </c>
      <c r="P202" t="s">
        <v>74</v>
      </c>
      <c r="Q202" t="s">
        <v>74</v>
      </c>
      <c r="R202" t="s">
        <v>74</v>
      </c>
      <c r="S202" t="s">
        <v>74</v>
      </c>
      <c r="T202" t="s">
        <v>4308</v>
      </c>
      <c r="U202" t="s">
        <v>4309</v>
      </c>
      <c r="V202" t="s">
        <v>4310</v>
      </c>
      <c r="W202" t="s">
        <v>4311</v>
      </c>
      <c r="X202" t="s">
        <v>4312</v>
      </c>
      <c r="Y202" t="s">
        <v>4313</v>
      </c>
      <c r="Z202" t="s">
        <v>4314</v>
      </c>
      <c r="AA202" t="s">
        <v>4315</v>
      </c>
      <c r="AB202" t="s">
        <v>4316</v>
      </c>
      <c r="AC202" t="s">
        <v>4317</v>
      </c>
      <c r="AD202" t="s">
        <v>4318</v>
      </c>
      <c r="AE202" t="s">
        <v>4319</v>
      </c>
      <c r="AF202" t="s">
        <v>74</v>
      </c>
      <c r="AG202">
        <v>100</v>
      </c>
      <c r="AH202">
        <v>3</v>
      </c>
      <c r="AI202">
        <v>3</v>
      </c>
      <c r="AJ202">
        <v>3</v>
      </c>
      <c r="AK202">
        <v>29</v>
      </c>
      <c r="AL202" t="s">
        <v>227</v>
      </c>
      <c r="AM202" t="s">
        <v>228</v>
      </c>
      <c r="AN202" t="s">
        <v>229</v>
      </c>
      <c r="AO202" t="s">
        <v>4320</v>
      </c>
      <c r="AP202" t="s">
        <v>4321</v>
      </c>
      <c r="AQ202" t="s">
        <v>74</v>
      </c>
      <c r="AR202" t="s">
        <v>4322</v>
      </c>
      <c r="AS202" t="s">
        <v>4323</v>
      </c>
      <c r="AT202" t="s">
        <v>535</v>
      </c>
      <c r="AU202">
        <v>2021</v>
      </c>
      <c r="AV202">
        <v>260</v>
      </c>
      <c r="AW202" t="s">
        <v>74</v>
      </c>
      <c r="AX202" t="s">
        <v>74</v>
      </c>
      <c r="AY202" t="s">
        <v>74</v>
      </c>
      <c r="AZ202" t="s">
        <v>74</v>
      </c>
      <c r="BA202" t="s">
        <v>74</v>
      </c>
      <c r="BB202" t="s">
        <v>74</v>
      </c>
      <c r="BC202" t="s">
        <v>74</v>
      </c>
      <c r="BD202">
        <v>109138</v>
      </c>
      <c r="BE202" t="s">
        <v>4324</v>
      </c>
      <c r="BF202" t="str">
        <f>HYPERLINK("http://dx.doi.org/10.1016/j.biocon.2021.109138","http://dx.doi.org/10.1016/j.biocon.2021.109138")</f>
        <v>http://dx.doi.org/10.1016/j.biocon.2021.109138</v>
      </c>
      <c r="BG202" t="s">
        <v>74</v>
      </c>
      <c r="BH202" t="s">
        <v>2323</v>
      </c>
      <c r="BI202">
        <v>14</v>
      </c>
      <c r="BJ202" t="s">
        <v>206</v>
      </c>
      <c r="BK202" t="s">
        <v>100</v>
      </c>
      <c r="BL202" t="s">
        <v>207</v>
      </c>
      <c r="BM202" t="s">
        <v>4325</v>
      </c>
      <c r="BN202" t="s">
        <v>74</v>
      </c>
      <c r="BO202" t="s">
        <v>2125</v>
      </c>
      <c r="BP202" t="s">
        <v>74</v>
      </c>
      <c r="BQ202" t="s">
        <v>74</v>
      </c>
      <c r="BR202" t="s">
        <v>102</v>
      </c>
      <c r="BS202" t="s">
        <v>4326</v>
      </c>
      <c r="BT202" t="str">
        <f>HYPERLINK("https%3A%2F%2Fwww.webofscience.com%2Fwos%2Fwoscc%2Ffull-record%2FWOS:000679541200012","View Full Record in Web of Science")</f>
        <v>View Full Record in Web of Science</v>
      </c>
    </row>
    <row r="203" spans="1:72" x14ac:dyDescent="0.15">
      <c r="A203" t="s">
        <v>72</v>
      </c>
      <c r="B203" t="s">
        <v>4327</v>
      </c>
      <c r="C203" t="s">
        <v>74</v>
      </c>
      <c r="D203" t="s">
        <v>74</v>
      </c>
      <c r="E203" t="s">
        <v>74</v>
      </c>
      <c r="F203" t="s">
        <v>4328</v>
      </c>
      <c r="G203" t="s">
        <v>74</v>
      </c>
      <c r="H203" t="s">
        <v>74</v>
      </c>
      <c r="I203" t="s">
        <v>4329</v>
      </c>
      <c r="J203" t="s">
        <v>4330</v>
      </c>
      <c r="K203" t="s">
        <v>74</v>
      </c>
      <c r="L203" t="s">
        <v>74</v>
      </c>
      <c r="M203" t="s">
        <v>78</v>
      </c>
      <c r="N203" t="s">
        <v>79</v>
      </c>
      <c r="O203" t="s">
        <v>74</v>
      </c>
      <c r="P203" t="s">
        <v>74</v>
      </c>
      <c r="Q203" t="s">
        <v>74</v>
      </c>
      <c r="R203" t="s">
        <v>74</v>
      </c>
      <c r="S203" t="s">
        <v>74</v>
      </c>
      <c r="T203" t="s">
        <v>4331</v>
      </c>
      <c r="U203" t="s">
        <v>4332</v>
      </c>
      <c r="V203" t="s">
        <v>4333</v>
      </c>
      <c r="W203" t="s">
        <v>4334</v>
      </c>
      <c r="X203" t="s">
        <v>4335</v>
      </c>
      <c r="Y203" t="s">
        <v>4336</v>
      </c>
      <c r="Z203" t="s">
        <v>4337</v>
      </c>
      <c r="AA203" t="s">
        <v>4338</v>
      </c>
      <c r="AB203" t="s">
        <v>4339</v>
      </c>
      <c r="AC203" t="s">
        <v>4340</v>
      </c>
      <c r="AD203" t="s">
        <v>4340</v>
      </c>
      <c r="AE203" t="s">
        <v>4341</v>
      </c>
      <c r="AF203" t="s">
        <v>74</v>
      </c>
      <c r="AG203">
        <v>63</v>
      </c>
      <c r="AH203">
        <v>7</v>
      </c>
      <c r="AI203">
        <v>7</v>
      </c>
      <c r="AJ203">
        <v>0</v>
      </c>
      <c r="AK203">
        <v>4</v>
      </c>
      <c r="AL203" t="s">
        <v>281</v>
      </c>
      <c r="AM203" t="s">
        <v>228</v>
      </c>
      <c r="AN203" t="s">
        <v>282</v>
      </c>
      <c r="AO203" t="s">
        <v>4342</v>
      </c>
      <c r="AP203" t="s">
        <v>4343</v>
      </c>
      <c r="AQ203" t="s">
        <v>74</v>
      </c>
      <c r="AR203" t="s">
        <v>4344</v>
      </c>
      <c r="AS203" t="s">
        <v>4345</v>
      </c>
      <c r="AT203" t="s">
        <v>204</v>
      </c>
      <c r="AU203">
        <v>2021</v>
      </c>
      <c r="AV203">
        <v>171</v>
      </c>
      <c r="AW203" t="s">
        <v>74</v>
      </c>
      <c r="AX203" t="s">
        <v>74</v>
      </c>
      <c r="AY203" t="s">
        <v>74</v>
      </c>
      <c r="AZ203" t="s">
        <v>74</v>
      </c>
      <c r="BA203" t="s">
        <v>74</v>
      </c>
      <c r="BB203" t="s">
        <v>74</v>
      </c>
      <c r="BC203" t="s">
        <v>74</v>
      </c>
      <c r="BD203">
        <v>112706</v>
      </c>
      <c r="BE203" t="s">
        <v>4346</v>
      </c>
      <c r="BF203" t="str">
        <f>HYPERLINK("http://dx.doi.org/10.1016/j.marpolbul.2021.112706","http://dx.doi.org/10.1016/j.marpolbul.2021.112706")</f>
        <v>http://dx.doi.org/10.1016/j.marpolbul.2021.112706</v>
      </c>
      <c r="BG203" t="s">
        <v>74</v>
      </c>
      <c r="BH203" t="s">
        <v>2323</v>
      </c>
      <c r="BI203">
        <v>10</v>
      </c>
      <c r="BJ203" t="s">
        <v>127</v>
      </c>
      <c r="BK203" t="s">
        <v>100</v>
      </c>
      <c r="BL203" t="s">
        <v>129</v>
      </c>
      <c r="BM203" t="s">
        <v>4347</v>
      </c>
      <c r="BN203">
        <v>34273724</v>
      </c>
      <c r="BO203" t="s">
        <v>2125</v>
      </c>
      <c r="BP203" t="s">
        <v>74</v>
      </c>
      <c r="BQ203" t="s">
        <v>74</v>
      </c>
      <c r="BR203" t="s">
        <v>102</v>
      </c>
      <c r="BS203" t="s">
        <v>4348</v>
      </c>
      <c r="BT203" t="str">
        <f>HYPERLINK("https%3A%2F%2Fwww.webofscience.com%2Fwos%2Fwoscc%2Ffull-record%2FWOS:000701706200002","View Full Record in Web of Science")</f>
        <v>View Full Record in Web of Science</v>
      </c>
    </row>
    <row r="204" spans="1:72" x14ac:dyDescent="0.15">
      <c r="A204" t="s">
        <v>72</v>
      </c>
      <c r="B204" t="s">
        <v>4349</v>
      </c>
      <c r="C204" t="s">
        <v>74</v>
      </c>
      <c r="D204" t="s">
        <v>74</v>
      </c>
      <c r="E204" t="s">
        <v>74</v>
      </c>
      <c r="F204" t="s">
        <v>4350</v>
      </c>
      <c r="G204" t="s">
        <v>74</v>
      </c>
      <c r="H204" t="s">
        <v>74</v>
      </c>
      <c r="I204" t="s">
        <v>4351</v>
      </c>
      <c r="J204" t="s">
        <v>4352</v>
      </c>
      <c r="K204" t="s">
        <v>74</v>
      </c>
      <c r="L204" t="s">
        <v>74</v>
      </c>
      <c r="M204" t="s">
        <v>78</v>
      </c>
      <c r="N204" t="s">
        <v>79</v>
      </c>
      <c r="O204" t="s">
        <v>74</v>
      </c>
      <c r="P204" t="s">
        <v>74</v>
      </c>
      <c r="Q204" t="s">
        <v>74</v>
      </c>
      <c r="R204" t="s">
        <v>74</v>
      </c>
      <c r="S204" t="s">
        <v>74</v>
      </c>
      <c r="T204" t="s">
        <v>4353</v>
      </c>
      <c r="U204" t="s">
        <v>4354</v>
      </c>
      <c r="V204" t="s">
        <v>4355</v>
      </c>
      <c r="W204" t="s">
        <v>4356</v>
      </c>
      <c r="X204" t="s">
        <v>4357</v>
      </c>
      <c r="Y204" t="s">
        <v>4358</v>
      </c>
      <c r="Z204" t="s">
        <v>4359</v>
      </c>
      <c r="AA204" t="s">
        <v>4360</v>
      </c>
      <c r="AB204" t="s">
        <v>4361</v>
      </c>
      <c r="AC204" t="s">
        <v>4362</v>
      </c>
      <c r="AD204" t="s">
        <v>4363</v>
      </c>
      <c r="AE204" t="s">
        <v>4364</v>
      </c>
      <c r="AF204" t="s">
        <v>74</v>
      </c>
      <c r="AG204">
        <v>93</v>
      </c>
      <c r="AH204">
        <v>7</v>
      </c>
      <c r="AI204">
        <v>8</v>
      </c>
      <c r="AJ204">
        <v>8</v>
      </c>
      <c r="AK204">
        <v>64</v>
      </c>
      <c r="AL204" t="s">
        <v>89</v>
      </c>
      <c r="AM204" t="s">
        <v>90</v>
      </c>
      <c r="AN204" t="s">
        <v>91</v>
      </c>
      <c r="AO204" t="s">
        <v>4365</v>
      </c>
      <c r="AP204" t="s">
        <v>4366</v>
      </c>
      <c r="AQ204" t="s">
        <v>74</v>
      </c>
      <c r="AR204" t="s">
        <v>4352</v>
      </c>
      <c r="AS204" t="s">
        <v>4367</v>
      </c>
      <c r="AT204" t="s">
        <v>2946</v>
      </c>
      <c r="AU204">
        <v>2021</v>
      </c>
      <c r="AV204">
        <v>401</v>
      </c>
      <c r="AW204" t="s">
        <v>74</v>
      </c>
      <c r="AX204" t="s">
        <v>74</v>
      </c>
      <c r="AY204" t="s">
        <v>74</v>
      </c>
      <c r="AZ204" t="s">
        <v>74</v>
      </c>
      <c r="BA204" t="s">
        <v>74</v>
      </c>
      <c r="BB204" t="s">
        <v>74</v>
      </c>
      <c r="BC204" t="s">
        <v>74</v>
      </c>
      <c r="BD204">
        <v>115340</v>
      </c>
      <c r="BE204" t="s">
        <v>4368</v>
      </c>
      <c r="BF204" t="str">
        <f>HYPERLINK("http://dx.doi.org/10.1016/j.geoderma.2021.115340","http://dx.doi.org/10.1016/j.geoderma.2021.115340")</f>
        <v>http://dx.doi.org/10.1016/j.geoderma.2021.115340</v>
      </c>
      <c r="BG204" t="s">
        <v>74</v>
      </c>
      <c r="BH204" t="s">
        <v>2323</v>
      </c>
      <c r="BI204">
        <v>10</v>
      </c>
      <c r="BJ204" t="s">
        <v>4369</v>
      </c>
      <c r="BK204" t="s">
        <v>128</v>
      </c>
      <c r="BL204" t="s">
        <v>4370</v>
      </c>
      <c r="BM204" t="s">
        <v>4371</v>
      </c>
      <c r="BN204" t="s">
        <v>74</v>
      </c>
      <c r="BO204" t="s">
        <v>74</v>
      </c>
      <c r="BP204" t="s">
        <v>74</v>
      </c>
      <c r="BQ204" t="s">
        <v>74</v>
      </c>
      <c r="BR204" t="s">
        <v>102</v>
      </c>
      <c r="BS204" t="s">
        <v>4372</v>
      </c>
      <c r="BT204" t="str">
        <f>HYPERLINK("https%3A%2F%2Fwww.webofscience.com%2Fwos%2Fwoscc%2Ffull-record%2FWOS:000688573200013","View Full Record in Web of Science")</f>
        <v>View Full Record in Web of Science</v>
      </c>
    </row>
    <row r="205" spans="1:72" x14ac:dyDescent="0.15">
      <c r="A205" t="s">
        <v>72</v>
      </c>
      <c r="B205" t="s">
        <v>4373</v>
      </c>
      <c r="C205" t="s">
        <v>74</v>
      </c>
      <c r="D205" t="s">
        <v>74</v>
      </c>
      <c r="E205" t="s">
        <v>74</v>
      </c>
      <c r="F205" t="s">
        <v>4374</v>
      </c>
      <c r="G205" t="s">
        <v>74</v>
      </c>
      <c r="H205" t="s">
        <v>74</v>
      </c>
      <c r="I205" t="s">
        <v>4375</v>
      </c>
      <c r="J205" t="s">
        <v>4376</v>
      </c>
      <c r="K205" t="s">
        <v>74</v>
      </c>
      <c r="L205" t="s">
        <v>74</v>
      </c>
      <c r="M205" t="s">
        <v>78</v>
      </c>
      <c r="N205" t="s">
        <v>79</v>
      </c>
      <c r="O205" t="s">
        <v>74</v>
      </c>
      <c r="P205" t="s">
        <v>74</v>
      </c>
      <c r="Q205" t="s">
        <v>74</v>
      </c>
      <c r="R205" t="s">
        <v>74</v>
      </c>
      <c r="S205" t="s">
        <v>74</v>
      </c>
      <c r="T205" t="s">
        <v>4377</v>
      </c>
      <c r="U205" t="s">
        <v>4378</v>
      </c>
      <c r="V205" t="s">
        <v>4379</v>
      </c>
      <c r="W205" t="s">
        <v>4380</v>
      </c>
      <c r="X205" t="s">
        <v>4381</v>
      </c>
      <c r="Y205" t="s">
        <v>4382</v>
      </c>
      <c r="Z205" t="s">
        <v>4383</v>
      </c>
      <c r="AA205" t="s">
        <v>74</v>
      </c>
      <c r="AB205" t="s">
        <v>4384</v>
      </c>
      <c r="AC205" t="s">
        <v>4385</v>
      </c>
      <c r="AD205" t="s">
        <v>4386</v>
      </c>
      <c r="AE205" t="s">
        <v>4387</v>
      </c>
      <c r="AF205" t="s">
        <v>74</v>
      </c>
      <c r="AG205">
        <v>168</v>
      </c>
      <c r="AH205">
        <v>4</v>
      </c>
      <c r="AI205">
        <v>4</v>
      </c>
      <c r="AJ205">
        <v>0</v>
      </c>
      <c r="AK205">
        <v>5</v>
      </c>
      <c r="AL205" t="s">
        <v>89</v>
      </c>
      <c r="AM205" t="s">
        <v>90</v>
      </c>
      <c r="AN205" t="s">
        <v>91</v>
      </c>
      <c r="AO205" t="s">
        <v>4388</v>
      </c>
      <c r="AP205" t="s">
        <v>4389</v>
      </c>
      <c r="AQ205" t="s">
        <v>74</v>
      </c>
      <c r="AR205" t="s">
        <v>4390</v>
      </c>
      <c r="AS205" t="s">
        <v>4391</v>
      </c>
      <c r="AT205" t="s">
        <v>535</v>
      </c>
      <c r="AU205">
        <v>2021</v>
      </c>
      <c r="AV205">
        <v>167</v>
      </c>
      <c r="AW205" t="s">
        <v>74</v>
      </c>
      <c r="AX205" t="s">
        <v>74</v>
      </c>
      <c r="AY205" t="s">
        <v>74</v>
      </c>
      <c r="AZ205" t="s">
        <v>74</v>
      </c>
      <c r="BA205" t="s">
        <v>74</v>
      </c>
      <c r="BB205" t="s">
        <v>74</v>
      </c>
      <c r="BC205" t="s">
        <v>74</v>
      </c>
      <c r="BD205">
        <v>102024</v>
      </c>
      <c r="BE205" t="s">
        <v>4392</v>
      </c>
      <c r="BF205" t="str">
        <f>HYPERLINK("http://dx.doi.org/10.1016/j.marmicro.2021.102024","http://dx.doi.org/10.1016/j.marmicro.2021.102024")</f>
        <v>http://dx.doi.org/10.1016/j.marmicro.2021.102024</v>
      </c>
      <c r="BG205" t="s">
        <v>74</v>
      </c>
      <c r="BH205" t="s">
        <v>2323</v>
      </c>
      <c r="BI205">
        <v>19</v>
      </c>
      <c r="BJ205" t="s">
        <v>4393</v>
      </c>
      <c r="BK205" t="s">
        <v>128</v>
      </c>
      <c r="BL205" t="s">
        <v>4393</v>
      </c>
      <c r="BM205" t="s">
        <v>4394</v>
      </c>
      <c r="BN205" t="s">
        <v>74</v>
      </c>
      <c r="BO205" t="s">
        <v>74</v>
      </c>
      <c r="BP205" t="s">
        <v>74</v>
      </c>
      <c r="BQ205" t="s">
        <v>74</v>
      </c>
      <c r="BR205" t="s">
        <v>102</v>
      </c>
      <c r="BS205" t="s">
        <v>4395</v>
      </c>
      <c r="BT205" t="str">
        <f>HYPERLINK("https%3A%2F%2Fwww.webofscience.com%2Fwos%2Fwoscc%2Ffull-record%2FWOS:000687638100003","View Full Record in Web of Science")</f>
        <v>View Full Record in Web of Science</v>
      </c>
    </row>
    <row r="206" spans="1:72" x14ac:dyDescent="0.15">
      <c r="A206" t="s">
        <v>72</v>
      </c>
      <c r="B206" t="s">
        <v>4396</v>
      </c>
      <c r="C206" t="s">
        <v>74</v>
      </c>
      <c r="D206" t="s">
        <v>74</v>
      </c>
      <c r="E206" t="s">
        <v>74</v>
      </c>
      <c r="F206" t="s">
        <v>4397</v>
      </c>
      <c r="G206" t="s">
        <v>74</v>
      </c>
      <c r="H206" t="s">
        <v>74</v>
      </c>
      <c r="I206" t="s">
        <v>4398</v>
      </c>
      <c r="J206" t="s">
        <v>4399</v>
      </c>
      <c r="K206" t="s">
        <v>74</v>
      </c>
      <c r="L206" t="s">
        <v>74</v>
      </c>
      <c r="M206" t="s">
        <v>78</v>
      </c>
      <c r="N206" t="s">
        <v>79</v>
      </c>
      <c r="O206" t="s">
        <v>74</v>
      </c>
      <c r="P206" t="s">
        <v>74</v>
      </c>
      <c r="Q206" t="s">
        <v>74</v>
      </c>
      <c r="R206" t="s">
        <v>74</v>
      </c>
      <c r="S206" t="s">
        <v>74</v>
      </c>
      <c r="T206" t="s">
        <v>4400</v>
      </c>
      <c r="U206" t="s">
        <v>4401</v>
      </c>
      <c r="V206" t="s">
        <v>4402</v>
      </c>
      <c r="W206" t="s">
        <v>4403</v>
      </c>
      <c r="X206" t="s">
        <v>4404</v>
      </c>
      <c r="Y206" t="s">
        <v>4405</v>
      </c>
      <c r="Z206" t="s">
        <v>4406</v>
      </c>
      <c r="AA206" t="s">
        <v>4407</v>
      </c>
      <c r="AB206" t="s">
        <v>4408</v>
      </c>
      <c r="AC206" t="s">
        <v>4409</v>
      </c>
      <c r="AD206" t="s">
        <v>4410</v>
      </c>
      <c r="AE206" t="s">
        <v>4411</v>
      </c>
      <c r="AF206" t="s">
        <v>74</v>
      </c>
      <c r="AG206">
        <v>132</v>
      </c>
      <c r="AH206">
        <v>6</v>
      </c>
      <c r="AI206">
        <v>6</v>
      </c>
      <c r="AJ206">
        <v>3</v>
      </c>
      <c r="AK206">
        <v>19</v>
      </c>
      <c r="AL206" t="s">
        <v>119</v>
      </c>
      <c r="AM206" t="s">
        <v>120</v>
      </c>
      <c r="AN206" t="s">
        <v>121</v>
      </c>
      <c r="AO206" t="s">
        <v>74</v>
      </c>
      <c r="AP206" t="s">
        <v>4412</v>
      </c>
      <c r="AQ206" t="s">
        <v>74</v>
      </c>
      <c r="AR206" t="s">
        <v>4413</v>
      </c>
      <c r="AS206" t="s">
        <v>4414</v>
      </c>
      <c r="AT206" t="s">
        <v>4415</v>
      </c>
      <c r="AU206">
        <v>2021</v>
      </c>
      <c r="AV206">
        <v>12</v>
      </c>
      <c r="AW206" t="s">
        <v>74</v>
      </c>
      <c r="AX206" t="s">
        <v>74</v>
      </c>
      <c r="AY206" t="s">
        <v>74</v>
      </c>
      <c r="AZ206" t="s">
        <v>74</v>
      </c>
      <c r="BA206" t="s">
        <v>74</v>
      </c>
      <c r="BB206" t="s">
        <v>74</v>
      </c>
      <c r="BC206" t="s">
        <v>74</v>
      </c>
      <c r="BD206">
        <v>703792</v>
      </c>
      <c r="BE206" t="s">
        <v>4416</v>
      </c>
      <c r="BF206" t="str">
        <f>HYPERLINK("http://dx.doi.org/10.3389/fmicb.2021.703792","http://dx.doi.org/10.3389/fmicb.2021.703792")</f>
        <v>http://dx.doi.org/10.3389/fmicb.2021.703792</v>
      </c>
      <c r="BG206" t="s">
        <v>74</v>
      </c>
      <c r="BH206" t="s">
        <v>74</v>
      </c>
      <c r="BI206">
        <v>18</v>
      </c>
      <c r="BJ206" t="s">
        <v>1499</v>
      </c>
      <c r="BK206" t="s">
        <v>128</v>
      </c>
      <c r="BL206" t="s">
        <v>1499</v>
      </c>
      <c r="BM206" t="s">
        <v>4417</v>
      </c>
      <c r="BN206">
        <v>34335536</v>
      </c>
      <c r="BO206" t="s">
        <v>2995</v>
      </c>
      <c r="BP206" t="s">
        <v>74</v>
      </c>
      <c r="BQ206" t="s">
        <v>74</v>
      </c>
      <c r="BR206" t="s">
        <v>102</v>
      </c>
      <c r="BS206" t="s">
        <v>4418</v>
      </c>
      <c r="BT206" t="str">
        <f>HYPERLINK("https%3A%2F%2Fwww.webofscience.com%2Fwos%2Fwoscc%2Ffull-record%2FWOS:000679805800001","View Full Record in Web of Science")</f>
        <v>View Full Record in Web of Science</v>
      </c>
    </row>
    <row r="207" spans="1:72" x14ac:dyDescent="0.15">
      <c r="A207" t="s">
        <v>72</v>
      </c>
      <c r="B207" t="s">
        <v>4419</v>
      </c>
      <c r="C207" t="s">
        <v>74</v>
      </c>
      <c r="D207" t="s">
        <v>74</v>
      </c>
      <c r="E207" t="s">
        <v>74</v>
      </c>
      <c r="F207" t="s">
        <v>4420</v>
      </c>
      <c r="G207" t="s">
        <v>74</v>
      </c>
      <c r="H207" t="s">
        <v>74</v>
      </c>
      <c r="I207" t="s">
        <v>4421</v>
      </c>
      <c r="J207" t="s">
        <v>3491</v>
      </c>
      <c r="K207" t="s">
        <v>74</v>
      </c>
      <c r="L207" t="s">
        <v>74</v>
      </c>
      <c r="M207" t="s">
        <v>78</v>
      </c>
      <c r="N207" t="s">
        <v>79</v>
      </c>
      <c r="O207" t="s">
        <v>74</v>
      </c>
      <c r="P207" t="s">
        <v>74</v>
      </c>
      <c r="Q207" t="s">
        <v>74</v>
      </c>
      <c r="R207" t="s">
        <v>74</v>
      </c>
      <c r="S207" t="s">
        <v>74</v>
      </c>
      <c r="T207" t="s">
        <v>4422</v>
      </c>
      <c r="U207" t="s">
        <v>4423</v>
      </c>
      <c r="V207" t="s">
        <v>4424</v>
      </c>
      <c r="W207" t="s">
        <v>4425</v>
      </c>
      <c r="X207" t="s">
        <v>4426</v>
      </c>
      <c r="Y207" t="s">
        <v>4427</v>
      </c>
      <c r="Z207" t="s">
        <v>4428</v>
      </c>
      <c r="AA207" t="s">
        <v>4429</v>
      </c>
      <c r="AB207" t="s">
        <v>4430</v>
      </c>
      <c r="AC207" t="s">
        <v>4431</v>
      </c>
      <c r="AD207" t="s">
        <v>4432</v>
      </c>
      <c r="AE207" t="s">
        <v>4433</v>
      </c>
      <c r="AF207" t="s">
        <v>74</v>
      </c>
      <c r="AG207">
        <v>106</v>
      </c>
      <c r="AH207">
        <v>8</v>
      </c>
      <c r="AI207">
        <v>7</v>
      </c>
      <c r="AJ207">
        <v>1</v>
      </c>
      <c r="AK207">
        <v>20</v>
      </c>
      <c r="AL207" t="s">
        <v>89</v>
      </c>
      <c r="AM207" t="s">
        <v>90</v>
      </c>
      <c r="AN207" t="s">
        <v>91</v>
      </c>
      <c r="AO207" t="s">
        <v>3504</v>
      </c>
      <c r="AP207" t="s">
        <v>3505</v>
      </c>
      <c r="AQ207" t="s">
        <v>74</v>
      </c>
      <c r="AR207" t="s">
        <v>3506</v>
      </c>
      <c r="AS207" t="s">
        <v>3507</v>
      </c>
      <c r="AT207" t="s">
        <v>3271</v>
      </c>
      <c r="AU207">
        <v>2021</v>
      </c>
      <c r="AV207">
        <v>577</v>
      </c>
      <c r="AW207" t="s">
        <v>74</v>
      </c>
      <c r="AX207" t="s">
        <v>74</v>
      </c>
      <c r="AY207" t="s">
        <v>74</v>
      </c>
      <c r="AZ207" t="s">
        <v>74</v>
      </c>
      <c r="BA207" t="s">
        <v>74</v>
      </c>
      <c r="BB207" t="s">
        <v>74</v>
      </c>
      <c r="BC207" t="s">
        <v>74</v>
      </c>
      <c r="BD207">
        <v>110563</v>
      </c>
      <c r="BE207" t="s">
        <v>4434</v>
      </c>
      <c r="BF207" t="str">
        <f>HYPERLINK("http://dx.doi.org/10.1016/j.palaeo.2021.110563","http://dx.doi.org/10.1016/j.palaeo.2021.110563")</f>
        <v>http://dx.doi.org/10.1016/j.palaeo.2021.110563</v>
      </c>
      <c r="BG207" t="s">
        <v>74</v>
      </c>
      <c r="BH207" t="s">
        <v>2323</v>
      </c>
      <c r="BI207">
        <v>17</v>
      </c>
      <c r="BJ207" t="s">
        <v>3509</v>
      </c>
      <c r="BK207" t="s">
        <v>128</v>
      </c>
      <c r="BL207" t="s">
        <v>3510</v>
      </c>
      <c r="BM207" t="s">
        <v>4435</v>
      </c>
      <c r="BN207" t="s">
        <v>74</v>
      </c>
      <c r="BO207" t="s">
        <v>74</v>
      </c>
      <c r="BP207" t="s">
        <v>74</v>
      </c>
      <c r="BQ207" t="s">
        <v>74</v>
      </c>
      <c r="BR207" t="s">
        <v>102</v>
      </c>
      <c r="BS207" t="s">
        <v>4436</v>
      </c>
      <c r="BT207" t="str">
        <f>HYPERLINK("https%3A%2F%2Fwww.webofscience.com%2Fwos%2Fwoscc%2Ffull-record%2FWOS:000678383100031","View Full Record in Web of Science")</f>
        <v>View Full Record in Web of Science</v>
      </c>
    </row>
    <row r="208" spans="1:72" x14ac:dyDescent="0.15">
      <c r="A208" t="s">
        <v>72</v>
      </c>
      <c r="B208" t="s">
        <v>4437</v>
      </c>
      <c r="C208" t="s">
        <v>74</v>
      </c>
      <c r="D208" t="s">
        <v>74</v>
      </c>
      <c r="E208" t="s">
        <v>74</v>
      </c>
      <c r="F208" t="s">
        <v>4438</v>
      </c>
      <c r="G208" t="s">
        <v>74</v>
      </c>
      <c r="H208" t="s">
        <v>74</v>
      </c>
      <c r="I208" t="s">
        <v>4439</v>
      </c>
      <c r="J208" t="s">
        <v>4440</v>
      </c>
      <c r="K208" t="s">
        <v>74</v>
      </c>
      <c r="L208" t="s">
        <v>74</v>
      </c>
      <c r="M208" t="s">
        <v>78</v>
      </c>
      <c r="N208" t="s">
        <v>79</v>
      </c>
      <c r="O208" t="s">
        <v>74</v>
      </c>
      <c r="P208" t="s">
        <v>74</v>
      </c>
      <c r="Q208" t="s">
        <v>74</v>
      </c>
      <c r="R208" t="s">
        <v>74</v>
      </c>
      <c r="S208" t="s">
        <v>74</v>
      </c>
      <c r="T208" t="s">
        <v>74</v>
      </c>
      <c r="U208" t="s">
        <v>4441</v>
      </c>
      <c r="V208" t="s">
        <v>4442</v>
      </c>
      <c r="W208" t="s">
        <v>4443</v>
      </c>
      <c r="X208" t="s">
        <v>4444</v>
      </c>
      <c r="Y208" t="s">
        <v>4445</v>
      </c>
      <c r="Z208" t="s">
        <v>4446</v>
      </c>
      <c r="AA208" t="s">
        <v>4447</v>
      </c>
      <c r="AB208" t="s">
        <v>4448</v>
      </c>
      <c r="AC208" t="s">
        <v>4449</v>
      </c>
      <c r="AD208" t="s">
        <v>4449</v>
      </c>
      <c r="AE208" t="s">
        <v>4450</v>
      </c>
      <c r="AF208" t="s">
        <v>74</v>
      </c>
      <c r="AG208">
        <v>43</v>
      </c>
      <c r="AH208">
        <v>6</v>
      </c>
      <c r="AI208">
        <v>6</v>
      </c>
      <c r="AJ208">
        <v>0</v>
      </c>
      <c r="AK208">
        <v>8</v>
      </c>
      <c r="AL208" t="s">
        <v>4451</v>
      </c>
      <c r="AM208" t="s">
        <v>4452</v>
      </c>
      <c r="AN208" t="s">
        <v>4453</v>
      </c>
      <c r="AO208" t="s">
        <v>4454</v>
      </c>
      <c r="AP208" t="s">
        <v>74</v>
      </c>
      <c r="AQ208" t="s">
        <v>74</v>
      </c>
      <c r="AR208" t="s">
        <v>4440</v>
      </c>
      <c r="AS208" t="s">
        <v>4455</v>
      </c>
      <c r="AT208" t="s">
        <v>4415</v>
      </c>
      <c r="AU208">
        <v>2021</v>
      </c>
      <c r="AV208">
        <v>16</v>
      </c>
      <c r="AW208">
        <v>7</v>
      </c>
      <c r="AX208" t="s">
        <v>74</v>
      </c>
      <c r="AY208" t="s">
        <v>74</v>
      </c>
      <c r="AZ208" t="s">
        <v>74</v>
      </c>
      <c r="BA208" t="s">
        <v>74</v>
      </c>
      <c r="BB208" t="s">
        <v>74</v>
      </c>
      <c r="BC208" t="s">
        <v>74</v>
      </c>
      <c r="BD208" t="s">
        <v>4456</v>
      </c>
      <c r="BE208" t="s">
        <v>4457</v>
      </c>
      <c r="BF208" t="str">
        <f>HYPERLINK("http://dx.doi.org/10.1371/journal.pone.0253737","http://dx.doi.org/10.1371/journal.pone.0253737")</f>
        <v>http://dx.doi.org/10.1371/journal.pone.0253737</v>
      </c>
      <c r="BG208" t="s">
        <v>74</v>
      </c>
      <c r="BH208" t="s">
        <v>74</v>
      </c>
      <c r="BI208">
        <v>17</v>
      </c>
      <c r="BJ208" t="s">
        <v>2609</v>
      </c>
      <c r="BK208" t="s">
        <v>128</v>
      </c>
      <c r="BL208" t="s">
        <v>2610</v>
      </c>
      <c r="BM208" t="s">
        <v>4458</v>
      </c>
      <c r="BN208">
        <v>34260603</v>
      </c>
      <c r="BO208" t="s">
        <v>311</v>
      </c>
      <c r="BP208" t="s">
        <v>74</v>
      </c>
      <c r="BQ208" t="s">
        <v>74</v>
      </c>
      <c r="BR208" t="s">
        <v>102</v>
      </c>
      <c r="BS208" t="s">
        <v>4459</v>
      </c>
      <c r="BT208" t="str">
        <f>HYPERLINK("https%3A%2F%2Fwww.webofscience.com%2Fwos%2Fwoscc%2Ffull-record%2FWOS:000678119300017","View Full Record in Web of Science")</f>
        <v>View Full Record in Web of Science</v>
      </c>
    </row>
    <row r="209" spans="1:72" x14ac:dyDescent="0.15">
      <c r="A209" t="s">
        <v>72</v>
      </c>
      <c r="B209" t="s">
        <v>4460</v>
      </c>
      <c r="C209" t="s">
        <v>74</v>
      </c>
      <c r="D209" t="s">
        <v>74</v>
      </c>
      <c r="E209" t="s">
        <v>74</v>
      </c>
      <c r="F209" t="s">
        <v>4461</v>
      </c>
      <c r="G209" t="s">
        <v>74</v>
      </c>
      <c r="H209" t="s">
        <v>74</v>
      </c>
      <c r="I209" t="s">
        <v>4462</v>
      </c>
      <c r="J209" t="s">
        <v>3776</v>
      </c>
      <c r="K209" t="s">
        <v>74</v>
      </c>
      <c r="L209" t="s">
        <v>74</v>
      </c>
      <c r="M209" t="s">
        <v>78</v>
      </c>
      <c r="N209" t="s">
        <v>79</v>
      </c>
      <c r="O209" t="s">
        <v>74</v>
      </c>
      <c r="P209" t="s">
        <v>74</v>
      </c>
      <c r="Q209" t="s">
        <v>74</v>
      </c>
      <c r="R209" t="s">
        <v>74</v>
      </c>
      <c r="S209" t="s">
        <v>74</v>
      </c>
      <c r="T209" t="s">
        <v>74</v>
      </c>
      <c r="U209" t="s">
        <v>4463</v>
      </c>
      <c r="V209" t="s">
        <v>4464</v>
      </c>
      <c r="W209" t="s">
        <v>4465</v>
      </c>
      <c r="X209" t="s">
        <v>4466</v>
      </c>
      <c r="Y209" t="s">
        <v>4467</v>
      </c>
      <c r="Z209" t="s">
        <v>4468</v>
      </c>
      <c r="AA209" t="s">
        <v>4469</v>
      </c>
      <c r="AB209" t="s">
        <v>4470</v>
      </c>
      <c r="AC209" t="s">
        <v>4471</v>
      </c>
      <c r="AD209" t="s">
        <v>4472</v>
      </c>
      <c r="AE209" t="s">
        <v>4473</v>
      </c>
      <c r="AF209" t="s">
        <v>74</v>
      </c>
      <c r="AG209">
        <v>140</v>
      </c>
      <c r="AH209">
        <v>15</v>
      </c>
      <c r="AI209">
        <v>15</v>
      </c>
      <c r="AJ209">
        <v>3</v>
      </c>
      <c r="AK209">
        <v>19</v>
      </c>
      <c r="AL209" t="s">
        <v>143</v>
      </c>
      <c r="AM209" t="s">
        <v>144</v>
      </c>
      <c r="AN209" t="s">
        <v>145</v>
      </c>
      <c r="AO209" t="s">
        <v>3788</v>
      </c>
      <c r="AP209" t="s">
        <v>3789</v>
      </c>
      <c r="AQ209" t="s">
        <v>74</v>
      </c>
      <c r="AR209" t="s">
        <v>3790</v>
      </c>
      <c r="AS209" t="s">
        <v>3791</v>
      </c>
      <c r="AT209" t="s">
        <v>4415</v>
      </c>
      <c r="AU209">
        <v>2021</v>
      </c>
      <c r="AV209">
        <v>21</v>
      </c>
      <c r="AW209">
        <v>13</v>
      </c>
      <c r="AX209" t="s">
        <v>74</v>
      </c>
      <c r="AY209" t="s">
        <v>74</v>
      </c>
      <c r="AZ209" t="s">
        <v>74</v>
      </c>
      <c r="BA209" t="s">
        <v>74</v>
      </c>
      <c r="BB209">
        <v>10527</v>
      </c>
      <c r="BC209">
        <v>10555</v>
      </c>
      <c r="BD209" t="s">
        <v>74</v>
      </c>
      <c r="BE209" t="s">
        <v>4474</v>
      </c>
      <c r="BF209" t="str">
        <f>HYPERLINK("http://dx.doi.org/10.5194/acp-21-10527-2021","http://dx.doi.org/10.5194/acp-21-10527-2021")</f>
        <v>http://dx.doi.org/10.5194/acp-21-10527-2021</v>
      </c>
      <c r="BG209" t="s">
        <v>74</v>
      </c>
      <c r="BH209" t="s">
        <v>74</v>
      </c>
      <c r="BI209">
        <v>29</v>
      </c>
      <c r="BJ209" t="s">
        <v>635</v>
      </c>
      <c r="BK209" t="s">
        <v>128</v>
      </c>
      <c r="BL209" t="s">
        <v>636</v>
      </c>
      <c r="BM209" t="s">
        <v>4475</v>
      </c>
      <c r="BN209" t="s">
        <v>74</v>
      </c>
      <c r="BO209" t="s">
        <v>4476</v>
      </c>
      <c r="BP209" t="s">
        <v>74</v>
      </c>
      <c r="BQ209" t="s">
        <v>74</v>
      </c>
      <c r="BR209" t="s">
        <v>102</v>
      </c>
      <c r="BS209" t="s">
        <v>4477</v>
      </c>
      <c r="BT209" t="str">
        <f>HYPERLINK("https%3A%2F%2Fwww.webofscience.com%2Fwos%2Fwoscc%2Ffull-record%2FWOS:000674224600001","View Full Record in Web of Science")</f>
        <v>View Full Record in Web of Science</v>
      </c>
    </row>
    <row r="210" spans="1:72" x14ac:dyDescent="0.15">
      <c r="A210" t="s">
        <v>72</v>
      </c>
      <c r="B210" t="s">
        <v>4478</v>
      </c>
      <c r="C210" t="s">
        <v>74</v>
      </c>
      <c r="D210" t="s">
        <v>74</v>
      </c>
      <c r="E210" t="s">
        <v>74</v>
      </c>
      <c r="F210" t="s">
        <v>4479</v>
      </c>
      <c r="G210" t="s">
        <v>74</v>
      </c>
      <c r="H210" t="s">
        <v>74</v>
      </c>
      <c r="I210" t="s">
        <v>4480</v>
      </c>
      <c r="J210" t="s">
        <v>4481</v>
      </c>
      <c r="K210" t="s">
        <v>74</v>
      </c>
      <c r="L210" t="s">
        <v>74</v>
      </c>
      <c r="M210" t="s">
        <v>78</v>
      </c>
      <c r="N210" t="s">
        <v>79</v>
      </c>
      <c r="O210" t="s">
        <v>74</v>
      </c>
      <c r="P210" t="s">
        <v>74</v>
      </c>
      <c r="Q210" t="s">
        <v>74</v>
      </c>
      <c r="R210" t="s">
        <v>74</v>
      </c>
      <c r="S210" t="s">
        <v>74</v>
      </c>
      <c r="T210" t="s">
        <v>4482</v>
      </c>
      <c r="U210" t="s">
        <v>4483</v>
      </c>
      <c r="V210" t="s">
        <v>4484</v>
      </c>
      <c r="W210" t="s">
        <v>4485</v>
      </c>
      <c r="X210" t="s">
        <v>4486</v>
      </c>
      <c r="Y210" t="s">
        <v>4487</v>
      </c>
      <c r="Z210" t="s">
        <v>4488</v>
      </c>
      <c r="AA210" t="s">
        <v>4489</v>
      </c>
      <c r="AB210" t="s">
        <v>4490</v>
      </c>
      <c r="AC210" t="s">
        <v>4491</v>
      </c>
      <c r="AD210" t="s">
        <v>4492</v>
      </c>
      <c r="AE210" t="s">
        <v>4493</v>
      </c>
      <c r="AF210" t="s">
        <v>74</v>
      </c>
      <c r="AG210">
        <v>45</v>
      </c>
      <c r="AH210">
        <v>11</v>
      </c>
      <c r="AI210">
        <v>11</v>
      </c>
      <c r="AJ210">
        <v>2</v>
      </c>
      <c r="AK210">
        <v>14</v>
      </c>
      <c r="AL210" t="s">
        <v>4494</v>
      </c>
      <c r="AM210" t="s">
        <v>4495</v>
      </c>
      <c r="AN210" t="s">
        <v>4496</v>
      </c>
      <c r="AO210" t="s">
        <v>4497</v>
      </c>
      <c r="AP210" t="s">
        <v>4498</v>
      </c>
      <c r="AQ210" t="s">
        <v>74</v>
      </c>
      <c r="AR210" t="s">
        <v>4499</v>
      </c>
      <c r="AS210" t="s">
        <v>4500</v>
      </c>
      <c r="AT210" t="s">
        <v>96</v>
      </c>
      <c r="AU210">
        <v>2021</v>
      </c>
      <c r="AV210">
        <v>202</v>
      </c>
      <c r="AW210" t="s">
        <v>74</v>
      </c>
      <c r="AX210" t="s">
        <v>74</v>
      </c>
      <c r="AY210" t="s">
        <v>74</v>
      </c>
      <c r="AZ210" t="s">
        <v>74</v>
      </c>
      <c r="BA210" t="s">
        <v>74</v>
      </c>
      <c r="BB210" t="s">
        <v>74</v>
      </c>
      <c r="BC210" t="s">
        <v>74</v>
      </c>
      <c r="BD210">
        <v>111655</v>
      </c>
      <c r="BE210" t="s">
        <v>4501</v>
      </c>
      <c r="BF210" t="str">
        <f>HYPERLINK("http://dx.doi.org/10.1016/j.envres.2021.111655","http://dx.doi.org/10.1016/j.envres.2021.111655")</f>
        <v>http://dx.doi.org/10.1016/j.envres.2021.111655</v>
      </c>
      <c r="BG210" t="s">
        <v>74</v>
      </c>
      <c r="BH210" t="s">
        <v>2323</v>
      </c>
      <c r="BI210">
        <v>8</v>
      </c>
      <c r="BJ210" t="s">
        <v>4502</v>
      </c>
      <c r="BK210" t="s">
        <v>128</v>
      </c>
      <c r="BL210" t="s">
        <v>4503</v>
      </c>
      <c r="BM210" t="s">
        <v>4504</v>
      </c>
      <c r="BN210">
        <v>34252428</v>
      </c>
      <c r="BO210" t="s">
        <v>2125</v>
      </c>
      <c r="BP210" t="s">
        <v>74</v>
      </c>
      <c r="BQ210" t="s">
        <v>74</v>
      </c>
      <c r="BR210" t="s">
        <v>102</v>
      </c>
      <c r="BS210" t="s">
        <v>4505</v>
      </c>
      <c r="BT210" t="str">
        <f>HYPERLINK("https%3A%2F%2Fwww.webofscience.com%2Fwos%2Fwoscc%2Ffull-record%2FWOS:000704802200003","View Full Record in Web of Science")</f>
        <v>View Full Record in Web of Science</v>
      </c>
    </row>
    <row r="211" spans="1:72" x14ac:dyDescent="0.15">
      <c r="A211" t="s">
        <v>72</v>
      </c>
      <c r="B211" t="s">
        <v>4506</v>
      </c>
      <c r="C211" t="s">
        <v>74</v>
      </c>
      <c r="D211" t="s">
        <v>74</v>
      </c>
      <c r="E211" t="s">
        <v>74</v>
      </c>
      <c r="F211" t="s">
        <v>4507</v>
      </c>
      <c r="G211" t="s">
        <v>74</v>
      </c>
      <c r="H211" t="s">
        <v>74</v>
      </c>
      <c r="I211" t="s">
        <v>4508</v>
      </c>
      <c r="J211" t="s">
        <v>4509</v>
      </c>
      <c r="K211" t="s">
        <v>74</v>
      </c>
      <c r="L211" t="s">
        <v>74</v>
      </c>
      <c r="M211" t="s">
        <v>78</v>
      </c>
      <c r="N211" t="s">
        <v>79</v>
      </c>
      <c r="O211" t="s">
        <v>74</v>
      </c>
      <c r="P211" t="s">
        <v>74</v>
      </c>
      <c r="Q211" t="s">
        <v>74</v>
      </c>
      <c r="R211" t="s">
        <v>74</v>
      </c>
      <c r="S211" t="s">
        <v>74</v>
      </c>
      <c r="T211" t="s">
        <v>4510</v>
      </c>
      <c r="U211" t="s">
        <v>4511</v>
      </c>
      <c r="V211" t="s">
        <v>4512</v>
      </c>
      <c r="W211" t="s">
        <v>4513</v>
      </c>
      <c r="X211" t="s">
        <v>4514</v>
      </c>
      <c r="Y211" t="s">
        <v>4515</v>
      </c>
      <c r="Z211" t="s">
        <v>4516</v>
      </c>
      <c r="AA211" t="s">
        <v>4517</v>
      </c>
      <c r="AB211" t="s">
        <v>4518</v>
      </c>
      <c r="AC211" t="s">
        <v>4519</v>
      </c>
      <c r="AD211" t="s">
        <v>4520</v>
      </c>
      <c r="AE211" t="s">
        <v>4521</v>
      </c>
      <c r="AF211" t="s">
        <v>74</v>
      </c>
      <c r="AG211">
        <v>83</v>
      </c>
      <c r="AH211">
        <v>1</v>
      </c>
      <c r="AI211">
        <v>1</v>
      </c>
      <c r="AJ211">
        <v>0</v>
      </c>
      <c r="AK211">
        <v>2</v>
      </c>
      <c r="AL211" t="s">
        <v>4522</v>
      </c>
      <c r="AM211" t="s">
        <v>368</v>
      </c>
      <c r="AN211" t="s">
        <v>4523</v>
      </c>
      <c r="AO211" t="s">
        <v>4524</v>
      </c>
      <c r="AP211" t="s">
        <v>4525</v>
      </c>
      <c r="AQ211" t="s">
        <v>74</v>
      </c>
      <c r="AR211" t="s">
        <v>4526</v>
      </c>
      <c r="AS211" t="s">
        <v>4527</v>
      </c>
      <c r="AT211" t="s">
        <v>402</v>
      </c>
      <c r="AU211">
        <v>2021</v>
      </c>
      <c r="AV211">
        <v>116</v>
      </c>
      <c r="AW211" t="s">
        <v>74</v>
      </c>
      <c r="AX211" t="s">
        <v>74</v>
      </c>
      <c r="AY211" t="s">
        <v>74</v>
      </c>
      <c r="AZ211" t="s">
        <v>74</v>
      </c>
      <c r="BA211" t="s">
        <v>74</v>
      </c>
      <c r="BB211">
        <v>124</v>
      </c>
      <c r="BC211">
        <v>139</v>
      </c>
      <c r="BD211" t="s">
        <v>74</v>
      </c>
      <c r="BE211" t="s">
        <v>4528</v>
      </c>
      <c r="BF211" t="str">
        <f>HYPERLINK("http://dx.doi.org/10.1016/j.fsi.2021.05.015","http://dx.doi.org/10.1016/j.fsi.2021.05.015")</f>
        <v>http://dx.doi.org/10.1016/j.fsi.2021.05.015</v>
      </c>
      <c r="BG211" t="s">
        <v>74</v>
      </c>
      <c r="BH211" t="s">
        <v>2323</v>
      </c>
      <c r="BI211">
        <v>16</v>
      </c>
      <c r="BJ211" t="s">
        <v>4529</v>
      </c>
      <c r="BK211" t="s">
        <v>128</v>
      </c>
      <c r="BL211" t="s">
        <v>4529</v>
      </c>
      <c r="BM211" t="s">
        <v>4530</v>
      </c>
      <c r="BN211">
        <v>34038801</v>
      </c>
      <c r="BO211" t="s">
        <v>514</v>
      </c>
      <c r="BP211" t="s">
        <v>74</v>
      </c>
      <c r="BQ211" t="s">
        <v>74</v>
      </c>
      <c r="BR211" t="s">
        <v>102</v>
      </c>
      <c r="BS211" t="s">
        <v>4531</v>
      </c>
      <c r="BT211" t="str">
        <f>HYPERLINK("https%3A%2F%2Fwww.webofscience.com%2Fwos%2Fwoscc%2Ffull-record%2FWOS:000682963400001","View Full Record in Web of Science")</f>
        <v>View Full Record in Web of Science</v>
      </c>
    </row>
    <row r="212" spans="1:72" x14ac:dyDescent="0.15">
      <c r="A212" t="s">
        <v>72</v>
      </c>
      <c r="B212" t="s">
        <v>4532</v>
      </c>
      <c r="C212" t="s">
        <v>74</v>
      </c>
      <c r="D212" t="s">
        <v>74</v>
      </c>
      <c r="E212" t="s">
        <v>74</v>
      </c>
      <c r="F212" t="s">
        <v>4533</v>
      </c>
      <c r="G212" t="s">
        <v>74</v>
      </c>
      <c r="H212" t="s">
        <v>74</v>
      </c>
      <c r="I212" t="s">
        <v>4534</v>
      </c>
      <c r="J212" t="s">
        <v>3624</v>
      </c>
      <c r="K212" t="s">
        <v>74</v>
      </c>
      <c r="L212" t="s">
        <v>74</v>
      </c>
      <c r="M212" t="s">
        <v>78</v>
      </c>
      <c r="N212" t="s">
        <v>79</v>
      </c>
      <c r="O212" t="s">
        <v>74</v>
      </c>
      <c r="P212" t="s">
        <v>74</v>
      </c>
      <c r="Q212" t="s">
        <v>74</v>
      </c>
      <c r="R212" t="s">
        <v>74</v>
      </c>
      <c r="S212" t="s">
        <v>74</v>
      </c>
      <c r="T212" t="s">
        <v>4535</v>
      </c>
      <c r="U212" t="s">
        <v>4536</v>
      </c>
      <c r="V212" t="s">
        <v>4537</v>
      </c>
      <c r="W212" t="s">
        <v>4538</v>
      </c>
      <c r="X212" t="s">
        <v>4539</v>
      </c>
      <c r="Y212" t="s">
        <v>4540</v>
      </c>
      <c r="Z212" t="s">
        <v>4541</v>
      </c>
      <c r="AA212" t="s">
        <v>4542</v>
      </c>
      <c r="AB212" t="s">
        <v>4543</v>
      </c>
      <c r="AC212" t="s">
        <v>4544</v>
      </c>
      <c r="AD212" t="s">
        <v>4545</v>
      </c>
      <c r="AE212" t="s">
        <v>4546</v>
      </c>
      <c r="AF212" t="s">
        <v>74</v>
      </c>
      <c r="AG212">
        <v>101</v>
      </c>
      <c r="AH212">
        <v>23</v>
      </c>
      <c r="AI212">
        <v>24</v>
      </c>
      <c r="AJ212">
        <v>4</v>
      </c>
      <c r="AK212">
        <v>27</v>
      </c>
      <c r="AL212" t="s">
        <v>450</v>
      </c>
      <c r="AM212" t="s">
        <v>650</v>
      </c>
      <c r="AN212" t="s">
        <v>1957</v>
      </c>
      <c r="AO212" t="s">
        <v>3636</v>
      </c>
      <c r="AP212" t="s">
        <v>3637</v>
      </c>
      <c r="AQ212" t="s">
        <v>74</v>
      </c>
      <c r="AR212" t="s">
        <v>3638</v>
      </c>
      <c r="AS212" t="s">
        <v>3639</v>
      </c>
      <c r="AT212" t="s">
        <v>374</v>
      </c>
      <c r="AU212">
        <v>2021</v>
      </c>
      <c r="AV212">
        <v>57</v>
      </c>
      <c r="AW212" t="s">
        <v>4547</v>
      </c>
      <c r="AX212" t="s">
        <v>74</v>
      </c>
      <c r="AY212" t="s">
        <v>74</v>
      </c>
      <c r="AZ212" t="s">
        <v>74</v>
      </c>
      <c r="BA212" t="s">
        <v>74</v>
      </c>
      <c r="BB212">
        <v>3479</v>
      </c>
      <c r="BC212">
        <v>3503</v>
      </c>
      <c r="BD212" t="s">
        <v>74</v>
      </c>
      <c r="BE212" t="s">
        <v>4548</v>
      </c>
      <c r="BF212" t="str">
        <f>HYPERLINK("http://dx.doi.org/10.1007/s00382-021-05879-6","http://dx.doi.org/10.1007/s00382-021-05879-6")</f>
        <v>http://dx.doi.org/10.1007/s00382-021-05879-6</v>
      </c>
      <c r="BG212" t="s">
        <v>74</v>
      </c>
      <c r="BH212" t="s">
        <v>2323</v>
      </c>
      <c r="BI212">
        <v>25</v>
      </c>
      <c r="BJ212" t="s">
        <v>567</v>
      </c>
      <c r="BK212" t="s">
        <v>128</v>
      </c>
      <c r="BL212" t="s">
        <v>567</v>
      </c>
      <c r="BM212" t="s">
        <v>4549</v>
      </c>
      <c r="BN212" t="s">
        <v>74</v>
      </c>
      <c r="BO212" t="s">
        <v>408</v>
      </c>
      <c r="BP212" t="s">
        <v>74</v>
      </c>
      <c r="BQ212" t="s">
        <v>74</v>
      </c>
      <c r="BR212" t="s">
        <v>102</v>
      </c>
      <c r="BS212" t="s">
        <v>4550</v>
      </c>
      <c r="BT212" t="str">
        <f>HYPERLINK("https%3A%2F%2Fwww.webofscience.com%2Fwos%2Fwoscc%2Ffull-record%2FWOS:000673095300001","View Full Record in Web of Science")</f>
        <v>View Full Record in Web of Science</v>
      </c>
    </row>
    <row r="213" spans="1:72" x14ac:dyDescent="0.15">
      <c r="A213" t="s">
        <v>72</v>
      </c>
      <c r="B213" t="s">
        <v>4551</v>
      </c>
      <c r="C213" t="s">
        <v>74</v>
      </c>
      <c r="D213" t="s">
        <v>74</v>
      </c>
      <c r="E213" t="s">
        <v>74</v>
      </c>
      <c r="F213" t="s">
        <v>4552</v>
      </c>
      <c r="G213" t="s">
        <v>74</v>
      </c>
      <c r="H213" t="s">
        <v>74</v>
      </c>
      <c r="I213" t="s">
        <v>4553</v>
      </c>
      <c r="J213" t="s">
        <v>4554</v>
      </c>
      <c r="K213" t="s">
        <v>74</v>
      </c>
      <c r="L213" t="s">
        <v>74</v>
      </c>
      <c r="M213" t="s">
        <v>78</v>
      </c>
      <c r="N213" t="s">
        <v>79</v>
      </c>
      <c r="O213" t="s">
        <v>74</v>
      </c>
      <c r="P213" t="s">
        <v>74</v>
      </c>
      <c r="Q213" t="s">
        <v>74</v>
      </c>
      <c r="R213" t="s">
        <v>74</v>
      </c>
      <c r="S213" t="s">
        <v>74</v>
      </c>
      <c r="T213" t="s">
        <v>4555</v>
      </c>
      <c r="U213" t="s">
        <v>4556</v>
      </c>
      <c r="V213" t="s">
        <v>4557</v>
      </c>
      <c r="W213" t="s">
        <v>4558</v>
      </c>
      <c r="X213" t="s">
        <v>4559</v>
      </c>
      <c r="Y213" t="s">
        <v>4560</v>
      </c>
      <c r="Z213" t="s">
        <v>4561</v>
      </c>
      <c r="AA213" t="s">
        <v>4562</v>
      </c>
      <c r="AB213" t="s">
        <v>4563</v>
      </c>
      <c r="AC213" t="s">
        <v>4564</v>
      </c>
      <c r="AD213" t="s">
        <v>4565</v>
      </c>
      <c r="AE213" t="s">
        <v>4566</v>
      </c>
      <c r="AF213" t="s">
        <v>74</v>
      </c>
      <c r="AG213">
        <v>76</v>
      </c>
      <c r="AH213">
        <v>5</v>
      </c>
      <c r="AI213">
        <v>5</v>
      </c>
      <c r="AJ213">
        <v>0</v>
      </c>
      <c r="AK213">
        <v>2</v>
      </c>
      <c r="AL213" t="s">
        <v>450</v>
      </c>
      <c r="AM213" t="s">
        <v>650</v>
      </c>
      <c r="AN213" t="s">
        <v>1957</v>
      </c>
      <c r="AO213" t="s">
        <v>4567</v>
      </c>
      <c r="AP213" t="s">
        <v>4568</v>
      </c>
      <c r="AQ213" t="s">
        <v>74</v>
      </c>
      <c r="AR213" t="s">
        <v>4569</v>
      </c>
      <c r="AS213" t="s">
        <v>4570</v>
      </c>
      <c r="AT213" t="s">
        <v>4571</v>
      </c>
      <c r="AU213">
        <v>2022</v>
      </c>
      <c r="AV213">
        <v>14</v>
      </c>
      <c r="AW213">
        <v>3</v>
      </c>
      <c r="AX213" t="s">
        <v>74</v>
      </c>
      <c r="AY213" t="s">
        <v>74</v>
      </c>
      <c r="AZ213" t="s">
        <v>74</v>
      </c>
      <c r="BA213" t="s">
        <v>74</v>
      </c>
      <c r="BB213">
        <v>486</v>
      </c>
      <c r="BC213">
        <v>500</v>
      </c>
      <c r="BD213" t="s">
        <v>74</v>
      </c>
      <c r="BE213" t="s">
        <v>4572</v>
      </c>
      <c r="BF213" t="str">
        <f>HYPERLINK("http://dx.doi.org/10.1007/s12602-021-09817-0","http://dx.doi.org/10.1007/s12602-021-09817-0")</f>
        <v>http://dx.doi.org/10.1007/s12602-021-09817-0</v>
      </c>
      <c r="BG213" t="s">
        <v>74</v>
      </c>
      <c r="BH213" t="s">
        <v>2323</v>
      </c>
      <c r="BI213">
        <v>15</v>
      </c>
      <c r="BJ213" t="s">
        <v>4573</v>
      </c>
      <c r="BK213" t="s">
        <v>128</v>
      </c>
      <c r="BL213" t="s">
        <v>4573</v>
      </c>
      <c r="BM213" t="s">
        <v>4574</v>
      </c>
      <c r="BN213">
        <v>34255281</v>
      </c>
      <c r="BO213" t="s">
        <v>74</v>
      </c>
      <c r="BP213" t="s">
        <v>74</v>
      </c>
      <c r="BQ213" t="s">
        <v>74</v>
      </c>
      <c r="BR213" t="s">
        <v>102</v>
      </c>
      <c r="BS213" t="s">
        <v>4575</v>
      </c>
      <c r="BT213" t="str">
        <f>HYPERLINK("https%3A%2F%2Fwww.webofscience.com%2Fwos%2Fwoscc%2Ffull-record%2FWOS:000673078100001","View Full Record in Web of Science")</f>
        <v>View Full Record in Web of Science</v>
      </c>
    </row>
    <row r="214" spans="1:72" x14ac:dyDescent="0.15">
      <c r="A214" t="s">
        <v>72</v>
      </c>
      <c r="B214" t="s">
        <v>4576</v>
      </c>
      <c r="C214" t="s">
        <v>74</v>
      </c>
      <c r="D214" t="s">
        <v>74</v>
      </c>
      <c r="E214" t="s">
        <v>74</v>
      </c>
      <c r="F214" t="s">
        <v>4577</v>
      </c>
      <c r="G214" t="s">
        <v>74</v>
      </c>
      <c r="H214" t="s">
        <v>74</v>
      </c>
      <c r="I214" t="s">
        <v>4578</v>
      </c>
      <c r="J214" t="s">
        <v>4579</v>
      </c>
      <c r="K214" t="s">
        <v>74</v>
      </c>
      <c r="L214" t="s">
        <v>74</v>
      </c>
      <c r="M214" t="s">
        <v>78</v>
      </c>
      <c r="N214" t="s">
        <v>79</v>
      </c>
      <c r="O214" t="s">
        <v>74</v>
      </c>
      <c r="P214" t="s">
        <v>74</v>
      </c>
      <c r="Q214" t="s">
        <v>74</v>
      </c>
      <c r="R214" t="s">
        <v>74</v>
      </c>
      <c r="S214" t="s">
        <v>74</v>
      </c>
      <c r="T214" t="s">
        <v>4580</v>
      </c>
      <c r="U214" t="s">
        <v>4581</v>
      </c>
      <c r="V214" t="s">
        <v>4582</v>
      </c>
      <c r="W214" t="s">
        <v>4583</v>
      </c>
      <c r="X214" t="s">
        <v>4584</v>
      </c>
      <c r="Y214" t="s">
        <v>4585</v>
      </c>
      <c r="Z214" t="s">
        <v>4586</v>
      </c>
      <c r="AA214" t="s">
        <v>4587</v>
      </c>
      <c r="AB214" t="s">
        <v>4588</v>
      </c>
      <c r="AC214" t="s">
        <v>4589</v>
      </c>
      <c r="AD214" t="s">
        <v>4590</v>
      </c>
      <c r="AE214" t="s">
        <v>4591</v>
      </c>
      <c r="AF214" t="s">
        <v>74</v>
      </c>
      <c r="AG214">
        <v>51</v>
      </c>
      <c r="AH214">
        <v>2</v>
      </c>
      <c r="AI214">
        <v>2</v>
      </c>
      <c r="AJ214">
        <v>1</v>
      </c>
      <c r="AK214">
        <v>4</v>
      </c>
      <c r="AL214" t="s">
        <v>197</v>
      </c>
      <c r="AM214" t="s">
        <v>198</v>
      </c>
      <c r="AN214" t="s">
        <v>199</v>
      </c>
      <c r="AO214" t="s">
        <v>4592</v>
      </c>
      <c r="AP214" t="s">
        <v>4593</v>
      </c>
      <c r="AQ214" t="s">
        <v>74</v>
      </c>
      <c r="AR214" t="s">
        <v>4594</v>
      </c>
      <c r="AS214" t="s">
        <v>4595</v>
      </c>
      <c r="AT214" t="s">
        <v>204</v>
      </c>
      <c r="AU214">
        <v>2021</v>
      </c>
      <c r="AV214">
        <v>32</v>
      </c>
      <c r="AW214">
        <v>4</v>
      </c>
      <c r="AX214" t="s">
        <v>74</v>
      </c>
      <c r="AY214" t="s">
        <v>74</v>
      </c>
      <c r="AZ214" t="s">
        <v>74</v>
      </c>
      <c r="BA214" t="s">
        <v>74</v>
      </c>
      <c r="BB214">
        <v>572</v>
      </c>
      <c r="BC214">
        <v>586</v>
      </c>
      <c r="BD214" t="s">
        <v>74</v>
      </c>
      <c r="BE214" t="s">
        <v>4596</v>
      </c>
      <c r="BF214" t="str">
        <f>HYPERLINK("http://dx.doi.org/10.1002/ppp.2124","http://dx.doi.org/10.1002/ppp.2124")</f>
        <v>http://dx.doi.org/10.1002/ppp.2124</v>
      </c>
      <c r="BG214" t="s">
        <v>74</v>
      </c>
      <c r="BH214" t="s">
        <v>2323</v>
      </c>
      <c r="BI214">
        <v>15</v>
      </c>
      <c r="BJ214" t="s">
        <v>4597</v>
      </c>
      <c r="BK214" t="s">
        <v>128</v>
      </c>
      <c r="BL214" t="s">
        <v>152</v>
      </c>
      <c r="BM214" t="s">
        <v>4598</v>
      </c>
      <c r="BN214" t="s">
        <v>74</v>
      </c>
      <c r="BO214" t="s">
        <v>238</v>
      </c>
      <c r="BP214" t="s">
        <v>74</v>
      </c>
      <c r="BQ214" t="s">
        <v>74</v>
      </c>
      <c r="BR214" t="s">
        <v>102</v>
      </c>
      <c r="BS214" t="s">
        <v>4599</v>
      </c>
      <c r="BT214" t="str">
        <f>HYPERLINK("https%3A%2F%2Fwww.webofscience.com%2Fwos%2Fwoscc%2Ffull-record%2FWOS:000672291300001","View Full Record in Web of Science")</f>
        <v>View Full Record in Web of Science</v>
      </c>
    </row>
    <row r="215" spans="1:72" x14ac:dyDescent="0.15">
      <c r="A215" t="s">
        <v>72</v>
      </c>
      <c r="B215" t="s">
        <v>4600</v>
      </c>
      <c r="C215" t="s">
        <v>74</v>
      </c>
      <c r="D215" t="s">
        <v>74</v>
      </c>
      <c r="E215" t="s">
        <v>74</v>
      </c>
      <c r="F215" t="s">
        <v>4601</v>
      </c>
      <c r="G215" t="s">
        <v>74</v>
      </c>
      <c r="H215" t="s">
        <v>74</v>
      </c>
      <c r="I215" t="s">
        <v>4602</v>
      </c>
      <c r="J215" t="s">
        <v>4603</v>
      </c>
      <c r="K215" t="s">
        <v>74</v>
      </c>
      <c r="L215" t="s">
        <v>74</v>
      </c>
      <c r="M215" t="s">
        <v>78</v>
      </c>
      <c r="N215" t="s">
        <v>79</v>
      </c>
      <c r="O215" t="s">
        <v>74</v>
      </c>
      <c r="P215" t="s">
        <v>74</v>
      </c>
      <c r="Q215" t="s">
        <v>74</v>
      </c>
      <c r="R215" t="s">
        <v>74</v>
      </c>
      <c r="S215" t="s">
        <v>74</v>
      </c>
      <c r="T215" t="s">
        <v>74</v>
      </c>
      <c r="U215" t="s">
        <v>4604</v>
      </c>
      <c r="V215" t="s">
        <v>4605</v>
      </c>
      <c r="W215" t="s">
        <v>4606</v>
      </c>
      <c r="X215" t="s">
        <v>4607</v>
      </c>
      <c r="Y215" t="s">
        <v>4608</v>
      </c>
      <c r="Z215" t="s">
        <v>4609</v>
      </c>
      <c r="AA215" t="s">
        <v>4610</v>
      </c>
      <c r="AB215" t="s">
        <v>4611</v>
      </c>
      <c r="AC215" t="s">
        <v>4612</v>
      </c>
      <c r="AD215" t="s">
        <v>4613</v>
      </c>
      <c r="AE215" t="s">
        <v>4614</v>
      </c>
      <c r="AF215" t="s">
        <v>74</v>
      </c>
      <c r="AG215">
        <v>57</v>
      </c>
      <c r="AH215">
        <v>3</v>
      </c>
      <c r="AI215">
        <v>3</v>
      </c>
      <c r="AJ215">
        <v>2</v>
      </c>
      <c r="AK215">
        <v>40</v>
      </c>
      <c r="AL215" t="s">
        <v>3265</v>
      </c>
      <c r="AM215" t="s">
        <v>2239</v>
      </c>
      <c r="AN215" t="s">
        <v>3266</v>
      </c>
      <c r="AO215" t="s">
        <v>4615</v>
      </c>
      <c r="AP215" t="s">
        <v>4616</v>
      </c>
      <c r="AQ215" t="s">
        <v>74</v>
      </c>
      <c r="AR215" t="s">
        <v>4617</v>
      </c>
      <c r="AS215" t="s">
        <v>4618</v>
      </c>
      <c r="AT215" t="s">
        <v>4619</v>
      </c>
      <c r="AU215">
        <v>2021</v>
      </c>
      <c r="AV215">
        <v>12</v>
      </c>
      <c r="AW215">
        <v>18</v>
      </c>
      <c r="AX215" t="s">
        <v>74</v>
      </c>
      <c r="AY215" t="s">
        <v>74</v>
      </c>
      <c r="AZ215" t="s">
        <v>74</v>
      </c>
      <c r="BA215" t="s">
        <v>74</v>
      </c>
      <c r="BB215">
        <v>8615</v>
      </c>
      <c r="BC215">
        <v>8625</v>
      </c>
      <c r="BD215" t="s">
        <v>74</v>
      </c>
      <c r="BE215" t="s">
        <v>4620</v>
      </c>
      <c r="BF215" t="str">
        <f>HYPERLINK("http://dx.doi.org/10.1039/d1fo01405f","http://dx.doi.org/10.1039/d1fo01405f")</f>
        <v>http://dx.doi.org/10.1039/d1fo01405f</v>
      </c>
      <c r="BG215" t="s">
        <v>74</v>
      </c>
      <c r="BH215" t="s">
        <v>2323</v>
      </c>
      <c r="BI215">
        <v>11</v>
      </c>
      <c r="BJ215" t="s">
        <v>3369</v>
      </c>
      <c r="BK215" t="s">
        <v>128</v>
      </c>
      <c r="BL215" t="s">
        <v>3369</v>
      </c>
      <c r="BM215" t="s">
        <v>4621</v>
      </c>
      <c r="BN215">
        <v>34346465</v>
      </c>
      <c r="BO215" t="s">
        <v>74</v>
      </c>
      <c r="BP215" t="s">
        <v>74</v>
      </c>
      <c r="BQ215" t="s">
        <v>74</v>
      </c>
      <c r="BR215" t="s">
        <v>102</v>
      </c>
      <c r="BS215" t="s">
        <v>4622</v>
      </c>
      <c r="BT215" t="str">
        <f>HYPERLINK("https%3A%2F%2Fwww.webofscience.com%2Fwos%2Fwoscc%2Ffull-record%2FWOS:000680466100001","View Full Record in Web of Science")</f>
        <v>View Full Record in Web of Science</v>
      </c>
    </row>
    <row r="216" spans="1:72" x14ac:dyDescent="0.15">
      <c r="A216" t="s">
        <v>72</v>
      </c>
      <c r="B216" t="s">
        <v>4623</v>
      </c>
      <c r="C216" t="s">
        <v>74</v>
      </c>
      <c r="D216" t="s">
        <v>74</v>
      </c>
      <c r="E216" t="s">
        <v>74</v>
      </c>
      <c r="F216" t="s">
        <v>4624</v>
      </c>
      <c r="G216" t="s">
        <v>74</v>
      </c>
      <c r="H216" t="s">
        <v>74</v>
      </c>
      <c r="I216" t="s">
        <v>4625</v>
      </c>
      <c r="J216" t="s">
        <v>2594</v>
      </c>
      <c r="K216" t="s">
        <v>74</v>
      </c>
      <c r="L216" t="s">
        <v>74</v>
      </c>
      <c r="M216" t="s">
        <v>78</v>
      </c>
      <c r="N216" t="s">
        <v>79</v>
      </c>
      <c r="O216" t="s">
        <v>74</v>
      </c>
      <c r="P216" t="s">
        <v>74</v>
      </c>
      <c r="Q216" t="s">
        <v>74</v>
      </c>
      <c r="R216" t="s">
        <v>74</v>
      </c>
      <c r="S216" t="s">
        <v>74</v>
      </c>
      <c r="T216" t="s">
        <v>74</v>
      </c>
      <c r="U216" t="s">
        <v>4626</v>
      </c>
      <c r="V216" t="s">
        <v>4627</v>
      </c>
      <c r="W216" t="s">
        <v>4628</v>
      </c>
      <c r="X216" t="s">
        <v>4629</v>
      </c>
      <c r="Y216" t="s">
        <v>4630</v>
      </c>
      <c r="Z216" t="s">
        <v>4631</v>
      </c>
      <c r="AA216" t="s">
        <v>4632</v>
      </c>
      <c r="AB216" t="s">
        <v>4633</v>
      </c>
      <c r="AC216" t="s">
        <v>4634</v>
      </c>
      <c r="AD216" t="s">
        <v>4635</v>
      </c>
      <c r="AE216" t="s">
        <v>4636</v>
      </c>
      <c r="AF216" t="s">
        <v>74</v>
      </c>
      <c r="AG216">
        <v>61</v>
      </c>
      <c r="AH216">
        <v>5</v>
      </c>
      <c r="AI216">
        <v>5</v>
      </c>
      <c r="AJ216">
        <v>1</v>
      </c>
      <c r="AK216">
        <v>7</v>
      </c>
      <c r="AL216" t="s">
        <v>395</v>
      </c>
      <c r="AM216" t="s">
        <v>396</v>
      </c>
      <c r="AN216" t="s">
        <v>397</v>
      </c>
      <c r="AO216" t="s">
        <v>2605</v>
      </c>
      <c r="AP216" t="s">
        <v>74</v>
      </c>
      <c r="AQ216" t="s">
        <v>74</v>
      </c>
      <c r="AR216" t="s">
        <v>2606</v>
      </c>
      <c r="AS216" t="s">
        <v>2607</v>
      </c>
      <c r="AT216" t="s">
        <v>4637</v>
      </c>
      <c r="AU216">
        <v>2021</v>
      </c>
      <c r="AV216">
        <v>11</v>
      </c>
      <c r="AW216">
        <v>1</v>
      </c>
      <c r="AX216" t="s">
        <v>74</v>
      </c>
      <c r="AY216" t="s">
        <v>74</v>
      </c>
      <c r="AZ216" t="s">
        <v>74</v>
      </c>
      <c r="BA216" t="s">
        <v>74</v>
      </c>
      <c r="BB216" t="s">
        <v>74</v>
      </c>
      <c r="BC216" t="s">
        <v>74</v>
      </c>
      <c r="BD216">
        <v>14323</v>
      </c>
      <c r="BE216" t="s">
        <v>4638</v>
      </c>
      <c r="BF216" t="str">
        <f>HYPERLINK("http://dx.doi.org/10.1038/s41598-021-93253-1","http://dx.doi.org/10.1038/s41598-021-93253-1")</f>
        <v>http://dx.doi.org/10.1038/s41598-021-93253-1</v>
      </c>
      <c r="BG216" t="s">
        <v>74</v>
      </c>
      <c r="BH216" t="s">
        <v>74</v>
      </c>
      <c r="BI216">
        <v>12</v>
      </c>
      <c r="BJ216" t="s">
        <v>2609</v>
      </c>
      <c r="BK216" t="s">
        <v>128</v>
      </c>
      <c r="BL216" t="s">
        <v>2610</v>
      </c>
      <c r="BM216" t="s">
        <v>4639</v>
      </c>
      <c r="BN216">
        <v>34253749</v>
      </c>
      <c r="BO216" t="s">
        <v>4640</v>
      </c>
      <c r="BP216" t="s">
        <v>74</v>
      </c>
      <c r="BQ216" t="s">
        <v>74</v>
      </c>
      <c r="BR216" t="s">
        <v>102</v>
      </c>
      <c r="BS216" t="s">
        <v>4641</v>
      </c>
      <c r="BT216" t="str">
        <f>HYPERLINK("https%3A%2F%2Fwww.webofscience.com%2Fwos%2Fwoscc%2Ffull-record%2FWOS:000677494000009","View Full Record in Web of Science")</f>
        <v>View Full Record in Web of Science</v>
      </c>
    </row>
    <row r="217" spans="1:72" x14ac:dyDescent="0.15">
      <c r="A217" t="s">
        <v>72</v>
      </c>
      <c r="B217" t="s">
        <v>4642</v>
      </c>
      <c r="C217" t="s">
        <v>74</v>
      </c>
      <c r="D217" t="s">
        <v>74</v>
      </c>
      <c r="E217" t="s">
        <v>74</v>
      </c>
      <c r="F217" t="s">
        <v>4643</v>
      </c>
      <c r="G217" t="s">
        <v>74</v>
      </c>
      <c r="H217" t="s">
        <v>74</v>
      </c>
      <c r="I217" t="s">
        <v>4644</v>
      </c>
      <c r="J217" t="s">
        <v>4645</v>
      </c>
      <c r="K217" t="s">
        <v>74</v>
      </c>
      <c r="L217" t="s">
        <v>74</v>
      </c>
      <c r="M217" t="s">
        <v>78</v>
      </c>
      <c r="N217" t="s">
        <v>79</v>
      </c>
      <c r="O217" t="s">
        <v>74</v>
      </c>
      <c r="P217" t="s">
        <v>74</v>
      </c>
      <c r="Q217" t="s">
        <v>74</v>
      </c>
      <c r="R217" t="s">
        <v>74</v>
      </c>
      <c r="S217" t="s">
        <v>74</v>
      </c>
      <c r="T217" t="s">
        <v>74</v>
      </c>
      <c r="U217" t="s">
        <v>4646</v>
      </c>
      <c r="V217" t="s">
        <v>4647</v>
      </c>
      <c r="W217" t="s">
        <v>4648</v>
      </c>
      <c r="X217" t="s">
        <v>4649</v>
      </c>
      <c r="Y217" t="s">
        <v>4650</v>
      </c>
      <c r="Z217" t="s">
        <v>4651</v>
      </c>
      <c r="AA217" t="s">
        <v>4652</v>
      </c>
      <c r="AB217" t="s">
        <v>4653</v>
      </c>
      <c r="AC217" t="s">
        <v>4654</v>
      </c>
      <c r="AD217" t="s">
        <v>4655</v>
      </c>
      <c r="AE217" t="s">
        <v>4656</v>
      </c>
      <c r="AF217" t="s">
        <v>74</v>
      </c>
      <c r="AG217">
        <v>70</v>
      </c>
      <c r="AH217">
        <v>19</v>
      </c>
      <c r="AI217">
        <v>21</v>
      </c>
      <c r="AJ217">
        <v>3</v>
      </c>
      <c r="AK217">
        <v>18</v>
      </c>
      <c r="AL217" t="s">
        <v>4657</v>
      </c>
      <c r="AM217" t="s">
        <v>2239</v>
      </c>
      <c r="AN217" t="s">
        <v>4658</v>
      </c>
      <c r="AO217" t="s">
        <v>4659</v>
      </c>
      <c r="AP217" t="s">
        <v>4660</v>
      </c>
      <c r="AQ217" t="s">
        <v>74</v>
      </c>
      <c r="AR217" t="s">
        <v>4661</v>
      </c>
      <c r="AS217" t="s">
        <v>4662</v>
      </c>
      <c r="AT217" t="s">
        <v>4637</v>
      </c>
      <c r="AU217">
        <v>2021</v>
      </c>
      <c r="AV217">
        <v>31</v>
      </c>
      <c r="AW217">
        <v>13</v>
      </c>
      <c r="AX217" t="s">
        <v>74</v>
      </c>
      <c r="AY217" t="s">
        <v>74</v>
      </c>
      <c r="AZ217" t="s">
        <v>74</v>
      </c>
      <c r="BA217" t="s">
        <v>74</v>
      </c>
      <c r="BB217">
        <v>2737</v>
      </c>
      <c r="BC217" t="s">
        <v>403</v>
      </c>
      <c r="BD217" t="s">
        <v>74</v>
      </c>
      <c r="BE217" t="s">
        <v>4663</v>
      </c>
      <c r="BF217" t="str">
        <f>HYPERLINK("http://dx.doi.org/10.1016/j.cub.2021.02.033","http://dx.doi.org/10.1016/j.cub.2021.02.033")</f>
        <v>http://dx.doi.org/10.1016/j.cub.2021.02.033</v>
      </c>
      <c r="BG217" t="s">
        <v>74</v>
      </c>
      <c r="BH217" t="s">
        <v>2323</v>
      </c>
      <c r="BI217">
        <v>14</v>
      </c>
      <c r="BJ217" t="s">
        <v>4664</v>
      </c>
      <c r="BK217" t="s">
        <v>128</v>
      </c>
      <c r="BL217" t="s">
        <v>4665</v>
      </c>
      <c r="BM217" t="s">
        <v>4666</v>
      </c>
      <c r="BN217">
        <v>34081914</v>
      </c>
      <c r="BO217" t="s">
        <v>1154</v>
      </c>
      <c r="BP217" t="s">
        <v>74</v>
      </c>
      <c r="BQ217" t="s">
        <v>74</v>
      </c>
      <c r="BR217" t="s">
        <v>102</v>
      </c>
      <c r="BS217" t="s">
        <v>4667</v>
      </c>
      <c r="BT217" t="str">
        <f>HYPERLINK("https%3A%2F%2Fwww.webofscience.com%2Fwos%2Fwoscc%2Ffull-record%2FWOS:000674069900002","View Full Record in Web of Science")</f>
        <v>View Full Record in Web of Science</v>
      </c>
    </row>
    <row r="218" spans="1:72" x14ac:dyDescent="0.15">
      <c r="A218" t="s">
        <v>72</v>
      </c>
      <c r="B218" t="s">
        <v>4668</v>
      </c>
      <c r="C218" t="s">
        <v>74</v>
      </c>
      <c r="D218" t="s">
        <v>74</v>
      </c>
      <c r="E218" t="s">
        <v>74</v>
      </c>
      <c r="F218" t="s">
        <v>4669</v>
      </c>
      <c r="G218" t="s">
        <v>74</v>
      </c>
      <c r="H218" t="s">
        <v>74</v>
      </c>
      <c r="I218" t="s">
        <v>4670</v>
      </c>
      <c r="J218" t="s">
        <v>4671</v>
      </c>
      <c r="K218" t="s">
        <v>74</v>
      </c>
      <c r="L218" t="s">
        <v>74</v>
      </c>
      <c r="M218" t="s">
        <v>78</v>
      </c>
      <c r="N218" t="s">
        <v>79</v>
      </c>
      <c r="O218" t="s">
        <v>74</v>
      </c>
      <c r="P218" t="s">
        <v>74</v>
      </c>
      <c r="Q218" t="s">
        <v>74</v>
      </c>
      <c r="R218" t="s">
        <v>74</v>
      </c>
      <c r="S218" t="s">
        <v>74</v>
      </c>
      <c r="T218" t="s">
        <v>74</v>
      </c>
      <c r="U218" t="s">
        <v>4672</v>
      </c>
      <c r="V218" t="s">
        <v>4673</v>
      </c>
      <c r="W218" t="s">
        <v>4674</v>
      </c>
      <c r="X218" t="s">
        <v>4675</v>
      </c>
      <c r="Y218" t="s">
        <v>4676</v>
      </c>
      <c r="Z218" t="s">
        <v>4677</v>
      </c>
      <c r="AA218" t="s">
        <v>4678</v>
      </c>
      <c r="AB218" t="s">
        <v>4679</v>
      </c>
      <c r="AC218" t="s">
        <v>4680</v>
      </c>
      <c r="AD218" t="s">
        <v>4681</v>
      </c>
      <c r="AE218" t="s">
        <v>4682</v>
      </c>
      <c r="AF218" t="s">
        <v>74</v>
      </c>
      <c r="AG218">
        <v>89</v>
      </c>
      <c r="AH218">
        <v>20</v>
      </c>
      <c r="AI218">
        <v>20</v>
      </c>
      <c r="AJ218">
        <v>0</v>
      </c>
      <c r="AK218">
        <v>7</v>
      </c>
      <c r="AL218" t="s">
        <v>143</v>
      </c>
      <c r="AM218" t="s">
        <v>144</v>
      </c>
      <c r="AN218" t="s">
        <v>145</v>
      </c>
      <c r="AO218" t="s">
        <v>4683</v>
      </c>
      <c r="AP218" t="s">
        <v>4684</v>
      </c>
      <c r="AQ218" t="s">
        <v>74</v>
      </c>
      <c r="AR218" t="s">
        <v>4685</v>
      </c>
      <c r="AS218" t="s">
        <v>4686</v>
      </c>
      <c r="AT218" t="s">
        <v>4637</v>
      </c>
      <c r="AU218">
        <v>2021</v>
      </c>
      <c r="AV218">
        <v>14</v>
      </c>
      <c r="AW218">
        <v>7</v>
      </c>
      <c r="AX218" t="s">
        <v>74</v>
      </c>
      <c r="AY218" t="s">
        <v>74</v>
      </c>
      <c r="AZ218" t="s">
        <v>74</v>
      </c>
      <c r="BA218" t="s">
        <v>74</v>
      </c>
      <c r="BB218">
        <v>4357</v>
      </c>
      <c r="BC218">
        <v>4378</v>
      </c>
      <c r="BD218" t="s">
        <v>74</v>
      </c>
      <c r="BE218" t="s">
        <v>4687</v>
      </c>
      <c r="BF218" t="str">
        <f>HYPERLINK("http://dx.doi.org/10.5194/gmd-14-4357-2021","http://dx.doi.org/10.5194/gmd-14-4357-2021")</f>
        <v>http://dx.doi.org/10.5194/gmd-14-4357-2021</v>
      </c>
      <c r="BG218" t="s">
        <v>74</v>
      </c>
      <c r="BH218" t="s">
        <v>74</v>
      </c>
      <c r="BI218">
        <v>22</v>
      </c>
      <c r="BJ218" t="s">
        <v>405</v>
      </c>
      <c r="BK218" t="s">
        <v>128</v>
      </c>
      <c r="BL218" t="s">
        <v>406</v>
      </c>
      <c r="BM218" t="s">
        <v>4688</v>
      </c>
      <c r="BN218" t="s">
        <v>74</v>
      </c>
      <c r="BO218" t="s">
        <v>3248</v>
      </c>
      <c r="BP218" t="s">
        <v>74</v>
      </c>
      <c r="BQ218" t="s">
        <v>74</v>
      </c>
      <c r="BR218" t="s">
        <v>102</v>
      </c>
      <c r="BS218" t="s">
        <v>4689</v>
      </c>
      <c r="BT218" t="str">
        <f>HYPERLINK("https%3A%2F%2Fwww.webofscience.com%2Fwos%2Fwoscc%2Ffull-record%2FWOS:000672756500001","View Full Record in Web of Science")</f>
        <v>View Full Record in Web of Science</v>
      </c>
    </row>
    <row r="219" spans="1:72" x14ac:dyDescent="0.15">
      <c r="A219" t="s">
        <v>72</v>
      </c>
      <c r="B219" t="s">
        <v>4690</v>
      </c>
      <c r="C219" t="s">
        <v>74</v>
      </c>
      <c r="D219" t="s">
        <v>74</v>
      </c>
      <c r="E219" t="s">
        <v>74</v>
      </c>
      <c r="F219" t="s">
        <v>4691</v>
      </c>
      <c r="G219" t="s">
        <v>74</v>
      </c>
      <c r="H219" t="s">
        <v>74</v>
      </c>
      <c r="I219" t="s">
        <v>4692</v>
      </c>
      <c r="J219" t="s">
        <v>3442</v>
      </c>
      <c r="K219" t="s">
        <v>74</v>
      </c>
      <c r="L219" t="s">
        <v>74</v>
      </c>
      <c r="M219" t="s">
        <v>78</v>
      </c>
      <c r="N219" t="s">
        <v>79</v>
      </c>
      <c r="O219" t="s">
        <v>74</v>
      </c>
      <c r="P219" t="s">
        <v>74</v>
      </c>
      <c r="Q219" t="s">
        <v>74</v>
      </c>
      <c r="R219" t="s">
        <v>74</v>
      </c>
      <c r="S219" t="s">
        <v>74</v>
      </c>
      <c r="T219" t="s">
        <v>74</v>
      </c>
      <c r="U219" t="s">
        <v>4693</v>
      </c>
      <c r="V219" t="s">
        <v>4694</v>
      </c>
      <c r="W219" t="s">
        <v>4695</v>
      </c>
      <c r="X219" t="s">
        <v>4696</v>
      </c>
      <c r="Y219" t="s">
        <v>4697</v>
      </c>
      <c r="Z219" t="s">
        <v>4698</v>
      </c>
      <c r="AA219" t="s">
        <v>4699</v>
      </c>
      <c r="AB219" t="s">
        <v>4700</v>
      </c>
      <c r="AC219" t="s">
        <v>4701</v>
      </c>
      <c r="AD219" t="s">
        <v>4702</v>
      </c>
      <c r="AE219" t="s">
        <v>4703</v>
      </c>
      <c r="AF219" t="s">
        <v>74</v>
      </c>
      <c r="AG219">
        <v>72</v>
      </c>
      <c r="AH219">
        <v>33</v>
      </c>
      <c r="AI219">
        <v>36</v>
      </c>
      <c r="AJ219">
        <v>15</v>
      </c>
      <c r="AK219">
        <v>116</v>
      </c>
      <c r="AL219" t="s">
        <v>3453</v>
      </c>
      <c r="AM219" t="s">
        <v>368</v>
      </c>
      <c r="AN219" t="s">
        <v>3454</v>
      </c>
      <c r="AO219" t="s">
        <v>3455</v>
      </c>
      <c r="AP219" t="s">
        <v>3456</v>
      </c>
      <c r="AQ219" t="s">
        <v>74</v>
      </c>
      <c r="AR219" t="s">
        <v>3457</v>
      </c>
      <c r="AS219" t="s">
        <v>3458</v>
      </c>
      <c r="AT219" t="s">
        <v>3459</v>
      </c>
      <c r="AU219">
        <v>2022</v>
      </c>
      <c r="AV219">
        <v>16</v>
      </c>
      <c r="AW219">
        <v>1</v>
      </c>
      <c r="AX219" t="s">
        <v>74</v>
      </c>
      <c r="AY219" t="s">
        <v>74</v>
      </c>
      <c r="AZ219" t="s">
        <v>74</v>
      </c>
      <c r="BA219" t="s">
        <v>74</v>
      </c>
      <c r="BB219">
        <v>101</v>
      </c>
      <c r="BC219">
        <v>111</v>
      </c>
      <c r="BD219" t="s">
        <v>74</v>
      </c>
      <c r="BE219" t="s">
        <v>4704</v>
      </c>
      <c r="BF219" t="str">
        <f>HYPERLINK("http://dx.doi.org/10.1038/s41396-021-01052-3","http://dx.doi.org/10.1038/s41396-021-01052-3")</f>
        <v>http://dx.doi.org/10.1038/s41396-021-01052-3</v>
      </c>
      <c r="BG219" t="s">
        <v>74</v>
      </c>
      <c r="BH219" t="s">
        <v>2323</v>
      </c>
      <c r="BI219">
        <v>11</v>
      </c>
      <c r="BJ219" t="s">
        <v>3461</v>
      </c>
      <c r="BK219" t="s">
        <v>128</v>
      </c>
      <c r="BL219" t="s">
        <v>3462</v>
      </c>
      <c r="BM219" t="s">
        <v>3463</v>
      </c>
      <c r="BN219">
        <v>34253854</v>
      </c>
      <c r="BO219" t="s">
        <v>4705</v>
      </c>
      <c r="BP219" t="s">
        <v>74</v>
      </c>
      <c r="BQ219" t="s">
        <v>74</v>
      </c>
      <c r="BR219" t="s">
        <v>102</v>
      </c>
      <c r="BS219" t="s">
        <v>4706</v>
      </c>
      <c r="BT219" t="str">
        <f>HYPERLINK("https%3A%2F%2Fwww.webofscience.com%2Fwos%2Fwoscc%2Ffull-record%2FWOS:000672250300001","View Full Record in Web of Science")</f>
        <v>View Full Record in Web of Science</v>
      </c>
    </row>
    <row r="220" spans="1:72" x14ac:dyDescent="0.15">
      <c r="A220" t="s">
        <v>72</v>
      </c>
      <c r="B220" t="s">
        <v>4707</v>
      </c>
      <c r="C220" t="s">
        <v>74</v>
      </c>
      <c r="D220" t="s">
        <v>74</v>
      </c>
      <c r="E220" t="s">
        <v>74</v>
      </c>
      <c r="F220" t="s">
        <v>4708</v>
      </c>
      <c r="G220" t="s">
        <v>74</v>
      </c>
      <c r="H220" t="s">
        <v>74</v>
      </c>
      <c r="I220" t="s">
        <v>4709</v>
      </c>
      <c r="J220" t="s">
        <v>4710</v>
      </c>
      <c r="K220" t="s">
        <v>74</v>
      </c>
      <c r="L220" t="s">
        <v>74</v>
      </c>
      <c r="M220" t="s">
        <v>78</v>
      </c>
      <c r="N220" t="s">
        <v>79</v>
      </c>
      <c r="O220" t="s">
        <v>74</v>
      </c>
      <c r="P220" t="s">
        <v>74</v>
      </c>
      <c r="Q220" t="s">
        <v>74</v>
      </c>
      <c r="R220" t="s">
        <v>74</v>
      </c>
      <c r="S220" t="s">
        <v>74</v>
      </c>
      <c r="T220" t="s">
        <v>74</v>
      </c>
      <c r="U220" t="s">
        <v>4711</v>
      </c>
      <c r="V220" t="s">
        <v>4712</v>
      </c>
      <c r="W220" t="s">
        <v>4713</v>
      </c>
      <c r="X220" t="s">
        <v>4714</v>
      </c>
      <c r="Y220" t="s">
        <v>4715</v>
      </c>
      <c r="Z220" t="s">
        <v>4716</v>
      </c>
      <c r="AA220" t="s">
        <v>74</v>
      </c>
      <c r="AB220" t="s">
        <v>74</v>
      </c>
      <c r="AC220" t="s">
        <v>4717</v>
      </c>
      <c r="AD220" t="s">
        <v>4718</v>
      </c>
      <c r="AE220" t="s">
        <v>4719</v>
      </c>
      <c r="AF220" t="s">
        <v>74</v>
      </c>
      <c r="AG220">
        <v>56</v>
      </c>
      <c r="AH220">
        <v>1</v>
      </c>
      <c r="AI220">
        <v>1</v>
      </c>
      <c r="AJ220">
        <v>0</v>
      </c>
      <c r="AK220">
        <v>6</v>
      </c>
      <c r="AL220" t="s">
        <v>143</v>
      </c>
      <c r="AM220" t="s">
        <v>144</v>
      </c>
      <c r="AN220" t="s">
        <v>145</v>
      </c>
      <c r="AO220" t="s">
        <v>4720</v>
      </c>
      <c r="AP220" t="s">
        <v>4721</v>
      </c>
      <c r="AQ220" t="s">
        <v>74</v>
      </c>
      <c r="AR220" t="s">
        <v>4722</v>
      </c>
      <c r="AS220" t="s">
        <v>4723</v>
      </c>
      <c r="AT220" t="s">
        <v>4637</v>
      </c>
      <c r="AU220">
        <v>2021</v>
      </c>
      <c r="AV220">
        <v>12</v>
      </c>
      <c r="AW220">
        <v>3</v>
      </c>
      <c r="AX220" t="s">
        <v>74</v>
      </c>
      <c r="AY220" t="s">
        <v>74</v>
      </c>
      <c r="AZ220" t="s">
        <v>74</v>
      </c>
      <c r="BA220" t="s">
        <v>74</v>
      </c>
      <c r="BB220">
        <v>783</v>
      </c>
      <c r="BC220">
        <v>795</v>
      </c>
      <c r="BD220" t="s">
        <v>74</v>
      </c>
      <c r="BE220" t="s">
        <v>4724</v>
      </c>
      <c r="BF220" t="str">
        <f>HYPERLINK("http://dx.doi.org/10.5194/esd-12-783-2021","http://dx.doi.org/10.5194/esd-12-783-2021")</f>
        <v>http://dx.doi.org/10.5194/esd-12-783-2021</v>
      </c>
      <c r="BG220" t="s">
        <v>74</v>
      </c>
      <c r="BH220" t="s">
        <v>74</v>
      </c>
      <c r="BI220">
        <v>13</v>
      </c>
      <c r="BJ220" t="s">
        <v>405</v>
      </c>
      <c r="BK220" t="s">
        <v>128</v>
      </c>
      <c r="BL220" t="s">
        <v>406</v>
      </c>
      <c r="BM220" t="s">
        <v>4725</v>
      </c>
      <c r="BN220" t="s">
        <v>74</v>
      </c>
      <c r="BO220" t="s">
        <v>353</v>
      </c>
      <c r="BP220" t="s">
        <v>74</v>
      </c>
      <c r="BQ220" t="s">
        <v>74</v>
      </c>
      <c r="BR220" t="s">
        <v>102</v>
      </c>
      <c r="BS220" t="s">
        <v>4726</v>
      </c>
      <c r="BT220" t="str">
        <f>HYPERLINK("https%3A%2F%2Fwww.webofscience.com%2Fwos%2Fwoscc%2Ffull-record%2FWOS:000672755700001","View Full Record in Web of Science")</f>
        <v>View Full Record in Web of Science</v>
      </c>
    </row>
    <row r="221" spans="1:72" x14ac:dyDescent="0.15">
      <c r="A221" t="s">
        <v>72</v>
      </c>
      <c r="B221" t="s">
        <v>4727</v>
      </c>
      <c r="C221" t="s">
        <v>74</v>
      </c>
      <c r="D221" t="s">
        <v>74</v>
      </c>
      <c r="E221" t="s">
        <v>74</v>
      </c>
      <c r="F221" t="s">
        <v>4728</v>
      </c>
      <c r="G221" t="s">
        <v>74</v>
      </c>
      <c r="H221" t="s">
        <v>74</v>
      </c>
      <c r="I221" t="s">
        <v>4729</v>
      </c>
      <c r="J221" t="s">
        <v>2862</v>
      </c>
      <c r="K221" t="s">
        <v>74</v>
      </c>
      <c r="L221" t="s">
        <v>74</v>
      </c>
      <c r="M221" t="s">
        <v>78</v>
      </c>
      <c r="N221" t="s">
        <v>79</v>
      </c>
      <c r="O221" t="s">
        <v>74</v>
      </c>
      <c r="P221" t="s">
        <v>74</v>
      </c>
      <c r="Q221" t="s">
        <v>74</v>
      </c>
      <c r="R221" t="s">
        <v>74</v>
      </c>
      <c r="S221" t="s">
        <v>74</v>
      </c>
      <c r="T221" t="s">
        <v>4730</v>
      </c>
      <c r="U221" t="s">
        <v>4731</v>
      </c>
      <c r="V221" t="s">
        <v>4732</v>
      </c>
      <c r="W221" t="s">
        <v>4733</v>
      </c>
      <c r="X221" t="s">
        <v>4734</v>
      </c>
      <c r="Y221" t="s">
        <v>4735</v>
      </c>
      <c r="Z221" t="s">
        <v>4736</v>
      </c>
      <c r="AA221" t="s">
        <v>4737</v>
      </c>
      <c r="AB221" t="s">
        <v>4738</v>
      </c>
      <c r="AC221" t="s">
        <v>4739</v>
      </c>
      <c r="AD221" t="s">
        <v>4739</v>
      </c>
      <c r="AE221" t="s">
        <v>4740</v>
      </c>
      <c r="AF221" t="s">
        <v>74</v>
      </c>
      <c r="AG221">
        <v>62</v>
      </c>
      <c r="AH221">
        <v>5</v>
      </c>
      <c r="AI221">
        <v>6</v>
      </c>
      <c r="AJ221">
        <v>0</v>
      </c>
      <c r="AK221">
        <v>6</v>
      </c>
      <c r="AL221" t="s">
        <v>450</v>
      </c>
      <c r="AM221" t="s">
        <v>650</v>
      </c>
      <c r="AN221" t="s">
        <v>1957</v>
      </c>
      <c r="AO221" t="s">
        <v>2874</v>
      </c>
      <c r="AP221" t="s">
        <v>2875</v>
      </c>
      <c r="AQ221" t="s">
        <v>74</v>
      </c>
      <c r="AR221" t="s">
        <v>2876</v>
      </c>
      <c r="AS221" t="s">
        <v>2877</v>
      </c>
      <c r="AT221" t="s">
        <v>402</v>
      </c>
      <c r="AU221">
        <v>2021</v>
      </c>
      <c r="AV221">
        <v>44</v>
      </c>
      <c r="AW221">
        <v>9</v>
      </c>
      <c r="AX221" t="s">
        <v>74</v>
      </c>
      <c r="AY221" t="s">
        <v>74</v>
      </c>
      <c r="AZ221" t="s">
        <v>74</v>
      </c>
      <c r="BA221" t="s">
        <v>74</v>
      </c>
      <c r="BB221">
        <v>1749</v>
      </c>
      <c r="BC221">
        <v>1764</v>
      </c>
      <c r="BD221" t="s">
        <v>74</v>
      </c>
      <c r="BE221" t="s">
        <v>4741</v>
      </c>
      <c r="BF221" t="str">
        <f>HYPERLINK("http://dx.doi.org/10.1007/s00300-021-02910-8","http://dx.doi.org/10.1007/s00300-021-02910-8")</f>
        <v>http://dx.doi.org/10.1007/s00300-021-02910-8</v>
      </c>
      <c r="BG221" t="s">
        <v>74</v>
      </c>
      <c r="BH221" t="s">
        <v>2323</v>
      </c>
      <c r="BI221">
        <v>16</v>
      </c>
      <c r="BJ221" t="s">
        <v>1883</v>
      </c>
      <c r="BK221" t="s">
        <v>128</v>
      </c>
      <c r="BL221" t="s">
        <v>207</v>
      </c>
      <c r="BM221" t="s">
        <v>2879</v>
      </c>
      <c r="BN221" t="s">
        <v>74</v>
      </c>
      <c r="BO221" t="s">
        <v>2514</v>
      </c>
      <c r="BP221" t="s">
        <v>74</v>
      </c>
      <c r="BQ221" t="s">
        <v>74</v>
      </c>
      <c r="BR221" t="s">
        <v>102</v>
      </c>
      <c r="BS221" t="s">
        <v>4742</v>
      </c>
      <c r="BT221" t="str">
        <f>HYPERLINK("https%3A%2F%2Fwww.webofscience.com%2Fwos%2Fwoscc%2Ffull-record%2FWOS:000672246000001","View Full Record in Web of Science")</f>
        <v>View Full Record in Web of Science</v>
      </c>
    </row>
    <row r="222" spans="1:72" x14ac:dyDescent="0.15">
      <c r="A222" t="s">
        <v>72</v>
      </c>
      <c r="B222" t="s">
        <v>4743</v>
      </c>
      <c r="C222" t="s">
        <v>74</v>
      </c>
      <c r="D222" t="s">
        <v>74</v>
      </c>
      <c r="E222" t="s">
        <v>74</v>
      </c>
      <c r="F222" t="s">
        <v>4744</v>
      </c>
      <c r="G222" t="s">
        <v>74</v>
      </c>
      <c r="H222" t="s">
        <v>74</v>
      </c>
      <c r="I222" t="s">
        <v>4745</v>
      </c>
      <c r="J222" t="s">
        <v>4746</v>
      </c>
      <c r="K222" t="s">
        <v>74</v>
      </c>
      <c r="L222" t="s">
        <v>74</v>
      </c>
      <c r="M222" t="s">
        <v>78</v>
      </c>
      <c r="N222" t="s">
        <v>79</v>
      </c>
      <c r="O222" t="s">
        <v>74</v>
      </c>
      <c r="P222" t="s">
        <v>74</v>
      </c>
      <c r="Q222" t="s">
        <v>74</v>
      </c>
      <c r="R222" t="s">
        <v>74</v>
      </c>
      <c r="S222" t="s">
        <v>74</v>
      </c>
      <c r="T222" t="s">
        <v>4747</v>
      </c>
      <c r="U222" t="s">
        <v>4748</v>
      </c>
      <c r="V222" t="s">
        <v>4749</v>
      </c>
      <c r="W222" t="s">
        <v>4750</v>
      </c>
      <c r="X222" t="s">
        <v>4751</v>
      </c>
      <c r="Y222" t="s">
        <v>4752</v>
      </c>
      <c r="Z222" t="s">
        <v>4753</v>
      </c>
      <c r="AA222" t="s">
        <v>4754</v>
      </c>
      <c r="AB222" t="s">
        <v>4755</v>
      </c>
      <c r="AC222" t="s">
        <v>4756</v>
      </c>
      <c r="AD222" t="s">
        <v>4756</v>
      </c>
      <c r="AE222" t="s">
        <v>4757</v>
      </c>
      <c r="AF222" t="s">
        <v>74</v>
      </c>
      <c r="AG222">
        <v>144</v>
      </c>
      <c r="AH222">
        <v>18</v>
      </c>
      <c r="AI222">
        <v>18</v>
      </c>
      <c r="AJ222">
        <v>1</v>
      </c>
      <c r="AK222">
        <v>11</v>
      </c>
      <c r="AL222" t="s">
        <v>2190</v>
      </c>
      <c r="AM222" t="s">
        <v>228</v>
      </c>
      <c r="AN222" t="s">
        <v>2191</v>
      </c>
      <c r="AO222" t="s">
        <v>4758</v>
      </c>
      <c r="AP222" t="s">
        <v>4759</v>
      </c>
      <c r="AQ222" t="s">
        <v>74</v>
      </c>
      <c r="AR222" t="s">
        <v>4760</v>
      </c>
      <c r="AS222" t="s">
        <v>4761</v>
      </c>
      <c r="AT222" t="s">
        <v>3459</v>
      </c>
      <c r="AU222">
        <v>2022</v>
      </c>
      <c r="AV222">
        <v>71</v>
      </c>
      <c r="AW222">
        <v>1</v>
      </c>
      <c r="AX222" t="s">
        <v>74</v>
      </c>
      <c r="AY222" t="s">
        <v>74</v>
      </c>
      <c r="AZ222" t="s">
        <v>74</v>
      </c>
      <c r="BA222" t="s">
        <v>74</v>
      </c>
      <c r="BB222">
        <v>58</v>
      </c>
      <c r="BC222">
        <v>77</v>
      </c>
      <c r="BD222" t="s">
        <v>74</v>
      </c>
      <c r="BE222" t="s">
        <v>4762</v>
      </c>
      <c r="BF222" t="str">
        <f>HYPERLINK("http://dx.doi.org/10.1093/sysbio/syab057","http://dx.doi.org/10.1093/sysbio/syab057")</f>
        <v>http://dx.doi.org/10.1093/sysbio/syab057</v>
      </c>
      <c r="BG222" t="s">
        <v>74</v>
      </c>
      <c r="BH222" t="s">
        <v>2323</v>
      </c>
      <c r="BI222">
        <v>20</v>
      </c>
      <c r="BJ222" t="s">
        <v>4763</v>
      </c>
      <c r="BK222" t="s">
        <v>128</v>
      </c>
      <c r="BL222" t="s">
        <v>4763</v>
      </c>
      <c r="BM222" t="s">
        <v>4764</v>
      </c>
      <c r="BN222">
        <v>34247239</v>
      </c>
      <c r="BO222" t="s">
        <v>74</v>
      </c>
      <c r="BP222" t="s">
        <v>74</v>
      </c>
      <c r="BQ222" t="s">
        <v>74</v>
      </c>
      <c r="BR222" t="s">
        <v>102</v>
      </c>
      <c r="BS222" t="s">
        <v>4765</v>
      </c>
      <c r="BT222" t="str">
        <f>HYPERLINK("https%3A%2F%2Fwww.webofscience.com%2Fwos%2Fwoscc%2Ffull-record%2FWOS:000742399100006","View Full Record in Web of Science")</f>
        <v>View Full Record in Web of Science</v>
      </c>
    </row>
    <row r="223" spans="1:72" x14ac:dyDescent="0.15">
      <c r="A223" t="s">
        <v>72</v>
      </c>
      <c r="B223" t="s">
        <v>4766</v>
      </c>
      <c r="C223" t="s">
        <v>74</v>
      </c>
      <c r="D223" t="s">
        <v>74</v>
      </c>
      <c r="E223" t="s">
        <v>74</v>
      </c>
      <c r="F223" t="s">
        <v>4767</v>
      </c>
      <c r="G223" t="s">
        <v>74</v>
      </c>
      <c r="H223" t="s">
        <v>74</v>
      </c>
      <c r="I223" t="s">
        <v>4768</v>
      </c>
      <c r="J223" t="s">
        <v>4769</v>
      </c>
      <c r="K223" t="s">
        <v>74</v>
      </c>
      <c r="L223" t="s">
        <v>74</v>
      </c>
      <c r="M223" t="s">
        <v>78</v>
      </c>
      <c r="N223" t="s">
        <v>79</v>
      </c>
      <c r="O223" t="s">
        <v>74</v>
      </c>
      <c r="P223" t="s">
        <v>74</v>
      </c>
      <c r="Q223" t="s">
        <v>74</v>
      </c>
      <c r="R223" t="s">
        <v>74</v>
      </c>
      <c r="S223" t="s">
        <v>74</v>
      </c>
      <c r="T223" t="s">
        <v>4770</v>
      </c>
      <c r="U223" t="s">
        <v>4771</v>
      </c>
      <c r="V223" t="s">
        <v>4772</v>
      </c>
      <c r="W223" t="s">
        <v>4773</v>
      </c>
      <c r="X223" t="s">
        <v>4774</v>
      </c>
      <c r="Y223" t="s">
        <v>4775</v>
      </c>
      <c r="Z223" t="s">
        <v>4776</v>
      </c>
      <c r="AA223" t="s">
        <v>4777</v>
      </c>
      <c r="AB223" t="s">
        <v>4778</v>
      </c>
      <c r="AC223" t="s">
        <v>4779</v>
      </c>
      <c r="AD223" t="s">
        <v>4780</v>
      </c>
      <c r="AE223" t="s">
        <v>4781</v>
      </c>
      <c r="AF223" t="s">
        <v>74</v>
      </c>
      <c r="AG223">
        <v>57</v>
      </c>
      <c r="AH223">
        <v>0</v>
      </c>
      <c r="AI223">
        <v>1</v>
      </c>
      <c r="AJ223">
        <v>0</v>
      </c>
      <c r="AK223">
        <v>3</v>
      </c>
      <c r="AL223" t="s">
        <v>227</v>
      </c>
      <c r="AM223" t="s">
        <v>228</v>
      </c>
      <c r="AN223" t="s">
        <v>229</v>
      </c>
      <c r="AO223" t="s">
        <v>4782</v>
      </c>
      <c r="AP223" t="s">
        <v>4783</v>
      </c>
      <c r="AQ223" t="s">
        <v>74</v>
      </c>
      <c r="AR223" t="s">
        <v>4784</v>
      </c>
      <c r="AS223" t="s">
        <v>4785</v>
      </c>
      <c r="AT223" t="s">
        <v>204</v>
      </c>
      <c r="AU223">
        <v>2021</v>
      </c>
      <c r="AV223">
        <v>132</v>
      </c>
      <c r="AW223" t="s">
        <v>74</v>
      </c>
      <c r="AX223" t="s">
        <v>74</v>
      </c>
      <c r="AY223" t="s">
        <v>74</v>
      </c>
      <c r="AZ223" t="s">
        <v>74</v>
      </c>
      <c r="BA223" t="s">
        <v>74</v>
      </c>
      <c r="BB223" t="s">
        <v>74</v>
      </c>
      <c r="BC223" t="s">
        <v>74</v>
      </c>
      <c r="BD223">
        <v>104684</v>
      </c>
      <c r="BE223" t="s">
        <v>4786</v>
      </c>
      <c r="BF223" t="str">
        <f>HYPERLINK("http://dx.doi.org/10.1016/j.marpol.2021.104684","http://dx.doi.org/10.1016/j.marpol.2021.104684")</f>
        <v>http://dx.doi.org/10.1016/j.marpol.2021.104684</v>
      </c>
      <c r="BG223" t="s">
        <v>74</v>
      </c>
      <c r="BH223" t="s">
        <v>2323</v>
      </c>
      <c r="BI223">
        <v>7</v>
      </c>
      <c r="BJ223" t="s">
        <v>4787</v>
      </c>
      <c r="BK223" t="s">
        <v>377</v>
      </c>
      <c r="BL223" t="s">
        <v>4788</v>
      </c>
      <c r="BM223" t="s">
        <v>4789</v>
      </c>
      <c r="BN223" t="s">
        <v>74</v>
      </c>
      <c r="BO223" t="s">
        <v>291</v>
      </c>
      <c r="BP223" t="s">
        <v>74</v>
      </c>
      <c r="BQ223" t="s">
        <v>74</v>
      </c>
      <c r="BR223" t="s">
        <v>102</v>
      </c>
      <c r="BS223" t="s">
        <v>4790</v>
      </c>
      <c r="BT223" t="str">
        <f>HYPERLINK("https%3A%2F%2Fwww.webofscience.com%2Fwos%2Fwoscc%2Ffull-record%2FWOS:000704383800013","View Full Record in Web of Science")</f>
        <v>View Full Record in Web of Science</v>
      </c>
    </row>
    <row r="224" spans="1:72" x14ac:dyDescent="0.15">
      <c r="A224" t="s">
        <v>72</v>
      </c>
      <c r="B224" t="s">
        <v>4791</v>
      </c>
      <c r="C224" t="s">
        <v>74</v>
      </c>
      <c r="D224" t="s">
        <v>74</v>
      </c>
      <c r="E224" t="s">
        <v>74</v>
      </c>
      <c r="F224" t="s">
        <v>4792</v>
      </c>
      <c r="G224" t="s">
        <v>74</v>
      </c>
      <c r="H224" t="s">
        <v>74</v>
      </c>
      <c r="I224" t="s">
        <v>4793</v>
      </c>
      <c r="J224" t="s">
        <v>4794</v>
      </c>
      <c r="K224" t="s">
        <v>74</v>
      </c>
      <c r="L224" t="s">
        <v>74</v>
      </c>
      <c r="M224" t="s">
        <v>78</v>
      </c>
      <c r="N224" t="s">
        <v>79</v>
      </c>
      <c r="O224" t="s">
        <v>74</v>
      </c>
      <c r="P224" t="s">
        <v>74</v>
      </c>
      <c r="Q224" t="s">
        <v>74</v>
      </c>
      <c r="R224" t="s">
        <v>74</v>
      </c>
      <c r="S224" t="s">
        <v>74</v>
      </c>
      <c r="T224" t="s">
        <v>4795</v>
      </c>
      <c r="U224" t="s">
        <v>4796</v>
      </c>
      <c r="V224" t="s">
        <v>4797</v>
      </c>
      <c r="W224" t="s">
        <v>4798</v>
      </c>
      <c r="X224" t="s">
        <v>4799</v>
      </c>
      <c r="Y224" t="s">
        <v>4800</v>
      </c>
      <c r="Z224" t="s">
        <v>4801</v>
      </c>
      <c r="AA224" t="s">
        <v>74</v>
      </c>
      <c r="AB224" t="s">
        <v>4802</v>
      </c>
      <c r="AC224" t="s">
        <v>4803</v>
      </c>
      <c r="AD224" t="s">
        <v>4804</v>
      </c>
      <c r="AE224" t="s">
        <v>4805</v>
      </c>
      <c r="AF224" t="s">
        <v>74</v>
      </c>
      <c r="AG224">
        <v>96</v>
      </c>
      <c r="AH224">
        <v>1</v>
      </c>
      <c r="AI224">
        <v>1</v>
      </c>
      <c r="AJ224">
        <v>3</v>
      </c>
      <c r="AK224">
        <v>27</v>
      </c>
      <c r="AL224" t="s">
        <v>4494</v>
      </c>
      <c r="AM224" t="s">
        <v>4495</v>
      </c>
      <c r="AN224" t="s">
        <v>4496</v>
      </c>
      <c r="AO224" t="s">
        <v>4806</v>
      </c>
      <c r="AP224" t="s">
        <v>4807</v>
      </c>
      <c r="AQ224" t="s">
        <v>74</v>
      </c>
      <c r="AR224" t="s">
        <v>4808</v>
      </c>
      <c r="AS224" t="s">
        <v>4809</v>
      </c>
      <c r="AT224" t="s">
        <v>204</v>
      </c>
      <c r="AU224">
        <v>2021</v>
      </c>
      <c r="AV224">
        <v>163</v>
      </c>
      <c r="AW224" t="s">
        <v>74</v>
      </c>
      <c r="AX224" t="s">
        <v>74</v>
      </c>
      <c r="AY224" t="s">
        <v>74</v>
      </c>
      <c r="AZ224" t="s">
        <v>74</v>
      </c>
      <c r="BA224" t="s">
        <v>74</v>
      </c>
      <c r="BB224" t="s">
        <v>74</v>
      </c>
      <c r="BC224" t="s">
        <v>74</v>
      </c>
      <c r="BD224">
        <v>107203</v>
      </c>
      <c r="BE224" t="s">
        <v>4810</v>
      </c>
      <c r="BF224" t="str">
        <f>HYPERLINK("http://dx.doi.org/10.1016/j.ympev.2021.107203","http://dx.doi.org/10.1016/j.ympev.2021.107203")</f>
        <v>http://dx.doi.org/10.1016/j.ympev.2021.107203</v>
      </c>
      <c r="BG224" t="s">
        <v>74</v>
      </c>
      <c r="BH224" t="s">
        <v>2323</v>
      </c>
      <c r="BI224">
        <v>13</v>
      </c>
      <c r="BJ224" t="s">
        <v>4811</v>
      </c>
      <c r="BK224" t="s">
        <v>128</v>
      </c>
      <c r="BL224" t="s">
        <v>4811</v>
      </c>
      <c r="BM224" t="s">
        <v>4812</v>
      </c>
      <c r="BN224">
        <v>33992785</v>
      </c>
      <c r="BO224" t="s">
        <v>1154</v>
      </c>
      <c r="BP224" t="s">
        <v>74</v>
      </c>
      <c r="BQ224" t="s">
        <v>74</v>
      </c>
      <c r="BR224" t="s">
        <v>102</v>
      </c>
      <c r="BS224" t="s">
        <v>4813</v>
      </c>
      <c r="BT224" t="str">
        <f>HYPERLINK("https%3A%2F%2Fwww.webofscience.com%2Fwos%2Fwoscc%2Ffull-record%2FWOS:000687261800004","View Full Record in Web of Science")</f>
        <v>View Full Record in Web of Science</v>
      </c>
    </row>
    <row r="225" spans="1:72" x14ac:dyDescent="0.15">
      <c r="A225" t="s">
        <v>72</v>
      </c>
      <c r="B225" t="s">
        <v>4814</v>
      </c>
      <c r="C225" t="s">
        <v>74</v>
      </c>
      <c r="D225" t="s">
        <v>74</v>
      </c>
      <c r="E225" t="s">
        <v>74</v>
      </c>
      <c r="F225" t="s">
        <v>4815</v>
      </c>
      <c r="G225" t="s">
        <v>74</v>
      </c>
      <c r="H225" t="s">
        <v>74</v>
      </c>
      <c r="I225" t="s">
        <v>4816</v>
      </c>
      <c r="J225" t="s">
        <v>3624</v>
      </c>
      <c r="K225" t="s">
        <v>74</v>
      </c>
      <c r="L225" t="s">
        <v>74</v>
      </c>
      <c r="M225" t="s">
        <v>78</v>
      </c>
      <c r="N225" t="s">
        <v>79</v>
      </c>
      <c r="O225" t="s">
        <v>74</v>
      </c>
      <c r="P225" t="s">
        <v>74</v>
      </c>
      <c r="Q225" t="s">
        <v>74</v>
      </c>
      <c r="R225" t="s">
        <v>74</v>
      </c>
      <c r="S225" t="s">
        <v>74</v>
      </c>
      <c r="T225" t="s">
        <v>4817</v>
      </c>
      <c r="U225" t="s">
        <v>4818</v>
      </c>
      <c r="V225" t="s">
        <v>4819</v>
      </c>
      <c r="W225" t="s">
        <v>4820</v>
      </c>
      <c r="X225" t="s">
        <v>4821</v>
      </c>
      <c r="Y225" t="s">
        <v>4822</v>
      </c>
      <c r="Z225" t="s">
        <v>4823</v>
      </c>
      <c r="AA225" t="s">
        <v>4824</v>
      </c>
      <c r="AB225" t="s">
        <v>4825</v>
      </c>
      <c r="AC225" t="s">
        <v>4826</v>
      </c>
      <c r="AD225" t="s">
        <v>4827</v>
      </c>
      <c r="AE225" t="s">
        <v>4828</v>
      </c>
      <c r="AF225" t="s">
        <v>74</v>
      </c>
      <c r="AG225">
        <v>52</v>
      </c>
      <c r="AH225">
        <v>10</v>
      </c>
      <c r="AI225">
        <v>11</v>
      </c>
      <c r="AJ225">
        <v>1</v>
      </c>
      <c r="AK225">
        <v>22</v>
      </c>
      <c r="AL225" t="s">
        <v>450</v>
      </c>
      <c r="AM225" t="s">
        <v>650</v>
      </c>
      <c r="AN225" t="s">
        <v>1957</v>
      </c>
      <c r="AO225" t="s">
        <v>3636</v>
      </c>
      <c r="AP225" t="s">
        <v>3637</v>
      </c>
      <c r="AQ225" t="s">
        <v>74</v>
      </c>
      <c r="AR225" t="s">
        <v>3638</v>
      </c>
      <c r="AS225" t="s">
        <v>3639</v>
      </c>
      <c r="AT225" t="s">
        <v>374</v>
      </c>
      <c r="AU225">
        <v>2021</v>
      </c>
      <c r="AV225">
        <v>57</v>
      </c>
      <c r="AW225" t="s">
        <v>4547</v>
      </c>
      <c r="AX225" t="s">
        <v>74</v>
      </c>
      <c r="AY225" t="s">
        <v>74</v>
      </c>
      <c r="AZ225" t="s">
        <v>74</v>
      </c>
      <c r="BA225" t="s">
        <v>74</v>
      </c>
      <c r="BB225">
        <v>3505</v>
      </c>
      <c r="BC225">
        <v>3528</v>
      </c>
      <c r="BD225" t="s">
        <v>74</v>
      </c>
      <c r="BE225" t="s">
        <v>4829</v>
      </c>
      <c r="BF225" t="str">
        <f>HYPERLINK("http://dx.doi.org/10.1007/s00382-021-05878-7","http://dx.doi.org/10.1007/s00382-021-05878-7")</f>
        <v>http://dx.doi.org/10.1007/s00382-021-05878-7</v>
      </c>
      <c r="BG225" t="s">
        <v>74</v>
      </c>
      <c r="BH225" t="s">
        <v>2323</v>
      </c>
      <c r="BI225">
        <v>24</v>
      </c>
      <c r="BJ225" t="s">
        <v>567</v>
      </c>
      <c r="BK225" t="s">
        <v>128</v>
      </c>
      <c r="BL225" t="s">
        <v>567</v>
      </c>
      <c r="BM225" t="s">
        <v>4549</v>
      </c>
      <c r="BN225" t="s">
        <v>74</v>
      </c>
      <c r="BO225" t="s">
        <v>2514</v>
      </c>
      <c r="BP225" t="s">
        <v>74</v>
      </c>
      <c r="BQ225" t="s">
        <v>74</v>
      </c>
      <c r="BR225" t="s">
        <v>102</v>
      </c>
      <c r="BS225" t="s">
        <v>4830</v>
      </c>
      <c r="BT225" t="str">
        <f>HYPERLINK("https%3A%2F%2Fwww.webofscience.com%2Fwos%2Fwoscc%2Ffull-record%2FWOS:000672443700002","View Full Record in Web of Science")</f>
        <v>View Full Record in Web of Science</v>
      </c>
    </row>
    <row r="226" spans="1:72" x14ac:dyDescent="0.15">
      <c r="A226" t="s">
        <v>72</v>
      </c>
      <c r="B226" t="s">
        <v>4831</v>
      </c>
      <c r="C226" t="s">
        <v>74</v>
      </c>
      <c r="D226" t="s">
        <v>74</v>
      </c>
      <c r="E226" t="s">
        <v>74</v>
      </c>
      <c r="F226" t="s">
        <v>4832</v>
      </c>
      <c r="G226" t="s">
        <v>74</v>
      </c>
      <c r="H226" t="s">
        <v>74</v>
      </c>
      <c r="I226" t="s">
        <v>4833</v>
      </c>
      <c r="J226" t="s">
        <v>4834</v>
      </c>
      <c r="K226" t="s">
        <v>74</v>
      </c>
      <c r="L226" t="s">
        <v>74</v>
      </c>
      <c r="M226" t="s">
        <v>78</v>
      </c>
      <c r="N226" t="s">
        <v>79</v>
      </c>
      <c r="O226" t="s">
        <v>74</v>
      </c>
      <c r="P226" t="s">
        <v>74</v>
      </c>
      <c r="Q226" t="s">
        <v>74</v>
      </c>
      <c r="R226" t="s">
        <v>74</v>
      </c>
      <c r="S226" t="s">
        <v>74</v>
      </c>
      <c r="T226" t="s">
        <v>4835</v>
      </c>
      <c r="U226" t="s">
        <v>4836</v>
      </c>
      <c r="V226" t="s">
        <v>4837</v>
      </c>
      <c r="W226" t="s">
        <v>4838</v>
      </c>
      <c r="X226" t="s">
        <v>4839</v>
      </c>
      <c r="Y226" t="s">
        <v>4840</v>
      </c>
      <c r="Z226" t="s">
        <v>4841</v>
      </c>
      <c r="AA226" t="s">
        <v>4842</v>
      </c>
      <c r="AB226" t="s">
        <v>4843</v>
      </c>
      <c r="AC226" t="s">
        <v>4844</v>
      </c>
      <c r="AD226" t="s">
        <v>4845</v>
      </c>
      <c r="AE226" t="s">
        <v>4846</v>
      </c>
      <c r="AF226" t="s">
        <v>74</v>
      </c>
      <c r="AG226">
        <v>51</v>
      </c>
      <c r="AH226">
        <v>7</v>
      </c>
      <c r="AI226">
        <v>7</v>
      </c>
      <c r="AJ226">
        <v>13</v>
      </c>
      <c r="AK226">
        <v>54</v>
      </c>
      <c r="AL226" t="s">
        <v>628</v>
      </c>
      <c r="AM226" t="s">
        <v>629</v>
      </c>
      <c r="AN226" t="s">
        <v>1933</v>
      </c>
      <c r="AO226" t="s">
        <v>4847</v>
      </c>
      <c r="AP226" t="s">
        <v>4848</v>
      </c>
      <c r="AQ226" t="s">
        <v>74</v>
      </c>
      <c r="AR226" t="s">
        <v>4849</v>
      </c>
      <c r="AS226" t="s">
        <v>4850</v>
      </c>
      <c r="AT226" t="s">
        <v>402</v>
      </c>
      <c r="AU226">
        <v>2021</v>
      </c>
      <c r="AV226">
        <v>38</v>
      </c>
      <c r="AW226">
        <v>9</v>
      </c>
      <c r="AX226" t="s">
        <v>74</v>
      </c>
      <c r="AY226" t="s">
        <v>74</v>
      </c>
      <c r="AZ226" t="s">
        <v>74</v>
      </c>
      <c r="BA226" t="s">
        <v>74</v>
      </c>
      <c r="BB226">
        <v>1497</v>
      </c>
      <c r="BC226">
        <v>1509</v>
      </c>
      <c r="BD226" t="s">
        <v>74</v>
      </c>
      <c r="BE226" t="s">
        <v>4851</v>
      </c>
      <c r="BF226" t="str">
        <f>HYPERLINK("http://dx.doi.org/10.1007/s00376-021-0386-6","http://dx.doi.org/10.1007/s00376-021-0386-6")</f>
        <v>http://dx.doi.org/10.1007/s00376-021-0386-6</v>
      </c>
      <c r="BG226" t="s">
        <v>74</v>
      </c>
      <c r="BH226" t="s">
        <v>2323</v>
      </c>
      <c r="BI226">
        <v>13</v>
      </c>
      <c r="BJ226" t="s">
        <v>567</v>
      </c>
      <c r="BK226" t="s">
        <v>128</v>
      </c>
      <c r="BL226" t="s">
        <v>567</v>
      </c>
      <c r="BM226" t="s">
        <v>4852</v>
      </c>
      <c r="BN226" t="s">
        <v>74</v>
      </c>
      <c r="BO226" t="s">
        <v>74</v>
      </c>
      <c r="BP226" t="s">
        <v>74</v>
      </c>
      <c r="BQ226" t="s">
        <v>74</v>
      </c>
      <c r="BR226" t="s">
        <v>102</v>
      </c>
      <c r="BS226" t="s">
        <v>4853</v>
      </c>
      <c r="BT226" t="str">
        <f>HYPERLINK("https%3A%2F%2Fwww.webofscience.com%2Fwos%2Fwoscc%2Ffull-record%2FWOS:000671650100008","View Full Record in Web of Science")</f>
        <v>View Full Record in Web of Science</v>
      </c>
    </row>
    <row r="227" spans="1:72" x14ac:dyDescent="0.15">
      <c r="A227" t="s">
        <v>72</v>
      </c>
      <c r="B227" t="s">
        <v>4854</v>
      </c>
      <c r="C227" t="s">
        <v>74</v>
      </c>
      <c r="D227" t="s">
        <v>74</v>
      </c>
      <c r="E227" t="s">
        <v>74</v>
      </c>
      <c r="F227" t="s">
        <v>4855</v>
      </c>
      <c r="G227" t="s">
        <v>74</v>
      </c>
      <c r="H227" t="s">
        <v>74</v>
      </c>
      <c r="I227" t="s">
        <v>4856</v>
      </c>
      <c r="J227" t="s">
        <v>4857</v>
      </c>
      <c r="K227" t="s">
        <v>74</v>
      </c>
      <c r="L227" t="s">
        <v>74</v>
      </c>
      <c r="M227" t="s">
        <v>78</v>
      </c>
      <c r="N227" t="s">
        <v>79</v>
      </c>
      <c r="O227" t="s">
        <v>74</v>
      </c>
      <c r="P227" t="s">
        <v>74</v>
      </c>
      <c r="Q227" t="s">
        <v>74</v>
      </c>
      <c r="R227" t="s">
        <v>74</v>
      </c>
      <c r="S227" t="s">
        <v>74</v>
      </c>
      <c r="T227" t="s">
        <v>4858</v>
      </c>
      <c r="U227" t="s">
        <v>4859</v>
      </c>
      <c r="V227" t="s">
        <v>4860</v>
      </c>
      <c r="W227" t="s">
        <v>4861</v>
      </c>
      <c r="X227" t="s">
        <v>4862</v>
      </c>
      <c r="Y227" t="s">
        <v>4863</v>
      </c>
      <c r="Z227" t="s">
        <v>4864</v>
      </c>
      <c r="AA227" t="s">
        <v>4865</v>
      </c>
      <c r="AB227" t="s">
        <v>4866</v>
      </c>
      <c r="AC227" t="s">
        <v>4867</v>
      </c>
      <c r="AD227" t="s">
        <v>4868</v>
      </c>
      <c r="AE227" t="s">
        <v>4869</v>
      </c>
      <c r="AF227" t="s">
        <v>74</v>
      </c>
      <c r="AG227">
        <v>72</v>
      </c>
      <c r="AH227">
        <v>3</v>
      </c>
      <c r="AI227">
        <v>3</v>
      </c>
      <c r="AJ227">
        <v>2</v>
      </c>
      <c r="AK227">
        <v>10</v>
      </c>
      <c r="AL227" t="s">
        <v>197</v>
      </c>
      <c r="AM227" t="s">
        <v>198</v>
      </c>
      <c r="AN227" t="s">
        <v>199</v>
      </c>
      <c r="AO227" t="s">
        <v>4870</v>
      </c>
      <c r="AP227" t="s">
        <v>4871</v>
      </c>
      <c r="AQ227" t="s">
        <v>74</v>
      </c>
      <c r="AR227" t="s">
        <v>4872</v>
      </c>
      <c r="AS227" t="s">
        <v>4873</v>
      </c>
      <c r="AT227" t="s">
        <v>204</v>
      </c>
      <c r="AU227">
        <v>2021</v>
      </c>
      <c r="AV227">
        <v>27</v>
      </c>
      <c r="AW227">
        <v>5</v>
      </c>
      <c r="AX227" t="s">
        <v>74</v>
      </c>
      <c r="AY227" t="s">
        <v>74</v>
      </c>
      <c r="AZ227" t="s">
        <v>74</v>
      </c>
      <c r="BA227" t="s">
        <v>74</v>
      </c>
      <c r="BB227">
        <v>1448</v>
      </c>
      <c r="BC227">
        <v>1459</v>
      </c>
      <c r="BD227" t="s">
        <v>74</v>
      </c>
      <c r="BE227" t="s">
        <v>4874</v>
      </c>
      <c r="BF227" t="str">
        <f>HYPERLINK("http://dx.doi.org/10.1111/anu.13282","http://dx.doi.org/10.1111/anu.13282")</f>
        <v>http://dx.doi.org/10.1111/anu.13282</v>
      </c>
      <c r="BG227" t="s">
        <v>74</v>
      </c>
      <c r="BH227" t="s">
        <v>2323</v>
      </c>
      <c r="BI227">
        <v>12</v>
      </c>
      <c r="BJ227" t="s">
        <v>99</v>
      </c>
      <c r="BK227" t="s">
        <v>128</v>
      </c>
      <c r="BL227" t="s">
        <v>99</v>
      </c>
      <c r="BM227" t="s">
        <v>4875</v>
      </c>
      <c r="BN227" t="s">
        <v>74</v>
      </c>
      <c r="BO227" t="s">
        <v>74</v>
      </c>
      <c r="BP227" t="s">
        <v>74</v>
      </c>
      <c r="BQ227" t="s">
        <v>74</v>
      </c>
      <c r="BR227" t="s">
        <v>102</v>
      </c>
      <c r="BS227" t="s">
        <v>4876</v>
      </c>
      <c r="BT227" t="str">
        <f>HYPERLINK("https%3A%2F%2Fwww.webofscience.com%2Fwos%2Fwoscc%2Ffull-record%2FWOS:000671581400001","View Full Record in Web of Science")</f>
        <v>View Full Record in Web of Science</v>
      </c>
    </row>
    <row r="228" spans="1:72" x14ac:dyDescent="0.15">
      <c r="A228" t="s">
        <v>72</v>
      </c>
      <c r="B228" t="s">
        <v>4877</v>
      </c>
      <c r="C228" t="s">
        <v>74</v>
      </c>
      <c r="D228" t="s">
        <v>74</v>
      </c>
      <c r="E228" t="s">
        <v>74</v>
      </c>
      <c r="F228" t="s">
        <v>4878</v>
      </c>
      <c r="G228" t="s">
        <v>74</v>
      </c>
      <c r="H228" t="s">
        <v>74</v>
      </c>
      <c r="I228" t="s">
        <v>4879</v>
      </c>
      <c r="J228" t="s">
        <v>3965</v>
      </c>
      <c r="K228" t="s">
        <v>74</v>
      </c>
      <c r="L228" t="s">
        <v>74</v>
      </c>
      <c r="M228" t="s">
        <v>78</v>
      </c>
      <c r="N228" t="s">
        <v>79</v>
      </c>
      <c r="O228" t="s">
        <v>74</v>
      </c>
      <c r="P228" t="s">
        <v>74</v>
      </c>
      <c r="Q228" t="s">
        <v>74</v>
      </c>
      <c r="R228" t="s">
        <v>74</v>
      </c>
      <c r="S228" t="s">
        <v>74</v>
      </c>
      <c r="T228" t="s">
        <v>4880</v>
      </c>
      <c r="U228" t="s">
        <v>4881</v>
      </c>
      <c r="V228" t="s">
        <v>4882</v>
      </c>
      <c r="W228" t="s">
        <v>4883</v>
      </c>
      <c r="X228" t="s">
        <v>4884</v>
      </c>
      <c r="Y228" t="s">
        <v>4885</v>
      </c>
      <c r="Z228" t="s">
        <v>4886</v>
      </c>
      <c r="AA228" t="s">
        <v>74</v>
      </c>
      <c r="AB228" t="s">
        <v>4887</v>
      </c>
      <c r="AC228" t="s">
        <v>4888</v>
      </c>
      <c r="AD228" t="s">
        <v>4888</v>
      </c>
      <c r="AE228" t="s">
        <v>4889</v>
      </c>
      <c r="AF228" t="s">
        <v>74</v>
      </c>
      <c r="AG228">
        <v>32</v>
      </c>
      <c r="AH228">
        <v>0</v>
      </c>
      <c r="AI228">
        <v>0</v>
      </c>
      <c r="AJ228">
        <v>0</v>
      </c>
      <c r="AK228">
        <v>15</v>
      </c>
      <c r="AL228" t="s">
        <v>281</v>
      </c>
      <c r="AM228" t="s">
        <v>228</v>
      </c>
      <c r="AN228" t="s">
        <v>282</v>
      </c>
      <c r="AO228" t="s">
        <v>3978</v>
      </c>
      <c r="AP228" t="s">
        <v>3979</v>
      </c>
      <c r="AQ228" t="s">
        <v>74</v>
      </c>
      <c r="AR228" t="s">
        <v>3965</v>
      </c>
      <c r="AS228" t="s">
        <v>3980</v>
      </c>
      <c r="AT228" t="s">
        <v>374</v>
      </c>
      <c r="AU228">
        <v>2021</v>
      </c>
      <c r="AV228">
        <v>285</v>
      </c>
      <c r="AW228" t="s">
        <v>74</v>
      </c>
      <c r="AX228" t="s">
        <v>74</v>
      </c>
      <c r="AY228" t="s">
        <v>74</v>
      </c>
      <c r="AZ228" t="s">
        <v>74</v>
      </c>
      <c r="BA228" t="s">
        <v>74</v>
      </c>
      <c r="BB228" t="s">
        <v>74</v>
      </c>
      <c r="BC228" t="s">
        <v>74</v>
      </c>
      <c r="BD228">
        <v>131291</v>
      </c>
      <c r="BE228" t="s">
        <v>4890</v>
      </c>
      <c r="BF228" t="str">
        <f>HYPERLINK("http://dx.doi.org/10.1016/j.chemosphere.2021.131291","http://dx.doi.org/10.1016/j.chemosphere.2021.131291")</f>
        <v>http://dx.doi.org/10.1016/j.chemosphere.2021.131291</v>
      </c>
      <c r="BG228" t="s">
        <v>74</v>
      </c>
      <c r="BH228" t="s">
        <v>2323</v>
      </c>
      <c r="BI228">
        <v>7</v>
      </c>
      <c r="BJ228" t="s">
        <v>262</v>
      </c>
      <c r="BK228" t="s">
        <v>128</v>
      </c>
      <c r="BL228" t="s">
        <v>263</v>
      </c>
      <c r="BM228" t="s">
        <v>4891</v>
      </c>
      <c r="BN228">
        <v>34252803</v>
      </c>
      <c r="BO228" t="s">
        <v>291</v>
      </c>
      <c r="BP228" t="s">
        <v>74</v>
      </c>
      <c r="BQ228" t="s">
        <v>74</v>
      </c>
      <c r="BR228" t="s">
        <v>102</v>
      </c>
      <c r="BS228" t="s">
        <v>4892</v>
      </c>
      <c r="BT228" t="str">
        <f>HYPERLINK("https%3A%2F%2Fwww.webofscience.com%2Fwos%2Fwoscc%2Ffull-record%2FWOS:000704807200001","View Full Record in Web of Science")</f>
        <v>View Full Record in Web of Science</v>
      </c>
    </row>
    <row r="229" spans="1:72" x14ac:dyDescent="0.15">
      <c r="A229" t="s">
        <v>72</v>
      </c>
      <c r="B229" t="s">
        <v>4893</v>
      </c>
      <c r="C229" t="s">
        <v>74</v>
      </c>
      <c r="D229" t="s">
        <v>74</v>
      </c>
      <c r="E229" t="s">
        <v>74</v>
      </c>
      <c r="F229" t="s">
        <v>4894</v>
      </c>
      <c r="G229" t="s">
        <v>74</v>
      </c>
      <c r="H229" t="s">
        <v>74</v>
      </c>
      <c r="I229" t="s">
        <v>4895</v>
      </c>
      <c r="J229" t="s">
        <v>243</v>
      </c>
      <c r="K229" t="s">
        <v>74</v>
      </c>
      <c r="L229" t="s">
        <v>74</v>
      </c>
      <c r="M229" t="s">
        <v>78</v>
      </c>
      <c r="N229" t="s">
        <v>79</v>
      </c>
      <c r="O229" t="s">
        <v>74</v>
      </c>
      <c r="P229" t="s">
        <v>74</v>
      </c>
      <c r="Q229" t="s">
        <v>74</v>
      </c>
      <c r="R229" t="s">
        <v>74</v>
      </c>
      <c r="S229" t="s">
        <v>74</v>
      </c>
      <c r="T229" t="s">
        <v>4896</v>
      </c>
      <c r="U229" t="s">
        <v>4897</v>
      </c>
      <c r="V229" t="s">
        <v>4898</v>
      </c>
      <c r="W229" t="s">
        <v>4899</v>
      </c>
      <c r="X229" t="s">
        <v>4900</v>
      </c>
      <c r="Y229" t="s">
        <v>4901</v>
      </c>
      <c r="Z229" t="s">
        <v>4902</v>
      </c>
      <c r="AA229" t="s">
        <v>4903</v>
      </c>
      <c r="AB229" t="s">
        <v>4904</v>
      </c>
      <c r="AC229" t="s">
        <v>4905</v>
      </c>
      <c r="AD229" t="s">
        <v>4906</v>
      </c>
      <c r="AE229" t="s">
        <v>4907</v>
      </c>
      <c r="AF229" t="s">
        <v>74</v>
      </c>
      <c r="AG229">
        <v>72</v>
      </c>
      <c r="AH229">
        <v>8</v>
      </c>
      <c r="AI229">
        <v>9</v>
      </c>
      <c r="AJ229">
        <v>4</v>
      </c>
      <c r="AK229">
        <v>36</v>
      </c>
      <c r="AL229" t="s">
        <v>89</v>
      </c>
      <c r="AM229" t="s">
        <v>90</v>
      </c>
      <c r="AN229" t="s">
        <v>91</v>
      </c>
      <c r="AO229" t="s">
        <v>256</v>
      </c>
      <c r="AP229" t="s">
        <v>257</v>
      </c>
      <c r="AQ229" t="s">
        <v>74</v>
      </c>
      <c r="AR229" t="s">
        <v>258</v>
      </c>
      <c r="AS229" t="s">
        <v>259</v>
      </c>
      <c r="AT229" t="s">
        <v>4908</v>
      </c>
      <c r="AU229">
        <v>2021</v>
      </c>
      <c r="AV229">
        <v>795</v>
      </c>
      <c r="AW229" t="s">
        <v>74</v>
      </c>
      <c r="AX229" t="s">
        <v>74</v>
      </c>
      <c r="AY229" t="s">
        <v>74</v>
      </c>
      <c r="AZ229" t="s">
        <v>74</v>
      </c>
      <c r="BA229" t="s">
        <v>74</v>
      </c>
      <c r="BB229" t="s">
        <v>74</v>
      </c>
      <c r="BC229" t="s">
        <v>74</v>
      </c>
      <c r="BD229">
        <v>148881</v>
      </c>
      <c r="BE229" t="s">
        <v>4909</v>
      </c>
      <c r="BF229" t="str">
        <f>HYPERLINK("http://dx.doi.org/10.1016/j.scitotenv.2021.148881","http://dx.doi.org/10.1016/j.scitotenv.2021.148881")</f>
        <v>http://dx.doi.org/10.1016/j.scitotenv.2021.148881</v>
      </c>
      <c r="BG229" t="s">
        <v>74</v>
      </c>
      <c r="BH229" t="s">
        <v>2323</v>
      </c>
      <c r="BI229">
        <v>9</v>
      </c>
      <c r="BJ229" t="s">
        <v>262</v>
      </c>
      <c r="BK229" t="s">
        <v>128</v>
      </c>
      <c r="BL229" t="s">
        <v>263</v>
      </c>
      <c r="BM229" t="s">
        <v>4910</v>
      </c>
      <c r="BN229">
        <v>34252762</v>
      </c>
      <c r="BO229" t="s">
        <v>74</v>
      </c>
      <c r="BP229" t="s">
        <v>74</v>
      </c>
      <c r="BQ229" t="s">
        <v>74</v>
      </c>
      <c r="BR229" t="s">
        <v>102</v>
      </c>
      <c r="BS229" t="s">
        <v>4911</v>
      </c>
      <c r="BT229" t="str">
        <f>HYPERLINK("https%3A%2F%2Fwww.webofscience.com%2Fwos%2Fwoscc%2Ffull-record%2FWOS:000695219600006","View Full Record in Web of Science")</f>
        <v>View Full Record in Web of Science</v>
      </c>
    </row>
    <row r="230" spans="1:72" x14ac:dyDescent="0.15">
      <c r="A230" t="s">
        <v>72</v>
      </c>
      <c r="B230" t="s">
        <v>4912</v>
      </c>
      <c r="C230" t="s">
        <v>74</v>
      </c>
      <c r="D230" t="s">
        <v>74</v>
      </c>
      <c r="E230" t="s">
        <v>74</v>
      </c>
      <c r="F230" t="s">
        <v>4913</v>
      </c>
      <c r="G230" t="s">
        <v>74</v>
      </c>
      <c r="H230" t="s">
        <v>74</v>
      </c>
      <c r="I230" t="s">
        <v>4914</v>
      </c>
      <c r="J230" t="s">
        <v>3729</v>
      </c>
      <c r="K230" t="s">
        <v>74</v>
      </c>
      <c r="L230" t="s">
        <v>74</v>
      </c>
      <c r="M230" t="s">
        <v>78</v>
      </c>
      <c r="N230" t="s">
        <v>79</v>
      </c>
      <c r="O230" t="s">
        <v>74</v>
      </c>
      <c r="P230" t="s">
        <v>74</v>
      </c>
      <c r="Q230" t="s">
        <v>74</v>
      </c>
      <c r="R230" t="s">
        <v>74</v>
      </c>
      <c r="S230" t="s">
        <v>74</v>
      </c>
      <c r="T230" t="s">
        <v>4915</v>
      </c>
      <c r="U230" t="s">
        <v>4916</v>
      </c>
      <c r="V230" t="s">
        <v>4917</v>
      </c>
      <c r="W230" t="s">
        <v>4918</v>
      </c>
      <c r="X230" t="s">
        <v>4919</v>
      </c>
      <c r="Y230" t="s">
        <v>4920</v>
      </c>
      <c r="Z230" t="s">
        <v>4921</v>
      </c>
      <c r="AA230" t="s">
        <v>4922</v>
      </c>
      <c r="AB230" t="s">
        <v>4923</v>
      </c>
      <c r="AC230" t="s">
        <v>4924</v>
      </c>
      <c r="AD230" t="s">
        <v>4925</v>
      </c>
      <c r="AE230" t="s">
        <v>4926</v>
      </c>
      <c r="AF230" t="s">
        <v>74</v>
      </c>
      <c r="AG230">
        <v>68</v>
      </c>
      <c r="AH230">
        <v>1</v>
      </c>
      <c r="AI230">
        <v>1</v>
      </c>
      <c r="AJ230">
        <v>1</v>
      </c>
      <c r="AK230">
        <v>3</v>
      </c>
      <c r="AL230" t="s">
        <v>281</v>
      </c>
      <c r="AM230" t="s">
        <v>228</v>
      </c>
      <c r="AN230" t="s">
        <v>282</v>
      </c>
      <c r="AO230" t="s">
        <v>3742</v>
      </c>
      <c r="AP230" t="s">
        <v>3743</v>
      </c>
      <c r="AQ230" t="s">
        <v>74</v>
      </c>
      <c r="AR230" t="s">
        <v>3744</v>
      </c>
      <c r="AS230" t="s">
        <v>3745</v>
      </c>
      <c r="AT230" t="s">
        <v>3746</v>
      </c>
      <c r="AU230">
        <v>2021</v>
      </c>
      <c r="AV230">
        <v>266</v>
      </c>
      <c r="AW230" t="s">
        <v>74</v>
      </c>
      <c r="AX230" t="s">
        <v>74</v>
      </c>
      <c r="AY230" t="s">
        <v>74</v>
      </c>
      <c r="AZ230" t="s">
        <v>74</v>
      </c>
      <c r="BA230" t="s">
        <v>74</v>
      </c>
      <c r="BB230" t="s">
        <v>74</v>
      </c>
      <c r="BC230" t="s">
        <v>74</v>
      </c>
      <c r="BD230">
        <v>107074</v>
      </c>
      <c r="BE230" t="s">
        <v>4927</v>
      </c>
      <c r="BF230" t="str">
        <f>HYPERLINK("http://dx.doi.org/10.1016/j.quascirev.2021.107074","http://dx.doi.org/10.1016/j.quascirev.2021.107074")</f>
        <v>http://dx.doi.org/10.1016/j.quascirev.2021.107074</v>
      </c>
      <c r="BG230" t="s">
        <v>74</v>
      </c>
      <c r="BH230" t="s">
        <v>2323</v>
      </c>
      <c r="BI230">
        <v>8</v>
      </c>
      <c r="BJ230" t="s">
        <v>151</v>
      </c>
      <c r="BK230" t="s">
        <v>128</v>
      </c>
      <c r="BL230" t="s">
        <v>152</v>
      </c>
      <c r="BM230" t="s">
        <v>3748</v>
      </c>
      <c r="BN230" t="s">
        <v>74</v>
      </c>
      <c r="BO230" t="s">
        <v>74</v>
      </c>
      <c r="BP230" t="s">
        <v>74</v>
      </c>
      <c r="BQ230" t="s">
        <v>74</v>
      </c>
      <c r="BR230" t="s">
        <v>102</v>
      </c>
      <c r="BS230" t="s">
        <v>4928</v>
      </c>
      <c r="BT230" t="str">
        <f>HYPERLINK("https%3A%2F%2Fwww.webofscience.com%2Fwos%2Fwoscc%2Ffull-record%2FWOS:000694899400011","View Full Record in Web of Science")</f>
        <v>View Full Record in Web of Science</v>
      </c>
    </row>
    <row r="231" spans="1:72" x14ac:dyDescent="0.15">
      <c r="A231" t="s">
        <v>72</v>
      </c>
      <c r="B231" t="s">
        <v>4929</v>
      </c>
      <c r="C231" t="s">
        <v>74</v>
      </c>
      <c r="D231" t="s">
        <v>74</v>
      </c>
      <c r="E231" t="s">
        <v>74</v>
      </c>
      <c r="F231" t="s">
        <v>4930</v>
      </c>
      <c r="G231" t="s">
        <v>74</v>
      </c>
      <c r="H231" t="s">
        <v>74</v>
      </c>
      <c r="I231" t="s">
        <v>4931</v>
      </c>
      <c r="J231" t="s">
        <v>4055</v>
      </c>
      <c r="K231" t="s">
        <v>74</v>
      </c>
      <c r="L231" t="s">
        <v>74</v>
      </c>
      <c r="M231" t="s">
        <v>78</v>
      </c>
      <c r="N231" t="s">
        <v>79</v>
      </c>
      <c r="O231" t="s">
        <v>74</v>
      </c>
      <c r="P231" t="s">
        <v>74</v>
      </c>
      <c r="Q231" t="s">
        <v>74</v>
      </c>
      <c r="R231" t="s">
        <v>74</v>
      </c>
      <c r="S231" t="s">
        <v>74</v>
      </c>
      <c r="T231" t="s">
        <v>74</v>
      </c>
      <c r="U231" t="s">
        <v>4932</v>
      </c>
      <c r="V231" t="s">
        <v>4933</v>
      </c>
      <c r="W231" t="s">
        <v>4934</v>
      </c>
      <c r="X231" t="s">
        <v>4935</v>
      </c>
      <c r="Y231" t="s">
        <v>4936</v>
      </c>
      <c r="Z231" t="s">
        <v>4937</v>
      </c>
      <c r="AA231" t="s">
        <v>4938</v>
      </c>
      <c r="AB231" t="s">
        <v>4939</v>
      </c>
      <c r="AC231" t="s">
        <v>4940</v>
      </c>
      <c r="AD231" t="s">
        <v>4941</v>
      </c>
      <c r="AE231" t="s">
        <v>4942</v>
      </c>
      <c r="AF231" t="s">
        <v>74</v>
      </c>
      <c r="AG231">
        <v>48</v>
      </c>
      <c r="AH231">
        <v>1</v>
      </c>
      <c r="AI231">
        <v>1</v>
      </c>
      <c r="AJ231">
        <v>0</v>
      </c>
      <c r="AK231">
        <v>7</v>
      </c>
      <c r="AL231" t="s">
        <v>395</v>
      </c>
      <c r="AM231" t="s">
        <v>396</v>
      </c>
      <c r="AN231" t="s">
        <v>397</v>
      </c>
      <c r="AO231" t="s">
        <v>74</v>
      </c>
      <c r="AP231" t="s">
        <v>4068</v>
      </c>
      <c r="AQ231" t="s">
        <v>74</v>
      </c>
      <c r="AR231" t="s">
        <v>4069</v>
      </c>
      <c r="AS231" t="s">
        <v>4070</v>
      </c>
      <c r="AT231" t="s">
        <v>4943</v>
      </c>
      <c r="AU231">
        <v>2021</v>
      </c>
      <c r="AV231">
        <v>12</v>
      </c>
      <c r="AW231">
        <v>1</v>
      </c>
      <c r="AX231" t="s">
        <v>74</v>
      </c>
      <c r="AY231" t="s">
        <v>74</v>
      </c>
      <c r="AZ231" t="s">
        <v>74</v>
      </c>
      <c r="BA231" t="s">
        <v>74</v>
      </c>
      <c r="BB231" t="s">
        <v>74</v>
      </c>
      <c r="BC231" t="s">
        <v>74</v>
      </c>
      <c r="BD231">
        <v>4209</v>
      </c>
      <c r="BE231" t="s">
        <v>4944</v>
      </c>
      <c r="BF231" t="str">
        <f>HYPERLINK("http://dx.doi.org/10.1038/s41467-021-23534-w","http://dx.doi.org/10.1038/s41467-021-23534-w")</f>
        <v>http://dx.doi.org/10.1038/s41467-021-23534-w</v>
      </c>
      <c r="BG231" t="s">
        <v>74</v>
      </c>
      <c r="BH231" t="s">
        <v>74</v>
      </c>
      <c r="BI231">
        <v>9</v>
      </c>
      <c r="BJ231" t="s">
        <v>2609</v>
      </c>
      <c r="BK231" t="s">
        <v>128</v>
      </c>
      <c r="BL231" t="s">
        <v>2610</v>
      </c>
      <c r="BM231" t="s">
        <v>4945</v>
      </c>
      <c r="BN231">
        <v>34244489</v>
      </c>
      <c r="BO231" t="s">
        <v>311</v>
      </c>
      <c r="BP231" t="s">
        <v>74</v>
      </c>
      <c r="BQ231" t="s">
        <v>74</v>
      </c>
      <c r="BR231" t="s">
        <v>102</v>
      </c>
      <c r="BS231" t="s">
        <v>4946</v>
      </c>
      <c r="BT231" t="str">
        <f>HYPERLINK("https%3A%2F%2Fwww.webofscience.com%2Fwos%2Fwoscc%2Ffull-record%2FWOS:000674487100008","View Full Record in Web of Science")</f>
        <v>View Full Record in Web of Science</v>
      </c>
    </row>
    <row r="232" spans="1:72" x14ac:dyDescent="0.15">
      <c r="A232" t="s">
        <v>72</v>
      </c>
      <c r="B232" t="s">
        <v>4947</v>
      </c>
      <c r="C232" t="s">
        <v>74</v>
      </c>
      <c r="D232" t="s">
        <v>74</v>
      </c>
      <c r="E232" t="s">
        <v>74</v>
      </c>
      <c r="F232" t="s">
        <v>4948</v>
      </c>
      <c r="G232" t="s">
        <v>74</v>
      </c>
      <c r="H232" t="s">
        <v>74</v>
      </c>
      <c r="I232" t="s">
        <v>4949</v>
      </c>
      <c r="J232" t="s">
        <v>4202</v>
      </c>
      <c r="K232" t="s">
        <v>74</v>
      </c>
      <c r="L232" t="s">
        <v>74</v>
      </c>
      <c r="M232" t="s">
        <v>78</v>
      </c>
      <c r="N232" t="s">
        <v>79</v>
      </c>
      <c r="O232" t="s">
        <v>74</v>
      </c>
      <c r="P232" t="s">
        <v>74</v>
      </c>
      <c r="Q232" t="s">
        <v>74</v>
      </c>
      <c r="R232" t="s">
        <v>74</v>
      </c>
      <c r="S232" t="s">
        <v>74</v>
      </c>
      <c r="T232" t="s">
        <v>4950</v>
      </c>
      <c r="U232" t="s">
        <v>4951</v>
      </c>
      <c r="V232" t="s">
        <v>4952</v>
      </c>
      <c r="W232" t="s">
        <v>4953</v>
      </c>
      <c r="X232" t="s">
        <v>4954</v>
      </c>
      <c r="Y232" t="s">
        <v>4955</v>
      </c>
      <c r="Z232" t="s">
        <v>4956</v>
      </c>
      <c r="AA232" t="s">
        <v>4957</v>
      </c>
      <c r="AB232" t="s">
        <v>4958</v>
      </c>
      <c r="AC232" t="s">
        <v>4959</v>
      </c>
      <c r="AD232" t="s">
        <v>4960</v>
      </c>
      <c r="AE232" t="s">
        <v>4961</v>
      </c>
      <c r="AF232" t="s">
        <v>74</v>
      </c>
      <c r="AG232">
        <v>66</v>
      </c>
      <c r="AH232">
        <v>17</v>
      </c>
      <c r="AI232">
        <v>17</v>
      </c>
      <c r="AJ232">
        <v>23</v>
      </c>
      <c r="AK232">
        <v>147</v>
      </c>
      <c r="AL232" t="s">
        <v>4214</v>
      </c>
      <c r="AM232" t="s">
        <v>865</v>
      </c>
      <c r="AN232" t="s">
        <v>4215</v>
      </c>
      <c r="AO232" t="s">
        <v>4216</v>
      </c>
      <c r="AP232" t="s">
        <v>4217</v>
      </c>
      <c r="AQ232" t="s">
        <v>74</v>
      </c>
      <c r="AR232" t="s">
        <v>4218</v>
      </c>
      <c r="AS232" t="s">
        <v>4219</v>
      </c>
      <c r="AT232" t="s">
        <v>3698</v>
      </c>
      <c r="AU232">
        <v>2021</v>
      </c>
      <c r="AV232">
        <v>55</v>
      </c>
      <c r="AW232">
        <v>14</v>
      </c>
      <c r="AX232" t="s">
        <v>74</v>
      </c>
      <c r="AY232" t="s">
        <v>74</v>
      </c>
      <c r="AZ232" t="s">
        <v>431</v>
      </c>
      <c r="BA232" t="s">
        <v>74</v>
      </c>
      <c r="BB232">
        <v>10175</v>
      </c>
      <c r="BC232">
        <v>10185</v>
      </c>
      <c r="BD232" t="s">
        <v>74</v>
      </c>
      <c r="BE232" t="s">
        <v>4962</v>
      </c>
      <c r="BF232" t="str">
        <f>HYPERLINK("http://dx.doi.org/10.1021/acs.est.1c03163","http://dx.doi.org/10.1021/acs.est.1c03163")</f>
        <v>http://dx.doi.org/10.1021/acs.est.1c03163</v>
      </c>
      <c r="BG232" t="s">
        <v>74</v>
      </c>
      <c r="BH232" t="s">
        <v>2323</v>
      </c>
      <c r="BI232">
        <v>11</v>
      </c>
      <c r="BJ232" t="s">
        <v>335</v>
      </c>
      <c r="BK232" t="s">
        <v>128</v>
      </c>
      <c r="BL232" t="s">
        <v>336</v>
      </c>
      <c r="BM232" t="s">
        <v>4963</v>
      </c>
      <c r="BN232">
        <v>34240854</v>
      </c>
      <c r="BO232" t="s">
        <v>238</v>
      </c>
      <c r="BP232" t="s">
        <v>74</v>
      </c>
      <c r="BQ232" t="s">
        <v>74</v>
      </c>
      <c r="BR232" t="s">
        <v>102</v>
      </c>
      <c r="BS232" t="s">
        <v>4964</v>
      </c>
      <c r="BT232" t="str">
        <f>HYPERLINK("https%3A%2F%2Fwww.webofscience.com%2Fwos%2Fwoscc%2Ffull-record%2FWOS:000677482500076","View Full Record in Web of Science")</f>
        <v>View Full Record in Web of Science</v>
      </c>
    </row>
    <row r="233" spans="1:72" x14ac:dyDescent="0.15">
      <c r="A233" t="s">
        <v>72</v>
      </c>
      <c r="B233" t="s">
        <v>4965</v>
      </c>
      <c r="C233" t="s">
        <v>74</v>
      </c>
      <c r="D233" t="s">
        <v>74</v>
      </c>
      <c r="E233" t="s">
        <v>74</v>
      </c>
      <c r="F233" t="s">
        <v>4966</v>
      </c>
      <c r="G233" t="s">
        <v>74</v>
      </c>
      <c r="H233" t="s">
        <v>74</v>
      </c>
      <c r="I233" t="s">
        <v>4967</v>
      </c>
      <c r="J233" t="s">
        <v>107</v>
      </c>
      <c r="K233" t="s">
        <v>74</v>
      </c>
      <c r="L233" t="s">
        <v>74</v>
      </c>
      <c r="M233" t="s">
        <v>78</v>
      </c>
      <c r="N233" t="s">
        <v>79</v>
      </c>
      <c r="O233" t="s">
        <v>74</v>
      </c>
      <c r="P233" t="s">
        <v>74</v>
      </c>
      <c r="Q233" t="s">
        <v>74</v>
      </c>
      <c r="R233" t="s">
        <v>74</v>
      </c>
      <c r="S233" t="s">
        <v>74</v>
      </c>
      <c r="T233" t="s">
        <v>4968</v>
      </c>
      <c r="U233" t="s">
        <v>4969</v>
      </c>
      <c r="V233" t="s">
        <v>4970</v>
      </c>
      <c r="W233" t="s">
        <v>4971</v>
      </c>
      <c r="X233" t="s">
        <v>4972</v>
      </c>
      <c r="Y233" t="s">
        <v>4973</v>
      </c>
      <c r="Z233" t="s">
        <v>4974</v>
      </c>
      <c r="AA233" t="s">
        <v>4975</v>
      </c>
      <c r="AB233" t="s">
        <v>4976</v>
      </c>
      <c r="AC233" t="s">
        <v>4977</v>
      </c>
      <c r="AD233" t="s">
        <v>4978</v>
      </c>
      <c r="AE233" t="s">
        <v>4979</v>
      </c>
      <c r="AF233" t="s">
        <v>74</v>
      </c>
      <c r="AG233">
        <v>44</v>
      </c>
      <c r="AH233">
        <v>5</v>
      </c>
      <c r="AI233">
        <v>5</v>
      </c>
      <c r="AJ233">
        <v>1</v>
      </c>
      <c r="AK233">
        <v>9</v>
      </c>
      <c r="AL233" t="s">
        <v>119</v>
      </c>
      <c r="AM233" t="s">
        <v>120</v>
      </c>
      <c r="AN233" t="s">
        <v>121</v>
      </c>
      <c r="AO233" t="s">
        <v>74</v>
      </c>
      <c r="AP233" t="s">
        <v>122</v>
      </c>
      <c r="AQ233" t="s">
        <v>74</v>
      </c>
      <c r="AR233" t="s">
        <v>123</v>
      </c>
      <c r="AS233" t="s">
        <v>124</v>
      </c>
      <c r="AT233" t="s">
        <v>4943</v>
      </c>
      <c r="AU233">
        <v>2021</v>
      </c>
      <c r="AV233">
        <v>8</v>
      </c>
      <c r="AW233" t="s">
        <v>74</v>
      </c>
      <c r="AX233" t="s">
        <v>74</v>
      </c>
      <c r="AY233" t="s">
        <v>74</v>
      </c>
      <c r="AZ233" t="s">
        <v>74</v>
      </c>
      <c r="BA233" t="s">
        <v>74</v>
      </c>
      <c r="BB233" t="s">
        <v>74</v>
      </c>
      <c r="BC233" t="s">
        <v>74</v>
      </c>
      <c r="BD233">
        <v>680678</v>
      </c>
      <c r="BE233" t="s">
        <v>4980</v>
      </c>
      <c r="BF233" t="str">
        <f>HYPERLINK("http://dx.doi.org/10.3389/fmars.2021.680678","http://dx.doi.org/10.3389/fmars.2021.680678")</f>
        <v>http://dx.doi.org/10.3389/fmars.2021.680678</v>
      </c>
      <c r="BG233" t="s">
        <v>74</v>
      </c>
      <c r="BH233" t="s">
        <v>74</v>
      </c>
      <c r="BI233">
        <v>12</v>
      </c>
      <c r="BJ233" t="s">
        <v>127</v>
      </c>
      <c r="BK233" t="s">
        <v>128</v>
      </c>
      <c r="BL233" t="s">
        <v>129</v>
      </c>
      <c r="BM233" t="s">
        <v>4981</v>
      </c>
      <c r="BN233" t="s">
        <v>74</v>
      </c>
      <c r="BO233" t="s">
        <v>638</v>
      </c>
      <c r="BP233" t="s">
        <v>74</v>
      </c>
      <c r="BQ233" t="s">
        <v>74</v>
      </c>
      <c r="BR233" t="s">
        <v>102</v>
      </c>
      <c r="BS233" t="s">
        <v>4982</v>
      </c>
      <c r="BT233" t="str">
        <f>HYPERLINK("https%3A%2F%2Fwww.webofscience.com%2Fwos%2Fwoscc%2Ffull-record%2FWOS:000677653200001","View Full Record in Web of Science")</f>
        <v>View Full Record in Web of Science</v>
      </c>
    </row>
    <row r="234" spans="1:72" x14ac:dyDescent="0.15">
      <c r="A234" t="s">
        <v>72</v>
      </c>
      <c r="B234" t="s">
        <v>4983</v>
      </c>
      <c r="C234" t="s">
        <v>74</v>
      </c>
      <c r="D234" t="s">
        <v>74</v>
      </c>
      <c r="E234" t="s">
        <v>74</v>
      </c>
      <c r="F234" t="s">
        <v>4984</v>
      </c>
      <c r="G234" t="s">
        <v>74</v>
      </c>
      <c r="H234" t="s">
        <v>74</v>
      </c>
      <c r="I234" t="s">
        <v>4985</v>
      </c>
      <c r="J234" t="s">
        <v>107</v>
      </c>
      <c r="K234" t="s">
        <v>74</v>
      </c>
      <c r="L234" t="s">
        <v>74</v>
      </c>
      <c r="M234" t="s">
        <v>78</v>
      </c>
      <c r="N234" t="s">
        <v>79</v>
      </c>
      <c r="O234" t="s">
        <v>74</v>
      </c>
      <c r="P234" t="s">
        <v>74</v>
      </c>
      <c r="Q234" t="s">
        <v>74</v>
      </c>
      <c r="R234" t="s">
        <v>74</v>
      </c>
      <c r="S234" t="s">
        <v>74</v>
      </c>
      <c r="T234" t="s">
        <v>4986</v>
      </c>
      <c r="U234" t="s">
        <v>4987</v>
      </c>
      <c r="V234" t="s">
        <v>4988</v>
      </c>
      <c r="W234" t="s">
        <v>4989</v>
      </c>
      <c r="X234" t="s">
        <v>4990</v>
      </c>
      <c r="Y234" t="s">
        <v>4991</v>
      </c>
      <c r="Z234" t="s">
        <v>4992</v>
      </c>
      <c r="AA234" t="s">
        <v>4993</v>
      </c>
      <c r="AB234" t="s">
        <v>4994</v>
      </c>
      <c r="AC234" t="s">
        <v>4995</v>
      </c>
      <c r="AD234" t="s">
        <v>4995</v>
      </c>
      <c r="AE234" t="s">
        <v>4996</v>
      </c>
      <c r="AF234" t="s">
        <v>74</v>
      </c>
      <c r="AG234">
        <v>65</v>
      </c>
      <c r="AH234">
        <v>19</v>
      </c>
      <c r="AI234">
        <v>19</v>
      </c>
      <c r="AJ234">
        <v>5</v>
      </c>
      <c r="AK234">
        <v>30</v>
      </c>
      <c r="AL234" t="s">
        <v>119</v>
      </c>
      <c r="AM234" t="s">
        <v>120</v>
      </c>
      <c r="AN234" t="s">
        <v>121</v>
      </c>
      <c r="AO234" t="s">
        <v>74</v>
      </c>
      <c r="AP234" t="s">
        <v>122</v>
      </c>
      <c r="AQ234" t="s">
        <v>74</v>
      </c>
      <c r="AR234" t="s">
        <v>123</v>
      </c>
      <c r="AS234" t="s">
        <v>124</v>
      </c>
      <c r="AT234" t="s">
        <v>4943</v>
      </c>
      <c r="AU234">
        <v>2021</v>
      </c>
      <c r="AV234">
        <v>8</v>
      </c>
      <c r="AW234" t="s">
        <v>74</v>
      </c>
      <c r="AX234" t="s">
        <v>74</v>
      </c>
      <c r="AY234" t="s">
        <v>74</v>
      </c>
      <c r="AZ234" t="s">
        <v>74</v>
      </c>
      <c r="BA234" t="s">
        <v>74</v>
      </c>
      <c r="BB234" t="s">
        <v>74</v>
      </c>
      <c r="BC234" t="s">
        <v>74</v>
      </c>
      <c r="BD234">
        <v>690447</v>
      </c>
      <c r="BE234" t="s">
        <v>4997</v>
      </c>
      <c r="BF234" t="str">
        <f>HYPERLINK("http://dx.doi.org/10.3389/fmars.2021.690447","http://dx.doi.org/10.3389/fmars.2021.690447")</f>
        <v>http://dx.doi.org/10.3389/fmars.2021.690447</v>
      </c>
      <c r="BG234" t="s">
        <v>74</v>
      </c>
      <c r="BH234" t="s">
        <v>74</v>
      </c>
      <c r="BI234">
        <v>11</v>
      </c>
      <c r="BJ234" t="s">
        <v>127</v>
      </c>
      <c r="BK234" t="s">
        <v>128</v>
      </c>
      <c r="BL234" t="s">
        <v>129</v>
      </c>
      <c r="BM234" t="s">
        <v>4998</v>
      </c>
      <c r="BN234" t="s">
        <v>74</v>
      </c>
      <c r="BO234" t="s">
        <v>3248</v>
      </c>
      <c r="BP234" t="s">
        <v>74</v>
      </c>
      <c r="BQ234" t="s">
        <v>74</v>
      </c>
      <c r="BR234" t="s">
        <v>102</v>
      </c>
      <c r="BS234" t="s">
        <v>4999</v>
      </c>
      <c r="BT234" t="str">
        <f>HYPERLINK("https%3A%2F%2Fwww.webofscience.com%2Fwos%2Fwoscc%2Ffull-record%2FWOS:000677651000001","View Full Record in Web of Science")</f>
        <v>View Full Record in Web of Science</v>
      </c>
    </row>
    <row r="235" spans="1:72" x14ac:dyDescent="0.15">
      <c r="A235" t="s">
        <v>72</v>
      </c>
      <c r="B235" t="s">
        <v>5000</v>
      </c>
      <c r="C235" t="s">
        <v>74</v>
      </c>
      <c r="D235" t="s">
        <v>74</v>
      </c>
      <c r="E235" t="s">
        <v>74</v>
      </c>
      <c r="F235" t="s">
        <v>5001</v>
      </c>
      <c r="G235" t="s">
        <v>74</v>
      </c>
      <c r="H235" t="s">
        <v>74</v>
      </c>
      <c r="I235" t="s">
        <v>5002</v>
      </c>
      <c r="J235" t="s">
        <v>4440</v>
      </c>
      <c r="K235" t="s">
        <v>74</v>
      </c>
      <c r="L235" t="s">
        <v>74</v>
      </c>
      <c r="M235" t="s">
        <v>78</v>
      </c>
      <c r="N235" t="s">
        <v>79</v>
      </c>
      <c r="O235" t="s">
        <v>74</v>
      </c>
      <c r="P235" t="s">
        <v>74</v>
      </c>
      <c r="Q235" t="s">
        <v>74</v>
      </c>
      <c r="R235" t="s">
        <v>74</v>
      </c>
      <c r="S235" t="s">
        <v>74</v>
      </c>
      <c r="T235" t="s">
        <v>74</v>
      </c>
      <c r="U235" t="s">
        <v>5003</v>
      </c>
      <c r="V235" t="s">
        <v>5004</v>
      </c>
      <c r="W235" t="s">
        <v>5005</v>
      </c>
      <c r="X235" t="s">
        <v>5006</v>
      </c>
      <c r="Y235" t="s">
        <v>5007</v>
      </c>
      <c r="Z235" t="s">
        <v>5008</v>
      </c>
      <c r="AA235" t="s">
        <v>5009</v>
      </c>
      <c r="AB235" t="s">
        <v>5010</v>
      </c>
      <c r="AC235" t="s">
        <v>5011</v>
      </c>
      <c r="AD235" t="s">
        <v>5012</v>
      </c>
      <c r="AE235" t="s">
        <v>5013</v>
      </c>
      <c r="AF235" t="s">
        <v>74</v>
      </c>
      <c r="AG235">
        <v>58</v>
      </c>
      <c r="AH235">
        <v>14</v>
      </c>
      <c r="AI235">
        <v>14</v>
      </c>
      <c r="AJ235">
        <v>7</v>
      </c>
      <c r="AK235">
        <v>25</v>
      </c>
      <c r="AL235" t="s">
        <v>4451</v>
      </c>
      <c r="AM235" t="s">
        <v>4452</v>
      </c>
      <c r="AN235" t="s">
        <v>4453</v>
      </c>
      <c r="AO235" t="s">
        <v>4454</v>
      </c>
      <c r="AP235" t="s">
        <v>74</v>
      </c>
      <c r="AQ235" t="s">
        <v>74</v>
      </c>
      <c r="AR235" t="s">
        <v>4440</v>
      </c>
      <c r="AS235" t="s">
        <v>4455</v>
      </c>
      <c r="AT235" t="s">
        <v>4943</v>
      </c>
      <c r="AU235">
        <v>2021</v>
      </c>
      <c r="AV235">
        <v>16</v>
      </c>
      <c r="AW235">
        <v>7</v>
      </c>
      <c r="AX235" t="s">
        <v>74</v>
      </c>
      <c r="AY235" t="s">
        <v>74</v>
      </c>
      <c r="AZ235" t="s">
        <v>74</v>
      </c>
      <c r="BA235" t="s">
        <v>74</v>
      </c>
      <c r="BB235" t="s">
        <v>74</v>
      </c>
      <c r="BC235" t="s">
        <v>74</v>
      </c>
      <c r="BD235" t="s">
        <v>5014</v>
      </c>
      <c r="BE235" t="s">
        <v>5015</v>
      </c>
      <c r="BF235" t="str">
        <f>HYPERLINK("http://dx.doi.org/10.1371/journal.pone.0254348","http://dx.doi.org/10.1371/journal.pone.0254348")</f>
        <v>http://dx.doi.org/10.1371/journal.pone.0254348</v>
      </c>
      <c r="BG235" t="s">
        <v>74</v>
      </c>
      <c r="BH235" t="s">
        <v>74</v>
      </c>
      <c r="BI235">
        <v>12</v>
      </c>
      <c r="BJ235" t="s">
        <v>2609</v>
      </c>
      <c r="BK235" t="s">
        <v>100</v>
      </c>
      <c r="BL235" t="s">
        <v>2610</v>
      </c>
      <c r="BM235" t="s">
        <v>5016</v>
      </c>
      <c r="BN235">
        <v>34242339</v>
      </c>
      <c r="BO235" t="s">
        <v>1377</v>
      </c>
      <c r="BP235" t="s">
        <v>74</v>
      </c>
      <c r="BQ235" t="s">
        <v>74</v>
      </c>
      <c r="BR235" t="s">
        <v>102</v>
      </c>
      <c r="BS235" t="s">
        <v>5017</v>
      </c>
      <c r="BT235" t="str">
        <f>HYPERLINK("https%3A%2F%2Fwww.webofscience.com%2Fwos%2Fwoscc%2Ffull-record%2FWOS:000674301400142","View Full Record in Web of Science")</f>
        <v>View Full Record in Web of Science</v>
      </c>
    </row>
    <row r="236" spans="1:72" x14ac:dyDescent="0.15">
      <c r="A236" t="s">
        <v>72</v>
      </c>
      <c r="B236" t="s">
        <v>5018</v>
      </c>
      <c r="C236" t="s">
        <v>74</v>
      </c>
      <c r="D236" t="s">
        <v>74</v>
      </c>
      <c r="E236" t="s">
        <v>74</v>
      </c>
      <c r="F236" t="s">
        <v>5019</v>
      </c>
      <c r="G236" t="s">
        <v>74</v>
      </c>
      <c r="H236" t="s">
        <v>74</v>
      </c>
      <c r="I236" t="s">
        <v>5020</v>
      </c>
      <c r="J236" t="s">
        <v>5021</v>
      </c>
      <c r="K236" t="s">
        <v>74</v>
      </c>
      <c r="L236" t="s">
        <v>74</v>
      </c>
      <c r="M236" t="s">
        <v>78</v>
      </c>
      <c r="N236" t="s">
        <v>79</v>
      </c>
      <c r="O236" t="s">
        <v>74</v>
      </c>
      <c r="P236" t="s">
        <v>74</v>
      </c>
      <c r="Q236" t="s">
        <v>74</v>
      </c>
      <c r="R236" t="s">
        <v>74</v>
      </c>
      <c r="S236" t="s">
        <v>74</v>
      </c>
      <c r="T236" t="s">
        <v>5022</v>
      </c>
      <c r="U236" t="s">
        <v>5023</v>
      </c>
      <c r="V236" t="s">
        <v>5024</v>
      </c>
      <c r="W236" t="s">
        <v>5025</v>
      </c>
      <c r="X236" t="s">
        <v>5026</v>
      </c>
      <c r="Y236" t="s">
        <v>5027</v>
      </c>
      <c r="Z236" t="s">
        <v>5028</v>
      </c>
      <c r="AA236" t="s">
        <v>5029</v>
      </c>
      <c r="AB236" t="s">
        <v>5030</v>
      </c>
      <c r="AC236" t="s">
        <v>5031</v>
      </c>
      <c r="AD236" t="s">
        <v>5032</v>
      </c>
      <c r="AE236" t="s">
        <v>5033</v>
      </c>
      <c r="AF236" t="s">
        <v>74</v>
      </c>
      <c r="AG236">
        <v>94</v>
      </c>
      <c r="AH236">
        <v>2</v>
      </c>
      <c r="AI236">
        <v>2</v>
      </c>
      <c r="AJ236">
        <v>2</v>
      </c>
      <c r="AK236">
        <v>16</v>
      </c>
      <c r="AL236" t="s">
        <v>450</v>
      </c>
      <c r="AM236" t="s">
        <v>650</v>
      </c>
      <c r="AN236" t="s">
        <v>1957</v>
      </c>
      <c r="AO236" t="s">
        <v>5034</v>
      </c>
      <c r="AP236" t="s">
        <v>5035</v>
      </c>
      <c r="AQ236" t="s">
        <v>74</v>
      </c>
      <c r="AR236" t="s">
        <v>5021</v>
      </c>
      <c r="AS236" t="s">
        <v>5036</v>
      </c>
      <c r="AT236" t="s">
        <v>457</v>
      </c>
      <c r="AU236">
        <v>2022</v>
      </c>
      <c r="AV236">
        <v>25</v>
      </c>
      <c r="AW236">
        <v>2</v>
      </c>
      <c r="AX236" t="s">
        <v>74</v>
      </c>
      <c r="AY236" t="s">
        <v>74</v>
      </c>
      <c r="AZ236" t="s">
        <v>74</v>
      </c>
      <c r="BA236" t="s">
        <v>74</v>
      </c>
      <c r="BB236">
        <v>457</v>
      </c>
      <c r="BC236">
        <v>470</v>
      </c>
      <c r="BD236" t="s">
        <v>74</v>
      </c>
      <c r="BE236" t="s">
        <v>5037</v>
      </c>
      <c r="BF236" t="str">
        <f>HYPERLINK("http://dx.doi.org/10.1007/s10021-021-00665-1","http://dx.doi.org/10.1007/s10021-021-00665-1")</f>
        <v>http://dx.doi.org/10.1007/s10021-021-00665-1</v>
      </c>
      <c r="BG236" t="s">
        <v>74</v>
      </c>
      <c r="BH236" t="s">
        <v>2323</v>
      </c>
      <c r="BI236">
        <v>14</v>
      </c>
      <c r="BJ236" t="s">
        <v>1462</v>
      </c>
      <c r="BK236" t="s">
        <v>128</v>
      </c>
      <c r="BL236" t="s">
        <v>263</v>
      </c>
      <c r="BM236" t="s">
        <v>5038</v>
      </c>
      <c r="BN236" t="s">
        <v>74</v>
      </c>
      <c r="BO236" t="s">
        <v>5039</v>
      </c>
      <c r="BP236" t="s">
        <v>74</v>
      </c>
      <c r="BQ236" t="s">
        <v>74</v>
      </c>
      <c r="BR236" t="s">
        <v>102</v>
      </c>
      <c r="BS236" t="s">
        <v>5040</v>
      </c>
      <c r="BT236" t="str">
        <f>HYPERLINK("https%3A%2F%2Fwww.webofscience.com%2Fwos%2Fwoscc%2Ffull-record%2FWOS:000672115000002","View Full Record in Web of Science")</f>
        <v>View Full Record in Web of Science</v>
      </c>
    </row>
    <row r="237" spans="1:72" x14ac:dyDescent="0.15">
      <c r="A237" t="s">
        <v>72</v>
      </c>
      <c r="B237" t="s">
        <v>5041</v>
      </c>
      <c r="C237" t="s">
        <v>74</v>
      </c>
      <c r="D237" t="s">
        <v>74</v>
      </c>
      <c r="E237" t="s">
        <v>74</v>
      </c>
      <c r="F237" t="s">
        <v>5042</v>
      </c>
      <c r="G237" t="s">
        <v>74</v>
      </c>
      <c r="H237" t="s">
        <v>74</v>
      </c>
      <c r="I237" t="s">
        <v>5043</v>
      </c>
      <c r="J237" t="s">
        <v>4055</v>
      </c>
      <c r="K237" t="s">
        <v>74</v>
      </c>
      <c r="L237" t="s">
        <v>74</v>
      </c>
      <c r="M237" t="s">
        <v>78</v>
      </c>
      <c r="N237" t="s">
        <v>79</v>
      </c>
      <c r="O237" t="s">
        <v>74</v>
      </c>
      <c r="P237" t="s">
        <v>74</v>
      </c>
      <c r="Q237" t="s">
        <v>74</v>
      </c>
      <c r="R237" t="s">
        <v>74</v>
      </c>
      <c r="S237" t="s">
        <v>74</v>
      </c>
      <c r="T237" t="s">
        <v>74</v>
      </c>
      <c r="U237" t="s">
        <v>5044</v>
      </c>
      <c r="V237" t="s">
        <v>5045</v>
      </c>
      <c r="W237" t="s">
        <v>5046</v>
      </c>
      <c r="X237" t="s">
        <v>5047</v>
      </c>
      <c r="Y237" t="s">
        <v>5048</v>
      </c>
      <c r="Z237" t="s">
        <v>5049</v>
      </c>
      <c r="AA237" t="s">
        <v>5050</v>
      </c>
      <c r="AB237" t="s">
        <v>5051</v>
      </c>
      <c r="AC237" t="s">
        <v>5052</v>
      </c>
      <c r="AD237" t="s">
        <v>5053</v>
      </c>
      <c r="AE237" t="s">
        <v>5054</v>
      </c>
      <c r="AF237" t="s">
        <v>74</v>
      </c>
      <c r="AG237">
        <v>71</v>
      </c>
      <c r="AH237">
        <v>15</v>
      </c>
      <c r="AI237">
        <v>16</v>
      </c>
      <c r="AJ237">
        <v>2</v>
      </c>
      <c r="AK237">
        <v>26</v>
      </c>
      <c r="AL237" t="s">
        <v>395</v>
      </c>
      <c r="AM237" t="s">
        <v>396</v>
      </c>
      <c r="AN237" t="s">
        <v>397</v>
      </c>
      <c r="AO237" t="s">
        <v>4068</v>
      </c>
      <c r="AP237" t="s">
        <v>74</v>
      </c>
      <c r="AQ237" t="s">
        <v>74</v>
      </c>
      <c r="AR237" t="s">
        <v>4069</v>
      </c>
      <c r="AS237" t="s">
        <v>4070</v>
      </c>
      <c r="AT237" t="s">
        <v>5055</v>
      </c>
      <c r="AU237">
        <v>2021</v>
      </c>
      <c r="AV237">
        <v>12</v>
      </c>
      <c r="AW237">
        <v>1</v>
      </c>
      <c r="AX237" t="s">
        <v>74</v>
      </c>
      <c r="AY237" t="s">
        <v>74</v>
      </c>
      <c r="AZ237" t="s">
        <v>74</v>
      </c>
      <c r="BA237" t="s">
        <v>74</v>
      </c>
      <c r="BB237" t="s">
        <v>74</v>
      </c>
      <c r="BC237" t="s">
        <v>74</v>
      </c>
      <c r="BD237">
        <v>4116</v>
      </c>
      <c r="BE237" t="s">
        <v>5056</v>
      </c>
      <c r="BF237" t="str">
        <f>HYPERLINK("http://dx.doi.org/10.1038/s41467-021-24290-7","http://dx.doi.org/10.1038/s41467-021-24290-7")</f>
        <v>http://dx.doi.org/10.1038/s41467-021-24290-7</v>
      </c>
      <c r="BG237" t="s">
        <v>74</v>
      </c>
      <c r="BH237" t="s">
        <v>74</v>
      </c>
      <c r="BI237">
        <v>12</v>
      </c>
      <c r="BJ237" t="s">
        <v>2609</v>
      </c>
      <c r="BK237" t="s">
        <v>100</v>
      </c>
      <c r="BL237" t="s">
        <v>2610</v>
      </c>
      <c r="BM237" t="s">
        <v>5057</v>
      </c>
      <c r="BN237">
        <v>34238930</v>
      </c>
      <c r="BO237" t="s">
        <v>1605</v>
      </c>
      <c r="BP237" t="s">
        <v>74</v>
      </c>
      <c r="BQ237" t="s">
        <v>74</v>
      </c>
      <c r="BR237" t="s">
        <v>102</v>
      </c>
      <c r="BS237" t="s">
        <v>5058</v>
      </c>
      <c r="BT237" t="str">
        <f>HYPERLINK("https%3A%2F%2Fwww.webofscience.com%2Fwos%2Fwoscc%2Ffull-record%2FWOS:000687313000001","View Full Record in Web of Science")</f>
        <v>View Full Record in Web of Science</v>
      </c>
    </row>
    <row r="238" spans="1:72" x14ac:dyDescent="0.15">
      <c r="A238" t="s">
        <v>72</v>
      </c>
      <c r="B238" t="s">
        <v>5059</v>
      </c>
      <c r="C238" t="s">
        <v>74</v>
      </c>
      <c r="D238" t="s">
        <v>74</v>
      </c>
      <c r="E238" t="s">
        <v>74</v>
      </c>
      <c r="F238" t="s">
        <v>5060</v>
      </c>
      <c r="G238" t="s">
        <v>74</v>
      </c>
      <c r="H238" t="s">
        <v>74</v>
      </c>
      <c r="I238" t="s">
        <v>5061</v>
      </c>
      <c r="J238" t="s">
        <v>1729</v>
      </c>
      <c r="K238" t="s">
        <v>74</v>
      </c>
      <c r="L238" t="s">
        <v>74</v>
      </c>
      <c r="M238" t="s">
        <v>78</v>
      </c>
      <c r="N238" t="s">
        <v>79</v>
      </c>
      <c r="O238" t="s">
        <v>74</v>
      </c>
      <c r="P238" t="s">
        <v>74</v>
      </c>
      <c r="Q238" t="s">
        <v>74</v>
      </c>
      <c r="R238" t="s">
        <v>74</v>
      </c>
      <c r="S238" t="s">
        <v>74</v>
      </c>
      <c r="T238" t="s">
        <v>5062</v>
      </c>
      <c r="U238" t="s">
        <v>5063</v>
      </c>
      <c r="V238" t="s">
        <v>5064</v>
      </c>
      <c r="W238" t="s">
        <v>5065</v>
      </c>
      <c r="X238" t="s">
        <v>5066</v>
      </c>
      <c r="Y238" t="s">
        <v>5067</v>
      </c>
      <c r="Z238" t="s">
        <v>5068</v>
      </c>
      <c r="AA238" t="s">
        <v>74</v>
      </c>
      <c r="AB238" t="s">
        <v>5069</v>
      </c>
      <c r="AC238" t="s">
        <v>5070</v>
      </c>
      <c r="AD238" t="s">
        <v>5071</v>
      </c>
      <c r="AE238" t="s">
        <v>5072</v>
      </c>
      <c r="AF238" t="s">
        <v>74</v>
      </c>
      <c r="AG238">
        <v>122</v>
      </c>
      <c r="AH238">
        <v>14</v>
      </c>
      <c r="AI238">
        <v>15</v>
      </c>
      <c r="AJ238">
        <v>2</v>
      </c>
      <c r="AK238">
        <v>14</v>
      </c>
      <c r="AL238" t="s">
        <v>864</v>
      </c>
      <c r="AM238" t="s">
        <v>865</v>
      </c>
      <c r="AN238" t="s">
        <v>866</v>
      </c>
      <c r="AO238" t="s">
        <v>1739</v>
      </c>
      <c r="AP238" t="s">
        <v>1740</v>
      </c>
      <c r="AQ238" t="s">
        <v>74</v>
      </c>
      <c r="AR238" t="s">
        <v>1741</v>
      </c>
      <c r="AS238" t="s">
        <v>1742</v>
      </c>
      <c r="AT238" t="s">
        <v>5055</v>
      </c>
      <c r="AU238">
        <v>2021</v>
      </c>
      <c r="AV238">
        <v>126</v>
      </c>
      <c r="AW238">
        <v>13</v>
      </c>
      <c r="AX238" t="s">
        <v>74</v>
      </c>
      <c r="AY238" t="s">
        <v>74</v>
      </c>
      <c r="AZ238" t="s">
        <v>74</v>
      </c>
      <c r="BA238" t="s">
        <v>74</v>
      </c>
      <c r="BB238" t="s">
        <v>74</v>
      </c>
      <c r="BC238" t="s">
        <v>74</v>
      </c>
      <c r="BD238" t="s">
        <v>5073</v>
      </c>
      <c r="BE238" t="s">
        <v>5074</v>
      </c>
      <c r="BF238" t="str">
        <f>HYPERLINK("http://dx.doi.org/10.1029/2020JD034119","http://dx.doi.org/10.1029/2020JD034119")</f>
        <v>http://dx.doi.org/10.1029/2020JD034119</v>
      </c>
      <c r="BG238" t="s">
        <v>74</v>
      </c>
      <c r="BH238" t="s">
        <v>74</v>
      </c>
      <c r="BI238">
        <v>36</v>
      </c>
      <c r="BJ238" t="s">
        <v>567</v>
      </c>
      <c r="BK238" t="s">
        <v>128</v>
      </c>
      <c r="BL238" t="s">
        <v>567</v>
      </c>
      <c r="BM238" t="s">
        <v>5075</v>
      </c>
      <c r="BN238" t="s">
        <v>74</v>
      </c>
      <c r="BO238" t="s">
        <v>74</v>
      </c>
      <c r="BP238" t="s">
        <v>74</v>
      </c>
      <c r="BQ238" t="s">
        <v>74</v>
      </c>
      <c r="BR238" t="s">
        <v>102</v>
      </c>
      <c r="BS238" t="s">
        <v>5076</v>
      </c>
      <c r="BT238" t="str">
        <f>HYPERLINK("https%3A%2F%2Fwww.webofscience.com%2Fwos%2Fwoscc%2Ffull-record%2FWOS:000704189400008","View Full Record in Web of Science")</f>
        <v>View Full Record in Web of Science</v>
      </c>
    </row>
    <row r="239" spans="1:72" x14ac:dyDescent="0.15">
      <c r="A239" t="s">
        <v>72</v>
      </c>
      <c r="B239" t="s">
        <v>5077</v>
      </c>
      <c r="C239" t="s">
        <v>74</v>
      </c>
      <c r="D239" t="s">
        <v>74</v>
      </c>
      <c r="E239" t="s">
        <v>74</v>
      </c>
      <c r="F239" t="s">
        <v>5078</v>
      </c>
      <c r="G239" t="s">
        <v>74</v>
      </c>
      <c r="H239" t="s">
        <v>74</v>
      </c>
      <c r="I239" t="s">
        <v>5079</v>
      </c>
      <c r="J239" t="s">
        <v>1729</v>
      </c>
      <c r="K239" t="s">
        <v>74</v>
      </c>
      <c r="L239" t="s">
        <v>74</v>
      </c>
      <c r="M239" t="s">
        <v>78</v>
      </c>
      <c r="N239" t="s">
        <v>79</v>
      </c>
      <c r="O239" t="s">
        <v>74</v>
      </c>
      <c r="P239" t="s">
        <v>74</v>
      </c>
      <c r="Q239" t="s">
        <v>74</v>
      </c>
      <c r="R239" t="s">
        <v>74</v>
      </c>
      <c r="S239" t="s">
        <v>74</v>
      </c>
      <c r="T239" t="s">
        <v>74</v>
      </c>
      <c r="U239" t="s">
        <v>5080</v>
      </c>
      <c r="V239" t="s">
        <v>5081</v>
      </c>
      <c r="W239" t="s">
        <v>5082</v>
      </c>
      <c r="X239" t="s">
        <v>5083</v>
      </c>
      <c r="Y239" t="s">
        <v>5084</v>
      </c>
      <c r="Z239" t="s">
        <v>5085</v>
      </c>
      <c r="AA239" t="s">
        <v>5086</v>
      </c>
      <c r="AB239" t="s">
        <v>5087</v>
      </c>
      <c r="AC239" t="s">
        <v>5088</v>
      </c>
      <c r="AD239" t="s">
        <v>5089</v>
      </c>
      <c r="AE239" t="s">
        <v>5090</v>
      </c>
      <c r="AF239" t="s">
        <v>74</v>
      </c>
      <c r="AG239">
        <v>111</v>
      </c>
      <c r="AH239">
        <v>15</v>
      </c>
      <c r="AI239">
        <v>17</v>
      </c>
      <c r="AJ239">
        <v>1</v>
      </c>
      <c r="AK239">
        <v>9</v>
      </c>
      <c r="AL239" t="s">
        <v>864</v>
      </c>
      <c r="AM239" t="s">
        <v>865</v>
      </c>
      <c r="AN239" t="s">
        <v>866</v>
      </c>
      <c r="AO239" t="s">
        <v>1739</v>
      </c>
      <c r="AP239" t="s">
        <v>1740</v>
      </c>
      <c r="AQ239" t="s">
        <v>74</v>
      </c>
      <c r="AR239" t="s">
        <v>1741</v>
      </c>
      <c r="AS239" t="s">
        <v>1742</v>
      </c>
      <c r="AT239" t="s">
        <v>5055</v>
      </c>
      <c r="AU239">
        <v>2021</v>
      </c>
      <c r="AV239">
        <v>126</v>
      </c>
      <c r="AW239">
        <v>13</v>
      </c>
      <c r="AX239" t="s">
        <v>74</v>
      </c>
      <c r="AY239" t="s">
        <v>74</v>
      </c>
      <c r="AZ239" t="s">
        <v>74</v>
      </c>
      <c r="BA239" t="s">
        <v>74</v>
      </c>
      <c r="BB239" t="s">
        <v>74</v>
      </c>
      <c r="BC239" t="s">
        <v>74</v>
      </c>
      <c r="BD239" t="s">
        <v>5091</v>
      </c>
      <c r="BE239" t="s">
        <v>5092</v>
      </c>
      <c r="BF239" t="str">
        <f>HYPERLINK("http://dx.doi.org/10.1029/2020JD033300","http://dx.doi.org/10.1029/2020JD033300")</f>
        <v>http://dx.doi.org/10.1029/2020JD033300</v>
      </c>
      <c r="BG239" t="s">
        <v>74</v>
      </c>
      <c r="BH239" t="s">
        <v>74</v>
      </c>
      <c r="BI239">
        <v>20</v>
      </c>
      <c r="BJ239" t="s">
        <v>567</v>
      </c>
      <c r="BK239" t="s">
        <v>128</v>
      </c>
      <c r="BL239" t="s">
        <v>567</v>
      </c>
      <c r="BM239" t="s">
        <v>5075</v>
      </c>
      <c r="BN239" t="s">
        <v>74</v>
      </c>
      <c r="BO239" t="s">
        <v>408</v>
      </c>
      <c r="BP239" t="s">
        <v>74</v>
      </c>
      <c r="BQ239" t="s">
        <v>74</v>
      </c>
      <c r="BR239" t="s">
        <v>102</v>
      </c>
      <c r="BS239" t="s">
        <v>5093</v>
      </c>
      <c r="BT239" t="str">
        <f>HYPERLINK("https%3A%2F%2Fwww.webofscience.com%2Fwos%2Fwoscc%2Ffull-record%2FWOS:000704189400003","View Full Record in Web of Science")</f>
        <v>View Full Record in Web of Science</v>
      </c>
    </row>
    <row r="240" spans="1:72" x14ac:dyDescent="0.15">
      <c r="A240" t="s">
        <v>72</v>
      </c>
      <c r="B240" t="s">
        <v>5094</v>
      </c>
      <c r="C240" t="s">
        <v>74</v>
      </c>
      <c r="D240" t="s">
        <v>74</v>
      </c>
      <c r="E240" t="s">
        <v>74</v>
      </c>
      <c r="F240" t="s">
        <v>5095</v>
      </c>
      <c r="G240" t="s">
        <v>74</v>
      </c>
      <c r="H240" t="s">
        <v>74</v>
      </c>
      <c r="I240" t="s">
        <v>5096</v>
      </c>
      <c r="J240" t="s">
        <v>5097</v>
      </c>
      <c r="K240" t="s">
        <v>74</v>
      </c>
      <c r="L240" t="s">
        <v>74</v>
      </c>
      <c r="M240" t="s">
        <v>78</v>
      </c>
      <c r="N240" t="s">
        <v>79</v>
      </c>
      <c r="O240" t="s">
        <v>74</v>
      </c>
      <c r="P240" t="s">
        <v>74</v>
      </c>
      <c r="Q240" t="s">
        <v>74</v>
      </c>
      <c r="R240" t="s">
        <v>74</v>
      </c>
      <c r="S240" t="s">
        <v>74</v>
      </c>
      <c r="T240" t="s">
        <v>5098</v>
      </c>
      <c r="U240" t="s">
        <v>5099</v>
      </c>
      <c r="V240" t="s">
        <v>5100</v>
      </c>
      <c r="W240" t="s">
        <v>5101</v>
      </c>
      <c r="X240" t="s">
        <v>5102</v>
      </c>
      <c r="Y240" t="s">
        <v>5103</v>
      </c>
      <c r="Z240" t="s">
        <v>5104</v>
      </c>
      <c r="AA240" t="s">
        <v>5105</v>
      </c>
      <c r="AB240" t="s">
        <v>5106</v>
      </c>
      <c r="AC240" t="s">
        <v>5107</v>
      </c>
      <c r="AD240" t="s">
        <v>4088</v>
      </c>
      <c r="AE240" t="s">
        <v>5108</v>
      </c>
      <c r="AF240" t="s">
        <v>74</v>
      </c>
      <c r="AG240">
        <v>61</v>
      </c>
      <c r="AH240">
        <v>0</v>
      </c>
      <c r="AI240">
        <v>0</v>
      </c>
      <c r="AJ240">
        <v>2</v>
      </c>
      <c r="AK240">
        <v>22</v>
      </c>
      <c r="AL240" t="s">
        <v>3526</v>
      </c>
      <c r="AM240" t="s">
        <v>650</v>
      </c>
      <c r="AN240" t="s">
        <v>3527</v>
      </c>
      <c r="AO240" t="s">
        <v>5109</v>
      </c>
      <c r="AP240" t="s">
        <v>5110</v>
      </c>
      <c r="AQ240" t="s">
        <v>74</v>
      </c>
      <c r="AR240" t="s">
        <v>5111</v>
      </c>
      <c r="AS240" t="s">
        <v>5112</v>
      </c>
      <c r="AT240" t="s">
        <v>204</v>
      </c>
      <c r="AU240">
        <v>2021</v>
      </c>
      <c r="AV240">
        <v>248</v>
      </c>
      <c r="AW240" t="s">
        <v>74</v>
      </c>
      <c r="AX240" t="s">
        <v>74</v>
      </c>
      <c r="AY240" t="s">
        <v>74</v>
      </c>
      <c r="AZ240" t="s">
        <v>74</v>
      </c>
      <c r="BA240" t="s">
        <v>74</v>
      </c>
      <c r="BB240" t="s">
        <v>74</v>
      </c>
      <c r="BC240" t="s">
        <v>74</v>
      </c>
      <c r="BD240">
        <v>109120</v>
      </c>
      <c r="BE240" t="s">
        <v>5113</v>
      </c>
      <c r="BF240" t="str">
        <f>HYPERLINK("http://dx.doi.org/10.1016/j.cbpc.2021.109120","http://dx.doi.org/10.1016/j.cbpc.2021.109120")</f>
        <v>http://dx.doi.org/10.1016/j.cbpc.2021.109120</v>
      </c>
      <c r="BG240" t="s">
        <v>74</v>
      </c>
      <c r="BH240" t="s">
        <v>2323</v>
      </c>
      <c r="BI240">
        <v>9</v>
      </c>
      <c r="BJ240" t="s">
        <v>5114</v>
      </c>
      <c r="BK240" t="s">
        <v>128</v>
      </c>
      <c r="BL240" t="s">
        <v>5114</v>
      </c>
      <c r="BM240" t="s">
        <v>5115</v>
      </c>
      <c r="BN240">
        <v>34182096</v>
      </c>
      <c r="BO240" t="s">
        <v>74</v>
      </c>
      <c r="BP240" t="s">
        <v>74</v>
      </c>
      <c r="BQ240" t="s">
        <v>74</v>
      </c>
      <c r="BR240" t="s">
        <v>102</v>
      </c>
      <c r="BS240" t="s">
        <v>5116</v>
      </c>
      <c r="BT240" t="str">
        <f>HYPERLINK("https%3A%2F%2Fwww.webofscience.com%2Fwos%2Fwoscc%2Ffull-record%2FWOS:000684272700001","View Full Record in Web of Science")</f>
        <v>View Full Record in Web of Science</v>
      </c>
    </row>
    <row r="241" spans="1:72" x14ac:dyDescent="0.15">
      <c r="A241" t="s">
        <v>72</v>
      </c>
      <c r="B241" t="s">
        <v>5117</v>
      </c>
      <c r="C241" t="s">
        <v>74</v>
      </c>
      <c r="D241" t="s">
        <v>74</v>
      </c>
      <c r="E241" t="s">
        <v>74</v>
      </c>
      <c r="F241" t="s">
        <v>5118</v>
      </c>
      <c r="G241" t="s">
        <v>74</v>
      </c>
      <c r="H241" t="s">
        <v>74</v>
      </c>
      <c r="I241" t="s">
        <v>5119</v>
      </c>
      <c r="J241" t="s">
        <v>3729</v>
      </c>
      <c r="K241" t="s">
        <v>74</v>
      </c>
      <c r="L241" t="s">
        <v>74</v>
      </c>
      <c r="M241" t="s">
        <v>78</v>
      </c>
      <c r="N241" t="s">
        <v>79</v>
      </c>
      <c r="O241" t="s">
        <v>74</v>
      </c>
      <c r="P241" t="s">
        <v>74</v>
      </c>
      <c r="Q241" t="s">
        <v>74</v>
      </c>
      <c r="R241" t="s">
        <v>74</v>
      </c>
      <c r="S241" t="s">
        <v>74</v>
      </c>
      <c r="T241" t="s">
        <v>5120</v>
      </c>
      <c r="U241" t="s">
        <v>5121</v>
      </c>
      <c r="V241" t="s">
        <v>5122</v>
      </c>
      <c r="W241" t="s">
        <v>5123</v>
      </c>
      <c r="X241" t="s">
        <v>5124</v>
      </c>
      <c r="Y241" t="s">
        <v>5125</v>
      </c>
      <c r="Z241" t="s">
        <v>5126</v>
      </c>
      <c r="AA241" t="s">
        <v>5127</v>
      </c>
      <c r="AB241" t="s">
        <v>5128</v>
      </c>
      <c r="AC241" t="s">
        <v>5129</v>
      </c>
      <c r="AD241" t="s">
        <v>5130</v>
      </c>
      <c r="AE241" t="s">
        <v>5131</v>
      </c>
      <c r="AF241" t="s">
        <v>74</v>
      </c>
      <c r="AG241">
        <v>110</v>
      </c>
      <c r="AH241">
        <v>4</v>
      </c>
      <c r="AI241">
        <v>6</v>
      </c>
      <c r="AJ241">
        <v>2</v>
      </c>
      <c r="AK241">
        <v>15</v>
      </c>
      <c r="AL241" t="s">
        <v>281</v>
      </c>
      <c r="AM241" t="s">
        <v>228</v>
      </c>
      <c r="AN241" t="s">
        <v>282</v>
      </c>
      <c r="AO241" t="s">
        <v>3742</v>
      </c>
      <c r="AP241" t="s">
        <v>3743</v>
      </c>
      <c r="AQ241" t="s">
        <v>74</v>
      </c>
      <c r="AR241" t="s">
        <v>3744</v>
      </c>
      <c r="AS241" t="s">
        <v>3745</v>
      </c>
      <c r="AT241" t="s">
        <v>3746</v>
      </c>
      <c r="AU241">
        <v>2021</v>
      </c>
      <c r="AV241">
        <v>266</v>
      </c>
      <c r="AW241" t="s">
        <v>74</v>
      </c>
      <c r="AX241" t="s">
        <v>74</v>
      </c>
      <c r="AY241" t="s">
        <v>74</v>
      </c>
      <c r="AZ241" t="s">
        <v>74</v>
      </c>
      <c r="BA241" t="s">
        <v>74</v>
      </c>
      <c r="BB241" t="s">
        <v>74</v>
      </c>
      <c r="BC241" t="s">
        <v>74</v>
      </c>
      <c r="BD241">
        <v>107077</v>
      </c>
      <c r="BE241" t="s">
        <v>5132</v>
      </c>
      <c r="BF241" t="str">
        <f>HYPERLINK("http://dx.doi.org/10.1016/j.quascirev.2021.107077","http://dx.doi.org/10.1016/j.quascirev.2021.107077")</f>
        <v>http://dx.doi.org/10.1016/j.quascirev.2021.107077</v>
      </c>
      <c r="BG241" t="s">
        <v>74</v>
      </c>
      <c r="BH241" t="s">
        <v>2323</v>
      </c>
      <c r="BI241">
        <v>15</v>
      </c>
      <c r="BJ241" t="s">
        <v>151</v>
      </c>
      <c r="BK241" t="s">
        <v>128</v>
      </c>
      <c r="BL241" t="s">
        <v>152</v>
      </c>
      <c r="BM241" t="s">
        <v>3934</v>
      </c>
      <c r="BN241" t="s">
        <v>74</v>
      </c>
      <c r="BO241" t="s">
        <v>291</v>
      </c>
      <c r="BP241" t="s">
        <v>74</v>
      </c>
      <c r="BQ241" t="s">
        <v>74</v>
      </c>
      <c r="BR241" t="s">
        <v>102</v>
      </c>
      <c r="BS241" t="s">
        <v>5133</v>
      </c>
      <c r="BT241" t="str">
        <f>HYPERLINK("https%3A%2F%2Fwww.webofscience.com%2Fwos%2Fwoscc%2Ffull-record%2FWOS:000684295900001","View Full Record in Web of Science")</f>
        <v>View Full Record in Web of Science</v>
      </c>
    </row>
    <row r="242" spans="1:72" x14ac:dyDescent="0.15">
      <c r="A242" t="s">
        <v>72</v>
      </c>
      <c r="B242" t="s">
        <v>5134</v>
      </c>
      <c r="C242" t="s">
        <v>74</v>
      </c>
      <c r="D242" t="s">
        <v>74</v>
      </c>
      <c r="E242" t="s">
        <v>74</v>
      </c>
      <c r="F242" t="s">
        <v>5135</v>
      </c>
      <c r="G242" t="s">
        <v>74</v>
      </c>
      <c r="H242" t="s">
        <v>74</v>
      </c>
      <c r="I242" t="s">
        <v>5136</v>
      </c>
      <c r="J242" t="s">
        <v>2396</v>
      </c>
      <c r="K242" t="s">
        <v>74</v>
      </c>
      <c r="L242" t="s">
        <v>74</v>
      </c>
      <c r="M242" t="s">
        <v>78</v>
      </c>
      <c r="N242" t="s">
        <v>79</v>
      </c>
      <c r="O242" t="s">
        <v>74</v>
      </c>
      <c r="P242" t="s">
        <v>74</v>
      </c>
      <c r="Q242" t="s">
        <v>74</v>
      </c>
      <c r="R242" t="s">
        <v>74</v>
      </c>
      <c r="S242" t="s">
        <v>74</v>
      </c>
      <c r="T242" t="s">
        <v>74</v>
      </c>
      <c r="U242" t="s">
        <v>5137</v>
      </c>
      <c r="V242" t="s">
        <v>5138</v>
      </c>
      <c r="W242" t="s">
        <v>5139</v>
      </c>
      <c r="X242" t="s">
        <v>5140</v>
      </c>
      <c r="Y242" t="s">
        <v>5141</v>
      </c>
      <c r="Z242" t="s">
        <v>5142</v>
      </c>
      <c r="AA242" t="s">
        <v>5143</v>
      </c>
      <c r="AB242" t="s">
        <v>5144</v>
      </c>
      <c r="AC242" t="s">
        <v>5145</v>
      </c>
      <c r="AD242" t="s">
        <v>5146</v>
      </c>
      <c r="AE242" t="s">
        <v>5147</v>
      </c>
      <c r="AF242" t="s">
        <v>74</v>
      </c>
      <c r="AG242">
        <v>64</v>
      </c>
      <c r="AH242">
        <v>8</v>
      </c>
      <c r="AI242">
        <v>10</v>
      </c>
      <c r="AJ242">
        <v>0</v>
      </c>
      <c r="AK242">
        <v>19</v>
      </c>
      <c r="AL242" t="s">
        <v>143</v>
      </c>
      <c r="AM242" t="s">
        <v>144</v>
      </c>
      <c r="AN242" t="s">
        <v>145</v>
      </c>
      <c r="AO242" t="s">
        <v>2408</v>
      </c>
      <c r="AP242" t="s">
        <v>2409</v>
      </c>
      <c r="AQ242" t="s">
        <v>74</v>
      </c>
      <c r="AR242" t="s">
        <v>2396</v>
      </c>
      <c r="AS242" t="s">
        <v>2410</v>
      </c>
      <c r="AT242" t="s">
        <v>5055</v>
      </c>
      <c r="AU242">
        <v>2021</v>
      </c>
      <c r="AV242">
        <v>15</v>
      </c>
      <c r="AW242">
        <v>7</v>
      </c>
      <c r="AX242" t="s">
        <v>74</v>
      </c>
      <c r="AY242" t="s">
        <v>74</v>
      </c>
      <c r="AZ242" t="s">
        <v>74</v>
      </c>
      <c r="BA242" t="s">
        <v>74</v>
      </c>
      <c r="BB242">
        <v>3135</v>
      </c>
      <c r="BC242">
        <v>3157</v>
      </c>
      <c r="BD242" t="s">
        <v>74</v>
      </c>
      <c r="BE242" t="s">
        <v>5148</v>
      </c>
      <c r="BF242" t="str">
        <f>HYPERLINK("http://dx.doi.org/10.5194/tc-15-3135-2021","http://dx.doi.org/10.5194/tc-15-3135-2021")</f>
        <v>http://dx.doi.org/10.5194/tc-15-3135-2021</v>
      </c>
      <c r="BG242" t="s">
        <v>74</v>
      </c>
      <c r="BH242" t="s">
        <v>74</v>
      </c>
      <c r="BI242">
        <v>23</v>
      </c>
      <c r="BJ242" t="s">
        <v>151</v>
      </c>
      <c r="BK242" t="s">
        <v>128</v>
      </c>
      <c r="BL242" t="s">
        <v>152</v>
      </c>
      <c r="BM242" t="s">
        <v>5149</v>
      </c>
      <c r="BN242" t="s">
        <v>74</v>
      </c>
      <c r="BO242" t="s">
        <v>353</v>
      </c>
      <c r="BP242" t="s">
        <v>74</v>
      </c>
      <c r="BQ242" t="s">
        <v>74</v>
      </c>
      <c r="BR242" t="s">
        <v>102</v>
      </c>
      <c r="BS242" t="s">
        <v>5150</v>
      </c>
      <c r="BT242" t="str">
        <f>HYPERLINK("https%3A%2F%2Fwww.webofscience.com%2Fwos%2Fwoscc%2Ffull-record%2FWOS:000672344300001","View Full Record in Web of Science")</f>
        <v>View Full Record in Web of Science</v>
      </c>
    </row>
    <row r="243" spans="1:72" x14ac:dyDescent="0.15">
      <c r="A243" t="s">
        <v>72</v>
      </c>
      <c r="B243" t="s">
        <v>5151</v>
      </c>
      <c r="C243" t="s">
        <v>74</v>
      </c>
      <c r="D243" t="s">
        <v>74</v>
      </c>
      <c r="E243" t="s">
        <v>74</v>
      </c>
      <c r="F243" t="s">
        <v>5152</v>
      </c>
      <c r="G243" t="s">
        <v>74</v>
      </c>
      <c r="H243" t="s">
        <v>74</v>
      </c>
      <c r="I243" t="s">
        <v>5153</v>
      </c>
      <c r="J243" t="s">
        <v>5154</v>
      </c>
      <c r="K243" t="s">
        <v>74</v>
      </c>
      <c r="L243" t="s">
        <v>74</v>
      </c>
      <c r="M243" t="s">
        <v>78</v>
      </c>
      <c r="N243" t="s">
        <v>79</v>
      </c>
      <c r="O243" t="s">
        <v>74</v>
      </c>
      <c r="P243" t="s">
        <v>74</v>
      </c>
      <c r="Q243" t="s">
        <v>74</v>
      </c>
      <c r="R243" t="s">
        <v>74</v>
      </c>
      <c r="S243" t="s">
        <v>74</v>
      </c>
      <c r="T243" t="s">
        <v>5155</v>
      </c>
      <c r="U243" t="s">
        <v>5156</v>
      </c>
      <c r="V243" t="s">
        <v>5157</v>
      </c>
      <c r="W243" t="s">
        <v>5158</v>
      </c>
      <c r="X243" t="s">
        <v>5159</v>
      </c>
      <c r="Y243" t="s">
        <v>5160</v>
      </c>
      <c r="Z243" t="s">
        <v>5161</v>
      </c>
      <c r="AA243" t="s">
        <v>74</v>
      </c>
      <c r="AB243" t="s">
        <v>5162</v>
      </c>
      <c r="AC243" t="s">
        <v>5163</v>
      </c>
      <c r="AD243" t="s">
        <v>5164</v>
      </c>
      <c r="AE243" t="s">
        <v>5165</v>
      </c>
      <c r="AF243" t="s">
        <v>74</v>
      </c>
      <c r="AG243">
        <v>68</v>
      </c>
      <c r="AH243">
        <v>12</v>
      </c>
      <c r="AI243">
        <v>12</v>
      </c>
      <c r="AJ243">
        <v>2</v>
      </c>
      <c r="AK243">
        <v>14</v>
      </c>
      <c r="AL243" t="s">
        <v>5166</v>
      </c>
      <c r="AM243" t="s">
        <v>5167</v>
      </c>
      <c r="AN243" t="s">
        <v>5168</v>
      </c>
      <c r="AO243" t="s">
        <v>5169</v>
      </c>
      <c r="AP243" t="s">
        <v>5170</v>
      </c>
      <c r="AQ243" t="s">
        <v>74</v>
      </c>
      <c r="AR243" t="s">
        <v>5171</v>
      </c>
      <c r="AS243" t="s">
        <v>5172</v>
      </c>
      <c r="AT243" t="s">
        <v>5055</v>
      </c>
      <c r="AU243">
        <v>2021</v>
      </c>
      <c r="AV243">
        <v>669</v>
      </c>
      <c r="AW243" t="s">
        <v>74</v>
      </c>
      <c r="AX243" t="s">
        <v>74</v>
      </c>
      <c r="AY243" t="s">
        <v>74</v>
      </c>
      <c r="AZ243" t="s">
        <v>74</v>
      </c>
      <c r="BA243" t="s">
        <v>74</v>
      </c>
      <c r="BB243">
        <v>1</v>
      </c>
      <c r="BC243">
        <v>16</v>
      </c>
      <c r="BD243" t="s">
        <v>74</v>
      </c>
      <c r="BE243" t="s">
        <v>5173</v>
      </c>
      <c r="BF243" t="str">
        <f>HYPERLINK("http://dx.doi.org/10.3354/meps13771","http://dx.doi.org/10.3354/meps13771")</f>
        <v>http://dx.doi.org/10.3354/meps13771</v>
      </c>
      <c r="BG243" t="s">
        <v>74</v>
      </c>
      <c r="BH243" t="s">
        <v>74</v>
      </c>
      <c r="BI243">
        <v>16</v>
      </c>
      <c r="BJ243" t="s">
        <v>5174</v>
      </c>
      <c r="BK243" t="s">
        <v>128</v>
      </c>
      <c r="BL243" t="s">
        <v>5175</v>
      </c>
      <c r="BM243" t="s">
        <v>5176</v>
      </c>
      <c r="BN243" t="s">
        <v>74</v>
      </c>
      <c r="BO243" t="s">
        <v>291</v>
      </c>
      <c r="BP243" t="s">
        <v>74</v>
      </c>
      <c r="BQ243" t="s">
        <v>74</v>
      </c>
      <c r="BR243" t="s">
        <v>102</v>
      </c>
      <c r="BS243" t="s">
        <v>5177</v>
      </c>
      <c r="BT243" t="str">
        <f>HYPERLINK("https%3A%2F%2Fwww.webofscience.com%2Fwos%2Fwoscc%2Ffull-record%2FWOS:000672774400001","View Full Record in Web of Science")</f>
        <v>View Full Record in Web of Science</v>
      </c>
    </row>
    <row r="244" spans="1:72" x14ac:dyDescent="0.15">
      <c r="A244" t="s">
        <v>72</v>
      </c>
      <c r="B244" t="s">
        <v>5178</v>
      </c>
      <c r="C244" t="s">
        <v>74</v>
      </c>
      <c r="D244" t="s">
        <v>74</v>
      </c>
      <c r="E244" t="s">
        <v>74</v>
      </c>
      <c r="F244" t="s">
        <v>5179</v>
      </c>
      <c r="G244" t="s">
        <v>74</v>
      </c>
      <c r="H244" t="s">
        <v>74</v>
      </c>
      <c r="I244" t="s">
        <v>5180</v>
      </c>
      <c r="J244" t="s">
        <v>5154</v>
      </c>
      <c r="K244" t="s">
        <v>74</v>
      </c>
      <c r="L244" t="s">
        <v>74</v>
      </c>
      <c r="M244" t="s">
        <v>78</v>
      </c>
      <c r="N244" t="s">
        <v>79</v>
      </c>
      <c r="O244" t="s">
        <v>74</v>
      </c>
      <c r="P244" t="s">
        <v>74</v>
      </c>
      <c r="Q244" t="s">
        <v>74</v>
      </c>
      <c r="R244" t="s">
        <v>74</v>
      </c>
      <c r="S244" t="s">
        <v>74</v>
      </c>
      <c r="T244" t="s">
        <v>5181</v>
      </c>
      <c r="U244" t="s">
        <v>5182</v>
      </c>
      <c r="V244" t="s">
        <v>5183</v>
      </c>
      <c r="W244" t="s">
        <v>5184</v>
      </c>
      <c r="X244" t="s">
        <v>5185</v>
      </c>
      <c r="Y244" t="s">
        <v>5186</v>
      </c>
      <c r="Z244" t="s">
        <v>5187</v>
      </c>
      <c r="AA244" t="s">
        <v>74</v>
      </c>
      <c r="AB244" t="s">
        <v>74</v>
      </c>
      <c r="AC244" t="s">
        <v>5188</v>
      </c>
      <c r="AD244" t="s">
        <v>5189</v>
      </c>
      <c r="AE244" t="s">
        <v>5190</v>
      </c>
      <c r="AF244" t="s">
        <v>74</v>
      </c>
      <c r="AG244">
        <v>102</v>
      </c>
      <c r="AH244">
        <v>10</v>
      </c>
      <c r="AI244">
        <v>11</v>
      </c>
      <c r="AJ244">
        <v>2</v>
      </c>
      <c r="AK244">
        <v>16</v>
      </c>
      <c r="AL244" t="s">
        <v>5166</v>
      </c>
      <c r="AM244" t="s">
        <v>5167</v>
      </c>
      <c r="AN244" t="s">
        <v>5168</v>
      </c>
      <c r="AO244" t="s">
        <v>5169</v>
      </c>
      <c r="AP244" t="s">
        <v>5170</v>
      </c>
      <c r="AQ244" t="s">
        <v>74</v>
      </c>
      <c r="AR244" t="s">
        <v>5171</v>
      </c>
      <c r="AS244" t="s">
        <v>5172</v>
      </c>
      <c r="AT244" t="s">
        <v>5055</v>
      </c>
      <c r="AU244">
        <v>2021</v>
      </c>
      <c r="AV244">
        <v>669</v>
      </c>
      <c r="AW244" t="s">
        <v>74</v>
      </c>
      <c r="AX244" t="s">
        <v>74</v>
      </c>
      <c r="AY244" t="s">
        <v>74</v>
      </c>
      <c r="AZ244" t="s">
        <v>74</v>
      </c>
      <c r="BA244" t="s">
        <v>74</v>
      </c>
      <c r="BB244">
        <v>65</v>
      </c>
      <c r="BC244">
        <v>82</v>
      </c>
      <c r="BD244" t="s">
        <v>74</v>
      </c>
      <c r="BE244" t="s">
        <v>5191</v>
      </c>
      <c r="BF244" t="str">
        <f>HYPERLINK("http://dx.doi.org/10.3354/meps13720","http://dx.doi.org/10.3354/meps13720")</f>
        <v>http://dx.doi.org/10.3354/meps13720</v>
      </c>
      <c r="BG244" t="s">
        <v>74</v>
      </c>
      <c r="BH244" t="s">
        <v>74</v>
      </c>
      <c r="BI244">
        <v>18</v>
      </c>
      <c r="BJ244" t="s">
        <v>5174</v>
      </c>
      <c r="BK244" t="s">
        <v>128</v>
      </c>
      <c r="BL244" t="s">
        <v>5175</v>
      </c>
      <c r="BM244" t="s">
        <v>5176</v>
      </c>
      <c r="BN244" t="s">
        <v>74</v>
      </c>
      <c r="BO244" t="s">
        <v>291</v>
      </c>
      <c r="BP244" t="s">
        <v>74</v>
      </c>
      <c r="BQ244" t="s">
        <v>74</v>
      </c>
      <c r="BR244" t="s">
        <v>102</v>
      </c>
      <c r="BS244" t="s">
        <v>5192</v>
      </c>
      <c r="BT244" t="str">
        <f>HYPERLINK("https%3A%2F%2Fwww.webofscience.com%2Fwos%2Fwoscc%2Ffull-record%2FWOS:000672774400005","View Full Record in Web of Science")</f>
        <v>View Full Record in Web of Science</v>
      </c>
    </row>
    <row r="245" spans="1:72" x14ac:dyDescent="0.15">
      <c r="A245" t="s">
        <v>72</v>
      </c>
      <c r="B245" t="s">
        <v>5193</v>
      </c>
      <c r="C245" t="s">
        <v>74</v>
      </c>
      <c r="D245" t="s">
        <v>74</v>
      </c>
      <c r="E245" t="s">
        <v>74</v>
      </c>
      <c r="F245" t="s">
        <v>5194</v>
      </c>
      <c r="G245" t="s">
        <v>74</v>
      </c>
      <c r="H245" t="s">
        <v>74</v>
      </c>
      <c r="I245" t="s">
        <v>5195</v>
      </c>
      <c r="J245" t="s">
        <v>5196</v>
      </c>
      <c r="K245" t="s">
        <v>74</v>
      </c>
      <c r="L245" t="s">
        <v>74</v>
      </c>
      <c r="M245" t="s">
        <v>78</v>
      </c>
      <c r="N245" t="s">
        <v>5197</v>
      </c>
      <c r="O245" t="s">
        <v>74</v>
      </c>
      <c r="P245" t="s">
        <v>74</v>
      </c>
      <c r="Q245" t="s">
        <v>74</v>
      </c>
      <c r="R245" t="s">
        <v>74</v>
      </c>
      <c r="S245" t="s">
        <v>74</v>
      </c>
      <c r="T245" t="s">
        <v>74</v>
      </c>
      <c r="U245" t="s">
        <v>5198</v>
      </c>
      <c r="V245" t="s">
        <v>74</v>
      </c>
      <c r="W245" t="s">
        <v>5199</v>
      </c>
      <c r="X245" t="s">
        <v>5200</v>
      </c>
      <c r="Y245" t="s">
        <v>5201</v>
      </c>
      <c r="Z245" t="s">
        <v>5202</v>
      </c>
      <c r="AA245" t="s">
        <v>5203</v>
      </c>
      <c r="AB245" t="s">
        <v>5204</v>
      </c>
      <c r="AC245" t="s">
        <v>5205</v>
      </c>
      <c r="AD245" t="s">
        <v>5206</v>
      </c>
      <c r="AE245" t="s">
        <v>5207</v>
      </c>
      <c r="AF245" t="s">
        <v>74</v>
      </c>
      <c r="AG245">
        <v>15</v>
      </c>
      <c r="AH245">
        <v>8</v>
      </c>
      <c r="AI245">
        <v>8</v>
      </c>
      <c r="AJ245">
        <v>2</v>
      </c>
      <c r="AK245">
        <v>24</v>
      </c>
      <c r="AL245" t="s">
        <v>395</v>
      </c>
      <c r="AM245" t="s">
        <v>396</v>
      </c>
      <c r="AN245" t="s">
        <v>397</v>
      </c>
      <c r="AO245" t="s">
        <v>5208</v>
      </c>
      <c r="AP245" t="s">
        <v>5209</v>
      </c>
      <c r="AQ245" t="s">
        <v>74</v>
      </c>
      <c r="AR245" t="s">
        <v>5196</v>
      </c>
      <c r="AS245" t="s">
        <v>5210</v>
      </c>
      <c r="AT245" t="s">
        <v>5055</v>
      </c>
      <c r="AU245">
        <v>2021</v>
      </c>
      <c r="AV245">
        <v>595</v>
      </c>
      <c r="AW245">
        <v>7866</v>
      </c>
      <c r="AX245" t="s">
        <v>74</v>
      </c>
      <c r="AY245" t="s">
        <v>74</v>
      </c>
      <c r="AZ245" t="s">
        <v>74</v>
      </c>
      <c r="BA245" t="s">
        <v>74</v>
      </c>
      <c r="BB245" t="s">
        <v>5211</v>
      </c>
      <c r="BC245" t="s">
        <v>5212</v>
      </c>
      <c r="BD245" t="s">
        <v>74</v>
      </c>
      <c r="BE245" t="s">
        <v>5213</v>
      </c>
      <c r="BF245" t="str">
        <f>HYPERLINK("http://dx.doi.org/10.1038/s41586-021-03397-3","http://dx.doi.org/10.1038/s41586-021-03397-3")</f>
        <v>http://dx.doi.org/10.1038/s41586-021-03397-3</v>
      </c>
      <c r="BG245" t="s">
        <v>74</v>
      </c>
      <c r="BH245" t="s">
        <v>74</v>
      </c>
      <c r="BI245">
        <v>9</v>
      </c>
      <c r="BJ245" t="s">
        <v>2609</v>
      </c>
      <c r="BK245" t="s">
        <v>128</v>
      </c>
      <c r="BL245" t="s">
        <v>2610</v>
      </c>
      <c r="BM245" t="s">
        <v>5214</v>
      </c>
      <c r="BN245">
        <v>34234330</v>
      </c>
      <c r="BO245" t="s">
        <v>514</v>
      </c>
      <c r="BP245" t="s">
        <v>74</v>
      </c>
      <c r="BQ245" t="s">
        <v>74</v>
      </c>
      <c r="BR245" t="s">
        <v>102</v>
      </c>
      <c r="BS245" t="s">
        <v>5215</v>
      </c>
      <c r="BT245" t="str">
        <f>HYPERLINK("https%3A%2F%2Fwww.webofscience.com%2Fwos%2Fwoscc%2Ffull-record%2FWOS:000671377900016","View Full Record in Web of Science")</f>
        <v>View Full Record in Web of Science</v>
      </c>
    </row>
    <row r="246" spans="1:72" x14ac:dyDescent="0.15">
      <c r="A246" t="s">
        <v>72</v>
      </c>
      <c r="B246" t="s">
        <v>5216</v>
      </c>
      <c r="C246" t="s">
        <v>74</v>
      </c>
      <c r="D246" t="s">
        <v>74</v>
      </c>
      <c r="E246" t="s">
        <v>74</v>
      </c>
      <c r="F246" t="s">
        <v>5217</v>
      </c>
      <c r="G246" t="s">
        <v>74</v>
      </c>
      <c r="H246" t="s">
        <v>74</v>
      </c>
      <c r="I246" t="s">
        <v>5218</v>
      </c>
      <c r="J246" t="s">
        <v>5196</v>
      </c>
      <c r="K246" t="s">
        <v>74</v>
      </c>
      <c r="L246" t="s">
        <v>74</v>
      </c>
      <c r="M246" t="s">
        <v>78</v>
      </c>
      <c r="N246" t="s">
        <v>5197</v>
      </c>
      <c r="O246" t="s">
        <v>74</v>
      </c>
      <c r="P246" t="s">
        <v>74</v>
      </c>
      <c r="Q246" t="s">
        <v>74</v>
      </c>
      <c r="R246" t="s">
        <v>74</v>
      </c>
      <c r="S246" t="s">
        <v>74</v>
      </c>
      <c r="T246" t="s">
        <v>74</v>
      </c>
      <c r="U246" t="s">
        <v>74</v>
      </c>
      <c r="V246" t="s">
        <v>74</v>
      </c>
      <c r="W246" t="s">
        <v>5219</v>
      </c>
      <c r="X246" t="s">
        <v>5220</v>
      </c>
      <c r="Y246" t="s">
        <v>5201</v>
      </c>
      <c r="Z246" t="s">
        <v>5202</v>
      </c>
      <c r="AA246" t="s">
        <v>5221</v>
      </c>
      <c r="AB246" t="s">
        <v>5222</v>
      </c>
      <c r="AC246" t="s">
        <v>5223</v>
      </c>
      <c r="AD246" t="s">
        <v>5224</v>
      </c>
      <c r="AE246" t="s">
        <v>5225</v>
      </c>
      <c r="AF246" t="s">
        <v>74</v>
      </c>
      <c r="AG246">
        <v>14</v>
      </c>
      <c r="AH246">
        <v>5</v>
      </c>
      <c r="AI246">
        <v>5</v>
      </c>
      <c r="AJ246">
        <v>1</v>
      </c>
      <c r="AK246">
        <v>38</v>
      </c>
      <c r="AL246" t="s">
        <v>395</v>
      </c>
      <c r="AM246" t="s">
        <v>396</v>
      </c>
      <c r="AN246" t="s">
        <v>397</v>
      </c>
      <c r="AO246" t="s">
        <v>5208</v>
      </c>
      <c r="AP246" t="s">
        <v>5209</v>
      </c>
      <c r="AQ246" t="s">
        <v>74</v>
      </c>
      <c r="AR246" t="s">
        <v>5196</v>
      </c>
      <c r="AS246" t="s">
        <v>5210</v>
      </c>
      <c r="AT246" t="s">
        <v>5055</v>
      </c>
      <c r="AU246">
        <v>2021</v>
      </c>
      <c r="AV246">
        <v>595</v>
      </c>
      <c r="AW246">
        <v>7866</v>
      </c>
      <c r="AX246" t="s">
        <v>74</v>
      </c>
      <c r="AY246" t="s">
        <v>74</v>
      </c>
      <c r="AZ246" t="s">
        <v>74</v>
      </c>
      <c r="BA246" t="s">
        <v>74</v>
      </c>
      <c r="BB246" t="s">
        <v>5226</v>
      </c>
      <c r="BC246" t="s">
        <v>5227</v>
      </c>
      <c r="BD246" t="s">
        <v>74</v>
      </c>
      <c r="BE246" t="s">
        <v>5228</v>
      </c>
      <c r="BF246" t="str">
        <f>HYPERLINK("http://dx.doi.org/10.1038/s41586-021-03464-9","http://dx.doi.org/10.1038/s41586-021-03464-9")</f>
        <v>http://dx.doi.org/10.1038/s41586-021-03464-9</v>
      </c>
      <c r="BG246" t="s">
        <v>74</v>
      </c>
      <c r="BH246" t="s">
        <v>74</v>
      </c>
      <c r="BI246">
        <v>9</v>
      </c>
      <c r="BJ246" t="s">
        <v>2609</v>
      </c>
      <c r="BK246" t="s">
        <v>128</v>
      </c>
      <c r="BL246" t="s">
        <v>2610</v>
      </c>
      <c r="BM246" t="s">
        <v>5214</v>
      </c>
      <c r="BN246">
        <v>34234328</v>
      </c>
      <c r="BO246" t="s">
        <v>514</v>
      </c>
      <c r="BP246" t="s">
        <v>74</v>
      </c>
      <c r="BQ246" t="s">
        <v>74</v>
      </c>
      <c r="BR246" t="s">
        <v>102</v>
      </c>
      <c r="BS246" t="s">
        <v>5229</v>
      </c>
      <c r="BT246" t="str">
        <f>HYPERLINK("https%3A%2F%2Fwww.webofscience.com%2Fwos%2Fwoscc%2Ffull-record%2FWOS:000671377900017","View Full Record in Web of Science")</f>
        <v>View Full Record in Web of Science</v>
      </c>
    </row>
    <row r="247" spans="1:72" x14ac:dyDescent="0.15">
      <c r="A247" t="s">
        <v>72</v>
      </c>
      <c r="B247" t="s">
        <v>5230</v>
      </c>
      <c r="C247" t="s">
        <v>74</v>
      </c>
      <c r="D247" t="s">
        <v>74</v>
      </c>
      <c r="E247" t="s">
        <v>74</v>
      </c>
      <c r="F247" t="s">
        <v>5231</v>
      </c>
      <c r="G247" t="s">
        <v>74</v>
      </c>
      <c r="H247" t="s">
        <v>74</v>
      </c>
      <c r="I247" t="s">
        <v>5232</v>
      </c>
      <c r="J247" t="s">
        <v>5233</v>
      </c>
      <c r="K247" t="s">
        <v>74</v>
      </c>
      <c r="L247" t="s">
        <v>74</v>
      </c>
      <c r="M247" t="s">
        <v>78</v>
      </c>
      <c r="N247" t="s">
        <v>79</v>
      </c>
      <c r="O247" t="s">
        <v>74</v>
      </c>
      <c r="P247" t="s">
        <v>74</v>
      </c>
      <c r="Q247" t="s">
        <v>74</v>
      </c>
      <c r="R247" t="s">
        <v>74</v>
      </c>
      <c r="S247" t="s">
        <v>74</v>
      </c>
      <c r="T247" t="s">
        <v>5234</v>
      </c>
      <c r="U247" t="s">
        <v>5235</v>
      </c>
      <c r="V247" t="s">
        <v>5236</v>
      </c>
      <c r="W247" t="s">
        <v>5237</v>
      </c>
      <c r="X247" t="s">
        <v>5238</v>
      </c>
      <c r="Y247" t="s">
        <v>5239</v>
      </c>
      <c r="Z247" t="s">
        <v>5240</v>
      </c>
      <c r="AA247" t="s">
        <v>74</v>
      </c>
      <c r="AB247" t="s">
        <v>5241</v>
      </c>
      <c r="AC247" t="s">
        <v>5242</v>
      </c>
      <c r="AD247" t="s">
        <v>5243</v>
      </c>
      <c r="AE247" t="s">
        <v>5244</v>
      </c>
      <c r="AF247" t="s">
        <v>74</v>
      </c>
      <c r="AG247">
        <v>54</v>
      </c>
      <c r="AH247">
        <v>4</v>
      </c>
      <c r="AI247">
        <v>5</v>
      </c>
      <c r="AJ247">
        <v>3</v>
      </c>
      <c r="AK247">
        <v>24</v>
      </c>
      <c r="AL247" t="s">
        <v>197</v>
      </c>
      <c r="AM247" t="s">
        <v>198</v>
      </c>
      <c r="AN247" t="s">
        <v>2647</v>
      </c>
      <c r="AO247" t="s">
        <v>5245</v>
      </c>
      <c r="AP247" t="s">
        <v>74</v>
      </c>
      <c r="AQ247" t="s">
        <v>74</v>
      </c>
      <c r="AR247" t="s">
        <v>5246</v>
      </c>
      <c r="AS247" t="s">
        <v>5247</v>
      </c>
      <c r="AT247" t="s">
        <v>402</v>
      </c>
      <c r="AU247">
        <v>2021</v>
      </c>
      <c r="AV247">
        <v>6</v>
      </c>
      <c r="AW247">
        <v>9</v>
      </c>
      <c r="AX247" t="s">
        <v>74</v>
      </c>
      <c r="AY247" t="s">
        <v>74</v>
      </c>
      <c r="AZ247" t="s">
        <v>74</v>
      </c>
      <c r="BA247" t="s">
        <v>74</v>
      </c>
      <c r="BB247" t="s">
        <v>74</v>
      </c>
      <c r="BC247" t="s">
        <v>74</v>
      </c>
      <c r="BD247">
        <v>2001125</v>
      </c>
      <c r="BE247" t="s">
        <v>5248</v>
      </c>
      <c r="BF247" t="str">
        <f>HYPERLINK("http://dx.doi.org/10.1002/admt.202001125","http://dx.doi.org/10.1002/admt.202001125")</f>
        <v>http://dx.doi.org/10.1002/admt.202001125</v>
      </c>
      <c r="BG247" t="s">
        <v>74</v>
      </c>
      <c r="BH247" t="s">
        <v>2323</v>
      </c>
      <c r="BI247">
        <v>11</v>
      </c>
      <c r="BJ247" t="s">
        <v>5249</v>
      </c>
      <c r="BK247" t="s">
        <v>128</v>
      </c>
      <c r="BL247" t="s">
        <v>5250</v>
      </c>
      <c r="BM247" t="s">
        <v>5251</v>
      </c>
      <c r="BN247" t="s">
        <v>74</v>
      </c>
      <c r="BO247" t="s">
        <v>74</v>
      </c>
      <c r="BP247" t="s">
        <v>74</v>
      </c>
      <c r="BQ247" t="s">
        <v>74</v>
      </c>
      <c r="BR247" t="s">
        <v>102</v>
      </c>
      <c r="BS247" t="s">
        <v>5252</v>
      </c>
      <c r="BT247" t="str">
        <f>HYPERLINK("https%3A%2F%2Fwww.webofscience.com%2Fwos%2Fwoscc%2Ffull-record%2FWOS:000670799800001","View Full Record in Web of Science")</f>
        <v>View Full Record in Web of Science</v>
      </c>
    </row>
    <row r="248" spans="1:72" x14ac:dyDescent="0.15">
      <c r="A248" t="s">
        <v>72</v>
      </c>
      <c r="B248" t="s">
        <v>5253</v>
      </c>
      <c r="C248" t="s">
        <v>74</v>
      </c>
      <c r="D248" t="s">
        <v>74</v>
      </c>
      <c r="E248" t="s">
        <v>74</v>
      </c>
      <c r="F248" t="s">
        <v>5254</v>
      </c>
      <c r="G248" t="s">
        <v>74</v>
      </c>
      <c r="H248" t="s">
        <v>74</v>
      </c>
      <c r="I248" t="s">
        <v>5255</v>
      </c>
      <c r="J248" t="s">
        <v>5021</v>
      </c>
      <c r="K248" t="s">
        <v>74</v>
      </c>
      <c r="L248" t="s">
        <v>74</v>
      </c>
      <c r="M248" t="s">
        <v>78</v>
      </c>
      <c r="N248" t="s">
        <v>79</v>
      </c>
      <c r="O248" t="s">
        <v>74</v>
      </c>
      <c r="P248" t="s">
        <v>74</v>
      </c>
      <c r="Q248" t="s">
        <v>74</v>
      </c>
      <c r="R248" t="s">
        <v>74</v>
      </c>
      <c r="S248" t="s">
        <v>74</v>
      </c>
      <c r="T248" t="s">
        <v>5256</v>
      </c>
      <c r="U248" t="s">
        <v>5257</v>
      </c>
      <c r="V248" t="s">
        <v>5258</v>
      </c>
      <c r="W248" t="s">
        <v>5259</v>
      </c>
      <c r="X248" t="s">
        <v>5260</v>
      </c>
      <c r="Y248" t="s">
        <v>5261</v>
      </c>
      <c r="Z248" t="s">
        <v>5262</v>
      </c>
      <c r="AA248" t="s">
        <v>5263</v>
      </c>
      <c r="AB248" t="s">
        <v>5264</v>
      </c>
      <c r="AC248" t="s">
        <v>5265</v>
      </c>
      <c r="AD248" t="s">
        <v>5266</v>
      </c>
      <c r="AE248" t="s">
        <v>5267</v>
      </c>
      <c r="AF248" t="s">
        <v>74</v>
      </c>
      <c r="AG248">
        <v>91</v>
      </c>
      <c r="AH248">
        <v>1</v>
      </c>
      <c r="AI248">
        <v>1</v>
      </c>
      <c r="AJ248">
        <v>2</v>
      </c>
      <c r="AK248">
        <v>15</v>
      </c>
      <c r="AL248" t="s">
        <v>450</v>
      </c>
      <c r="AM248" t="s">
        <v>650</v>
      </c>
      <c r="AN248" t="s">
        <v>1957</v>
      </c>
      <c r="AO248" t="s">
        <v>5034</v>
      </c>
      <c r="AP248" t="s">
        <v>5035</v>
      </c>
      <c r="AQ248" t="s">
        <v>74</v>
      </c>
      <c r="AR248" t="s">
        <v>5021</v>
      </c>
      <c r="AS248" t="s">
        <v>5036</v>
      </c>
      <c r="AT248" t="s">
        <v>457</v>
      </c>
      <c r="AU248">
        <v>2022</v>
      </c>
      <c r="AV248">
        <v>25</v>
      </c>
      <c r="AW248">
        <v>2</v>
      </c>
      <c r="AX248" t="s">
        <v>74</v>
      </c>
      <c r="AY248" t="s">
        <v>74</v>
      </c>
      <c r="AZ248" t="s">
        <v>74</v>
      </c>
      <c r="BA248" t="s">
        <v>74</v>
      </c>
      <c r="BB248">
        <v>320</v>
      </c>
      <c r="BC248">
        <v>336</v>
      </c>
      <c r="BD248" t="s">
        <v>74</v>
      </c>
      <c r="BE248" t="s">
        <v>5268</v>
      </c>
      <c r="BF248" t="str">
        <f>HYPERLINK("http://dx.doi.org/10.1007/s10021-021-00657-1","http://dx.doi.org/10.1007/s10021-021-00657-1")</f>
        <v>http://dx.doi.org/10.1007/s10021-021-00657-1</v>
      </c>
      <c r="BG248" t="s">
        <v>74</v>
      </c>
      <c r="BH248" t="s">
        <v>2323</v>
      </c>
      <c r="BI248">
        <v>17</v>
      </c>
      <c r="BJ248" t="s">
        <v>1462</v>
      </c>
      <c r="BK248" t="s">
        <v>128</v>
      </c>
      <c r="BL248" t="s">
        <v>263</v>
      </c>
      <c r="BM248" t="s">
        <v>5038</v>
      </c>
      <c r="BN248" t="s">
        <v>74</v>
      </c>
      <c r="BO248" t="s">
        <v>74</v>
      </c>
      <c r="BP248" t="s">
        <v>74</v>
      </c>
      <c r="BQ248" t="s">
        <v>74</v>
      </c>
      <c r="BR248" t="s">
        <v>102</v>
      </c>
      <c r="BS248" t="s">
        <v>5269</v>
      </c>
      <c r="BT248" t="str">
        <f>HYPERLINK("https%3A%2F%2Fwww.webofscience.com%2Fwos%2Fwoscc%2Ffull-record%2FWOS:000670845000002","View Full Record in Web of Science")</f>
        <v>View Full Record in Web of Science</v>
      </c>
    </row>
    <row r="249" spans="1:72" x14ac:dyDescent="0.15">
      <c r="A249" t="s">
        <v>72</v>
      </c>
      <c r="B249" t="s">
        <v>5270</v>
      </c>
      <c r="C249" t="s">
        <v>74</v>
      </c>
      <c r="D249" t="s">
        <v>74</v>
      </c>
      <c r="E249" t="s">
        <v>74</v>
      </c>
      <c r="F249" t="s">
        <v>5271</v>
      </c>
      <c r="G249" t="s">
        <v>74</v>
      </c>
      <c r="H249" t="s">
        <v>74</v>
      </c>
      <c r="I249" t="s">
        <v>5272</v>
      </c>
      <c r="J249" t="s">
        <v>5273</v>
      </c>
      <c r="K249" t="s">
        <v>74</v>
      </c>
      <c r="L249" t="s">
        <v>74</v>
      </c>
      <c r="M249" t="s">
        <v>78</v>
      </c>
      <c r="N249" t="s">
        <v>79</v>
      </c>
      <c r="O249" t="s">
        <v>74</v>
      </c>
      <c r="P249" t="s">
        <v>74</v>
      </c>
      <c r="Q249" t="s">
        <v>74</v>
      </c>
      <c r="R249" t="s">
        <v>74</v>
      </c>
      <c r="S249" t="s">
        <v>74</v>
      </c>
      <c r="T249" t="s">
        <v>5274</v>
      </c>
      <c r="U249" t="s">
        <v>5275</v>
      </c>
      <c r="V249" t="s">
        <v>5276</v>
      </c>
      <c r="W249" t="s">
        <v>5277</v>
      </c>
      <c r="X249" t="s">
        <v>5278</v>
      </c>
      <c r="Y249" t="s">
        <v>5279</v>
      </c>
      <c r="Z249" t="s">
        <v>5280</v>
      </c>
      <c r="AA249" t="s">
        <v>74</v>
      </c>
      <c r="AB249" t="s">
        <v>5281</v>
      </c>
      <c r="AC249" t="s">
        <v>5282</v>
      </c>
      <c r="AD249" t="s">
        <v>5283</v>
      </c>
      <c r="AE249" t="s">
        <v>5284</v>
      </c>
      <c r="AF249" t="s">
        <v>74</v>
      </c>
      <c r="AG249">
        <v>47</v>
      </c>
      <c r="AH249">
        <v>3</v>
      </c>
      <c r="AI249">
        <v>3</v>
      </c>
      <c r="AJ249">
        <v>0</v>
      </c>
      <c r="AK249">
        <v>8</v>
      </c>
      <c r="AL249" t="s">
        <v>197</v>
      </c>
      <c r="AM249" t="s">
        <v>198</v>
      </c>
      <c r="AN249" t="s">
        <v>199</v>
      </c>
      <c r="AO249" t="s">
        <v>5285</v>
      </c>
      <c r="AP249" t="s">
        <v>5286</v>
      </c>
      <c r="AQ249" t="s">
        <v>74</v>
      </c>
      <c r="AR249" t="s">
        <v>5287</v>
      </c>
      <c r="AS249" t="s">
        <v>5288</v>
      </c>
      <c r="AT249" t="s">
        <v>3459</v>
      </c>
      <c r="AU249">
        <v>2022</v>
      </c>
      <c r="AV249">
        <v>38</v>
      </c>
      <c r="AW249">
        <v>1</v>
      </c>
      <c r="AX249" t="s">
        <v>74</v>
      </c>
      <c r="AY249" t="s">
        <v>74</v>
      </c>
      <c r="AZ249" t="s">
        <v>74</v>
      </c>
      <c r="BA249" t="s">
        <v>74</v>
      </c>
      <c r="BB249">
        <v>58</v>
      </c>
      <c r="BC249">
        <v>72</v>
      </c>
      <c r="BD249" t="s">
        <v>74</v>
      </c>
      <c r="BE249" t="s">
        <v>5289</v>
      </c>
      <c r="BF249" t="str">
        <f>HYPERLINK("http://dx.doi.org/10.1111/mms.12846","http://dx.doi.org/10.1111/mms.12846")</f>
        <v>http://dx.doi.org/10.1111/mms.12846</v>
      </c>
      <c r="BG249" t="s">
        <v>74</v>
      </c>
      <c r="BH249" t="s">
        <v>2323</v>
      </c>
      <c r="BI249">
        <v>15</v>
      </c>
      <c r="BJ249" t="s">
        <v>3582</v>
      </c>
      <c r="BK249" t="s">
        <v>128</v>
      </c>
      <c r="BL249" t="s">
        <v>3582</v>
      </c>
      <c r="BM249" t="s">
        <v>5290</v>
      </c>
      <c r="BN249" t="s">
        <v>74</v>
      </c>
      <c r="BO249" t="s">
        <v>238</v>
      </c>
      <c r="BP249" t="s">
        <v>74</v>
      </c>
      <c r="BQ249" t="s">
        <v>74</v>
      </c>
      <c r="BR249" t="s">
        <v>102</v>
      </c>
      <c r="BS249" t="s">
        <v>5291</v>
      </c>
      <c r="BT249" t="str">
        <f>HYPERLINK("https%3A%2F%2Fwww.webofscience.com%2Fwos%2Fwoscc%2Ffull-record%2FWOS:000670625800001","View Full Record in Web of Science")</f>
        <v>View Full Record in Web of Science</v>
      </c>
    </row>
    <row r="250" spans="1:72" x14ac:dyDescent="0.15">
      <c r="A250" t="s">
        <v>72</v>
      </c>
      <c r="B250" t="s">
        <v>1005</v>
      </c>
      <c r="C250" t="s">
        <v>74</v>
      </c>
      <c r="D250" t="s">
        <v>74</v>
      </c>
      <c r="E250" t="s">
        <v>74</v>
      </c>
      <c r="F250" t="s">
        <v>1006</v>
      </c>
      <c r="G250" t="s">
        <v>74</v>
      </c>
      <c r="H250" t="s">
        <v>74</v>
      </c>
      <c r="I250" t="s">
        <v>5292</v>
      </c>
      <c r="J250" t="s">
        <v>5293</v>
      </c>
      <c r="K250" t="s">
        <v>74</v>
      </c>
      <c r="L250" t="s">
        <v>74</v>
      </c>
      <c r="M250" t="s">
        <v>78</v>
      </c>
      <c r="N250" t="s">
        <v>79</v>
      </c>
      <c r="O250" t="s">
        <v>74</v>
      </c>
      <c r="P250" t="s">
        <v>74</v>
      </c>
      <c r="Q250" t="s">
        <v>74</v>
      </c>
      <c r="R250" t="s">
        <v>74</v>
      </c>
      <c r="S250" t="s">
        <v>74</v>
      </c>
      <c r="T250" t="s">
        <v>74</v>
      </c>
      <c r="U250" t="s">
        <v>5294</v>
      </c>
      <c r="V250" t="s">
        <v>5295</v>
      </c>
      <c r="W250" t="s">
        <v>5296</v>
      </c>
      <c r="X250" t="s">
        <v>1012</v>
      </c>
      <c r="Y250" t="s">
        <v>5297</v>
      </c>
      <c r="Z250" t="s">
        <v>5298</v>
      </c>
      <c r="AA250" t="s">
        <v>74</v>
      </c>
      <c r="AB250" t="s">
        <v>1015</v>
      </c>
      <c r="AC250" t="s">
        <v>1016</v>
      </c>
      <c r="AD250" t="s">
        <v>1017</v>
      </c>
      <c r="AE250" t="s">
        <v>1018</v>
      </c>
      <c r="AF250" t="s">
        <v>74</v>
      </c>
      <c r="AG250">
        <v>28</v>
      </c>
      <c r="AH250">
        <v>3</v>
      </c>
      <c r="AI250">
        <v>3</v>
      </c>
      <c r="AJ250">
        <v>3</v>
      </c>
      <c r="AK250">
        <v>20</v>
      </c>
      <c r="AL250" t="s">
        <v>197</v>
      </c>
      <c r="AM250" t="s">
        <v>198</v>
      </c>
      <c r="AN250" t="s">
        <v>199</v>
      </c>
      <c r="AO250" t="s">
        <v>5299</v>
      </c>
      <c r="AP250" t="s">
        <v>5300</v>
      </c>
      <c r="AQ250" t="s">
        <v>74</v>
      </c>
      <c r="AR250" t="s">
        <v>5301</v>
      </c>
      <c r="AS250" t="s">
        <v>5302</v>
      </c>
      <c r="AT250" t="s">
        <v>96</v>
      </c>
      <c r="AU250">
        <v>2021</v>
      </c>
      <c r="AV250">
        <v>97</v>
      </c>
      <c r="AW250">
        <v>6</v>
      </c>
      <c r="AX250" t="s">
        <v>74</v>
      </c>
      <c r="AY250" t="s">
        <v>74</v>
      </c>
      <c r="AZ250" t="s">
        <v>431</v>
      </c>
      <c r="BA250" t="s">
        <v>74</v>
      </c>
      <c r="BB250">
        <v>1527</v>
      </c>
      <c r="BC250">
        <v>1533</v>
      </c>
      <c r="BD250" t="s">
        <v>74</v>
      </c>
      <c r="BE250" t="s">
        <v>5303</v>
      </c>
      <c r="BF250" t="str">
        <f>HYPERLINK("http://dx.doi.org/10.1111/php.13478","http://dx.doi.org/10.1111/php.13478")</f>
        <v>http://dx.doi.org/10.1111/php.13478</v>
      </c>
      <c r="BG250" t="s">
        <v>74</v>
      </c>
      <c r="BH250" t="s">
        <v>2323</v>
      </c>
      <c r="BI250">
        <v>7</v>
      </c>
      <c r="BJ250" t="s">
        <v>5304</v>
      </c>
      <c r="BK250" t="s">
        <v>128</v>
      </c>
      <c r="BL250" t="s">
        <v>5304</v>
      </c>
      <c r="BM250" t="s">
        <v>5305</v>
      </c>
      <c r="BN250">
        <v>34166538</v>
      </c>
      <c r="BO250" t="s">
        <v>661</v>
      </c>
      <c r="BP250" t="s">
        <v>74</v>
      </c>
      <c r="BQ250" t="s">
        <v>74</v>
      </c>
      <c r="BR250" t="s">
        <v>102</v>
      </c>
      <c r="BS250" t="s">
        <v>5306</v>
      </c>
      <c r="BT250" t="str">
        <f>HYPERLINK("https%3A%2F%2Fwww.webofscience.com%2Fwos%2Fwoscc%2Ffull-record%2FWOS:000670622100001","View Full Record in Web of Science")</f>
        <v>View Full Record in Web of Science</v>
      </c>
    </row>
    <row r="251" spans="1:72" x14ac:dyDescent="0.15">
      <c r="A251" t="s">
        <v>72</v>
      </c>
      <c r="B251" t="s">
        <v>5307</v>
      </c>
      <c r="C251" t="s">
        <v>74</v>
      </c>
      <c r="D251" t="s">
        <v>74</v>
      </c>
      <c r="E251" t="s">
        <v>74</v>
      </c>
      <c r="F251" t="s">
        <v>5308</v>
      </c>
      <c r="G251" t="s">
        <v>74</v>
      </c>
      <c r="H251" t="s">
        <v>74</v>
      </c>
      <c r="I251" t="s">
        <v>5309</v>
      </c>
      <c r="J251" t="s">
        <v>1923</v>
      </c>
      <c r="K251" t="s">
        <v>74</v>
      </c>
      <c r="L251" t="s">
        <v>74</v>
      </c>
      <c r="M251" t="s">
        <v>78</v>
      </c>
      <c r="N251" t="s">
        <v>79</v>
      </c>
      <c r="O251" t="s">
        <v>74</v>
      </c>
      <c r="P251" t="s">
        <v>74</v>
      </c>
      <c r="Q251" t="s">
        <v>74</v>
      </c>
      <c r="R251" t="s">
        <v>74</v>
      </c>
      <c r="S251" t="s">
        <v>74</v>
      </c>
      <c r="T251" t="s">
        <v>5310</v>
      </c>
      <c r="U251" t="s">
        <v>5311</v>
      </c>
      <c r="V251" t="s">
        <v>5312</v>
      </c>
      <c r="W251" t="s">
        <v>5313</v>
      </c>
      <c r="X251" t="s">
        <v>5314</v>
      </c>
      <c r="Y251" t="s">
        <v>5315</v>
      </c>
      <c r="Z251" t="s">
        <v>5316</v>
      </c>
      <c r="AA251" t="s">
        <v>5317</v>
      </c>
      <c r="AB251" t="s">
        <v>5318</v>
      </c>
      <c r="AC251" t="s">
        <v>5319</v>
      </c>
      <c r="AD251" t="s">
        <v>5320</v>
      </c>
      <c r="AE251" t="s">
        <v>5321</v>
      </c>
      <c r="AF251" t="s">
        <v>74</v>
      </c>
      <c r="AG251">
        <v>34</v>
      </c>
      <c r="AH251">
        <v>3</v>
      </c>
      <c r="AI251">
        <v>3</v>
      </c>
      <c r="AJ251">
        <v>0</v>
      </c>
      <c r="AK251">
        <v>15</v>
      </c>
      <c r="AL251" t="s">
        <v>628</v>
      </c>
      <c r="AM251" t="s">
        <v>629</v>
      </c>
      <c r="AN251" t="s">
        <v>1933</v>
      </c>
      <c r="AO251" t="s">
        <v>1934</v>
      </c>
      <c r="AP251" t="s">
        <v>1935</v>
      </c>
      <c r="AQ251" t="s">
        <v>74</v>
      </c>
      <c r="AR251" t="s">
        <v>1936</v>
      </c>
      <c r="AS251" t="s">
        <v>1937</v>
      </c>
      <c r="AT251" t="s">
        <v>535</v>
      </c>
      <c r="AU251">
        <v>2021</v>
      </c>
      <c r="AV251">
        <v>64</v>
      </c>
      <c r="AW251">
        <v>8</v>
      </c>
      <c r="AX251" t="s">
        <v>74</v>
      </c>
      <c r="AY251" t="s">
        <v>74</v>
      </c>
      <c r="AZ251" t="s">
        <v>74</v>
      </c>
      <c r="BA251" t="s">
        <v>74</v>
      </c>
      <c r="BB251">
        <v>1381</v>
      </c>
      <c r="BC251">
        <v>1389</v>
      </c>
      <c r="BD251" t="s">
        <v>74</v>
      </c>
      <c r="BE251" t="s">
        <v>5322</v>
      </c>
      <c r="BF251" t="str">
        <f>HYPERLINK("http://dx.doi.org/10.1007/s11430-021-9765-6","http://dx.doi.org/10.1007/s11430-021-9765-6")</f>
        <v>http://dx.doi.org/10.1007/s11430-021-9765-6</v>
      </c>
      <c r="BG251" t="s">
        <v>74</v>
      </c>
      <c r="BH251" t="s">
        <v>2323</v>
      </c>
      <c r="BI251">
        <v>9</v>
      </c>
      <c r="BJ251" t="s">
        <v>405</v>
      </c>
      <c r="BK251" t="s">
        <v>128</v>
      </c>
      <c r="BL251" t="s">
        <v>406</v>
      </c>
      <c r="BM251" t="s">
        <v>1939</v>
      </c>
      <c r="BN251" t="s">
        <v>74</v>
      </c>
      <c r="BO251" t="s">
        <v>74</v>
      </c>
      <c r="BP251" t="s">
        <v>74</v>
      </c>
      <c r="BQ251" t="s">
        <v>74</v>
      </c>
      <c r="BR251" t="s">
        <v>102</v>
      </c>
      <c r="BS251" t="s">
        <v>5323</v>
      </c>
      <c r="BT251" t="str">
        <f>HYPERLINK("https%3A%2F%2Fwww.webofscience.com%2Fwos%2Fwoscc%2Ffull-record%2FWOS:000672296900001","View Full Record in Web of Science")</f>
        <v>View Full Record in Web of Science</v>
      </c>
    </row>
    <row r="252" spans="1:72" x14ac:dyDescent="0.15">
      <c r="A252" t="s">
        <v>72</v>
      </c>
      <c r="B252" t="s">
        <v>5324</v>
      </c>
      <c r="C252" t="s">
        <v>74</v>
      </c>
      <c r="D252" t="s">
        <v>74</v>
      </c>
      <c r="E252" t="s">
        <v>74</v>
      </c>
      <c r="F252" t="s">
        <v>5325</v>
      </c>
      <c r="G252" t="s">
        <v>74</v>
      </c>
      <c r="H252" t="s">
        <v>74</v>
      </c>
      <c r="I252" t="s">
        <v>5326</v>
      </c>
      <c r="J252" t="s">
        <v>5327</v>
      </c>
      <c r="K252" t="s">
        <v>74</v>
      </c>
      <c r="L252" t="s">
        <v>74</v>
      </c>
      <c r="M252" t="s">
        <v>78</v>
      </c>
      <c r="N252" t="s">
        <v>79</v>
      </c>
      <c r="O252" t="s">
        <v>74</v>
      </c>
      <c r="P252" t="s">
        <v>74</v>
      </c>
      <c r="Q252" t="s">
        <v>74</v>
      </c>
      <c r="R252" t="s">
        <v>74</v>
      </c>
      <c r="S252" t="s">
        <v>74</v>
      </c>
      <c r="T252" t="s">
        <v>5328</v>
      </c>
      <c r="U252" t="s">
        <v>5329</v>
      </c>
      <c r="V252" t="s">
        <v>5330</v>
      </c>
      <c r="W252" t="s">
        <v>5331</v>
      </c>
      <c r="X252" t="s">
        <v>5332</v>
      </c>
      <c r="Y252" t="s">
        <v>5333</v>
      </c>
      <c r="Z252" t="s">
        <v>5334</v>
      </c>
      <c r="AA252" t="s">
        <v>5335</v>
      </c>
      <c r="AB252" t="s">
        <v>5336</v>
      </c>
      <c r="AC252" t="s">
        <v>5337</v>
      </c>
      <c r="AD252" t="s">
        <v>5338</v>
      </c>
      <c r="AE252" t="s">
        <v>5339</v>
      </c>
      <c r="AF252" t="s">
        <v>74</v>
      </c>
      <c r="AG252">
        <v>32</v>
      </c>
      <c r="AH252">
        <v>1</v>
      </c>
      <c r="AI252">
        <v>1</v>
      </c>
      <c r="AJ252">
        <v>0</v>
      </c>
      <c r="AK252">
        <v>7</v>
      </c>
      <c r="AL252" t="s">
        <v>450</v>
      </c>
      <c r="AM252" t="s">
        <v>650</v>
      </c>
      <c r="AN252" t="s">
        <v>1957</v>
      </c>
      <c r="AO252" t="s">
        <v>5340</v>
      </c>
      <c r="AP252" t="s">
        <v>5341</v>
      </c>
      <c r="AQ252" t="s">
        <v>74</v>
      </c>
      <c r="AR252" t="s">
        <v>5342</v>
      </c>
      <c r="AS252" t="s">
        <v>5343</v>
      </c>
      <c r="AT252" t="s">
        <v>430</v>
      </c>
      <c r="AU252">
        <v>2021</v>
      </c>
      <c r="AV252">
        <v>107</v>
      </c>
      <c r="AW252">
        <v>1</v>
      </c>
      <c r="AX252" t="s">
        <v>74</v>
      </c>
      <c r="AY252" t="s">
        <v>74</v>
      </c>
      <c r="AZ252" t="s">
        <v>431</v>
      </c>
      <c r="BA252" t="s">
        <v>74</v>
      </c>
      <c r="BB252">
        <v>11</v>
      </c>
      <c r="BC252">
        <v>19</v>
      </c>
      <c r="BD252" t="s">
        <v>74</v>
      </c>
      <c r="BE252" t="s">
        <v>5344</v>
      </c>
      <c r="BF252" t="str">
        <f>HYPERLINK("http://dx.doi.org/10.1007/s00128-021-03307-3","http://dx.doi.org/10.1007/s00128-021-03307-3")</f>
        <v>http://dx.doi.org/10.1007/s00128-021-03307-3</v>
      </c>
      <c r="BG252" t="s">
        <v>74</v>
      </c>
      <c r="BH252" t="s">
        <v>2323</v>
      </c>
      <c r="BI252">
        <v>9</v>
      </c>
      <c r="BJ252" t="s">
        <v>5345</v>
      </c>
      <c r="BK252" t="s">
        <v>128</v>
      </c>
      <c r="BL252" t="s">
        <v>5346</v>
      </c>
      <c r="BM252" t="s">
        <v>5347</v>
      </c>
      <c r="BN252">
        <v>34236454</v>
      </c>
      <c r="BO252" t="s">
        <v>74</v>
      </c>
      <c r="BP252" t="s">
        <v>74</v>
      </c>
      <c r="BQ252" t="s">
        <v>74</v>
      </c>
      <c r="BR252" t="s">
        <v>102</v>
      </c>
      <c r="BS252" t="s">
        <v>5348</v>
      </c>
      <c r="BT252" t="str">
        <f>HYPERLINK("https%3A%2F%2Fwww.webofscience.com%2Fwos%2Fwoscc%2Ffull-record%2FWOS:000670840300001","View Full Record in Web of Science")</f>
        <v>View Full Record in Web of Science</v>
      </c>
    </row>
    <row r="253" spans="1:72" x14ac:dyDescent="0.15">
      <c r="A253" t="s">
        <v>72</v>
      </c>
      <c r="B253" t="s">
        <v>5349</v>
      </c>
      <c r="C253" t="s">
        <v>74</v>
      </c>
      <c r="D253" t="s">
        <v>74</v>
      </c>
      <c r="E253" t="s">
        <v>74</v>
      </c>
      <c r="F253" t="s">
        <v>5350</v>
      </c>
      <c r="G253" t="s">
        <v>74</v>
      </c>
      <c r="H253" t="s">
        <v>74</v>
      </c>
      <c r="I253" t="s">
        <v>5351</v>
      </c>
      <c r="J253" t="s">
        <v>5352</v>
      </c>
      <c r="K253" t="s">
        <v>74</v>
      </c>
      <c r="L253" t="s">
        <v>74</v>
      </c>
      <c r="M253" t="s">
        <v>78</v>
      </c>
      <c r="N253" t="s">
        <v>79</v>
      </c>
      <c r="O253" t="s">
        <v>74</v>
      </c>
      <c r="P253" t="s">
        <v>74</v>
      </c>
      <c r="Q253" t="s">
        <v>74</v>
      </c>
      <c r="R253" t="s">
        <v>74</v>
      </c>
      <c r="S253" t="s">
        <v>74</v>
      </c>
      <c r="T253" t="s">
        <v>5353</v>
      </c>
      <c r="U253" t="s">
        <v>5354</v>
      </c>
      <c r="V253" t="s">
        <v>5355</v>
      </c>
      <c r="W253" t="s">
        <v>5356</v>
      </c>
      <c r="X253" t="s">
        <v>5357</v>
      </c>
      <c r="Y253" t="s">
        <v>5358</v>
      </c>
      <c r="Z253" t="s">
        <v>5359</v>
      </c>
      <c r="AA253" t="s">
        <v>74</v>
      </c>
      <c r="AB253" t="s">
        <v>5360</v>
      </c>
      <c r="AC253" t="s">
        <v>5361</v>
      </c>
      <c r="AD253" t="s">
        <v>5362</v>
      </c>
      <c r="AE253" t="s">
        <v>5363</v>
      </c>
      <c r="AF253" t="s">
        <v>74</v>
      </c>
      <c r="AG253">
        <v>42</v>
      </c>
      <c r="AH253">
        <v>8</v>
      </c>
      <c r="AI253">
        <v>8</v>
      </c>
      <c r="AJ253">
        <v>6</v>
      </c>
      <c r="AK253">
        <v>23</v>
      </c>
      <c r="AL253" t="s">
        <v>227</v>
      </c>
      <c r="AM253" t="s">
        <v>228</v>
      </c>
      <c r="AN253" t="s">
        <v>229</v>
      </c>
      <c r="AO253" t="s">
        <v>5364</v>
      </c>
      <c r="AP253" t="s">
        <v>5365</v>
      </c>
      <c r="AQ253" t="s">
        <v>74</v>
      </c>
      <c r="AR253" t="s">
        <v>5366</v>
      </c>
      <c r="AS253" t="s">
        <v>5367</v>
      </c>
      <c r="AT253" t="s">
        <v>4195</v>
      </c>
      <c r="AU253">
        <v>2021</v>
      </c>
      <c r="AV253">
        <v>365</v>
      </c>
      <c r="AW253" t="s">
        <v>74</v>
      </c>
      <c r="AX253" t="s">
        <v>74</v>
      </c>
      <c r="AY253" t="s">
        <v>74</v>
      </c>
      <c r="AZ253" t="s">
        <v>74</v>
      </c>
      <c r="BA253" t="s">
        <v>74</v>
      </c>
      <c r="BB253" t="s">
        <v>74</v>
      </c>
      <c r="BC253" t="s">
        <v>74</v>
      </c>
      <c r="BD253">
        <v>130500</v>
      </c>
      <c r="BE253" t="s">
        <v>5368</v>
      </c>
      <c r="BF253" t="str">
        <f>HYPERLINK("http://dx.doi.org/10.1016/j.foodchem.2021.130500","http://dx.doi.org/10.1016/j.foodchem.2021.130500")</f>
        <v>http://dx.doi.org/10.1016/j.foodchem.2021.130500</v>
      </c>
      <c r="BG253" t="s">
        <v>74</v>
      </c>
      <c r="BH253" t="s">
        <v>2323</v>
      </c>
      <c r="BI253">
        <v>7</v>
      </c>
      <c r="BJ253" t="s">
        <v>5369</v>
      </c>
      <c r="BK253" t="s">
        <v>128</v>
      </c>
      <c r="BL253" t="s">
        <v>5370</v>
      </c>
      <c r="BM253" t="s">
        <v>5371</v>
      </c>
      <c r="BN253">
        <v>34246152</v>
      </c>
      <c r="BO253" t="s">
        <v>2514</v>
      </c>
      <c r="BP253" t="s">
        <v>74</v>
      </c>
      <c r="BQ253" t="s">
        <v>74</v>
      </c>
      <c r="BR253" t="s">
        <v>102</v>
      </c>
      <c r="BS253" t="s">
        <v>5372</v>
      </c>
      <c r="BT253" t="str">
        <f>HYPERLINK("https%3A%2F%2Fwww.webofscience.com%2Fwos%2Fwoscc%2Ffull-record%2FWOS:000687708700005","View Full Record in Web of Science")</f>
        <v>View Full Record in Web of Science</v>
      </c>
    </row>
    <row r="254" spans="1:72" x14ac:dyDescent="0.15">
      <c r="A254" t="s">
        <v>72</v>
      </c>
      <c r="B254" t="s">
        <v>5373</v>
      </c>
      <c r="C254" t="s">
        <v>74</v>
      </c>
      <c r="D254" t="s">
        <v>74</v>
      </c>
      <c r="E254" t="s">
        <v>74</v>
      </c>
      <c r="F254" t="s">
        <v>5374</v>
      </c>
      <c r="G254" t="s">
        <v>74</v>
      </c>
      <c r="H254" t="s">
        <v>5375</v>
      </c>
      <c r="I254" t="s">
        <v>5376</v>
      </c>
      <c r="J254" t="s">
        <v>5377</v>
      </c>
      <c r="K254" t="s">
        <v>74</v>
      </c>
      <c r="L254" t="s">
        <v>74</v>
      </c>
      <c r="M254" t="s">
        <v>78</v>
      </c>
      <c r="N254" t="s">
        <v>79</v>
      </c>
      <c r="O254" t="s">
        <v>74</v>
      </c>
      <c r="P254" t="s">
        <v>74</v>
      </c>
      <c r="Q254" t="s">
        <v>74</v>
      </c>
      <c r="R254" t="s">
        <v>74</v>
      </c>
      <c r="S254" t="s">
        <v>74</v>
      </c>
      <c r="T254" t="s">
        <v>74</v>
      </c>
      <c r="U254" t="s">
        <v>5378</v>
      </c>
      <c r="V254" t="s">
        <v>5379</v>
      </c>
      <c r="W254" t="s">
        <v>5380</v>
      </c>
      <c r="X254" t="s">
        <v>5381</v>
      </c>
      <c r="Y254" t="s">
        <v>5382</v>
      </c>
      <c r="Z254" t="s">
        <v>74</v>
      </c>
      <c r="AA254" t="s">
        <v>5383</v>
      </c>
      <c r="AB254" t="s">
        <v>5384</v>
      </c>
      <c r="AC254" t="s">
        <v>5385</v>
      </c>
      <c r="AD254" t="s">
        <v>5386</v>
      </c>
      <c r="AE254" t="s">
        <v>5387</v>
      </c>
      <c r="AF254" t="s">
        <v>74</v>
      </c>
      <c r="AG254">
        <v>47</v>
      </c>
      <c r="AH254">
        <v>11</v>
      </c>
      <c r="AI254">
        <v>11</v>
      </c>
      <c r="AJ254">
        <v>0</v>
      </c>
      <c r="AK254">
        <v>7</v>
      </c>
      <c r="AL254" t="s">
        <v>5388</v>
      </c>
      <c r="AM254" t="s">
        <v>5389</v>
      </c>
      <c r="AN254" t="s">
        <v>5390</v>
      </c>
      <c r="AO254" t="s">
        <v>5391</v>
      </c>
      <c r="AP254" t="s">
        <v>5392</v>
      </c>
      <c r="AQ254" t="s">
        <v>74</v>
      </c>
      <c r="AR254" t="s">
        <v>5393</v>
      </c>
      <c r="AS254" t="s">
        <v>5394</v>
      </c>
      <c r="AT254" t="s">
        <v>5055</v>
      </c>
      <c r="AU254">
        <v>2021</v>
      </c>
      <c r="AV254">
        <v>104</v>
      </c>
      <c r="AW254">
        <v>2</v>
      </c>
      <c r="AX254" t="s">
        <v>74</v>
      </c>
      <c r="AY254" t="s">
        <v>74</v>
      </c>
      <c r="AZ254" t="s">
        <v>74</v>
      </c>
      <c r="BA254" t="s">
        <v>74</v>
      </c>
      <c r="BB254" t="s">
        <v>74</v>
      </c>
      <c r="BC254" t="s">
        <v>74</v>
      </c>
      <c r="BD254">
        <v>22001</v>
      </c>
      <c r="BE254" t="s">
        <v>5395</v>
      </c>
      <c r="BF254" t="str">
        <f>HYPERLINK("http://dx.doi.org/10.1103/PhysRevD.104.022001","http://dx.doi.org/10.1103/PhysRevD.104.022001")</f>
        <v>http://dx.doi.org/10.1103/PhysRevD.104.022001</v>
      </c>
      <c r="BG254" t="s">
        <v>74</v>
      </c>
      <c r="BH254" t="s">
        <v>74</v>
      </c>
      <c r="BI254">
        <v>11</v>
      </c>
      <c r="BJ254" t="s">
        <v>5396</v>
      </c>
      <c r="BK254" t="s">
        <v>128</v>
      </c>
      <c r="BL254" t="s">
        <v>5397</v>
      </c>
      <c r="BM254" t="s">
        <v>5398</v>
      </c>
      <c r="BN254" t="s">
        <v>74</v>
      </c>
      <c r="BO254" t="s">
        <v>2495</v>
      </c>
      <c r="BP254" t="s">
        <v>74</v>
      </c>
      <c r="BQ254" t="s">
        <v>74</v>
      </c>
      <c r="BR254" t="s">
        <v>102</v>
      </c>
      <c r="BS254" t="s">
        <v>5399</v>
      </c>
      <c r="BT254" t="str">
        <f>HYPERLINK("https%3A%2F%2Fwww.webofscience.com%2Fwos%2Fwoscc%2Ffull-record%2FWOS:000671589000001","View Full Record in Web of Science")</f>
        <v>View Full Record in Web of Science</v>
      </c>
    </row>
    <row r="255" spans="1:72" x14ac:dyDescent="0.15">
      <c r="A255" t="s">
        <v>72</v>
      </c>
      <c r="B255" t="s">
        <v>5400</v>
      </c>
      <c r="C255" t="s">
        <v>74</v>
      </c>
      <c r="D255" t="s">
        <v>74</v>
      </c>
      <c r="E255" t="s">
        <v>74</v>
      </c>
      <c r="F255" t="s">
        <v>5401</v>
      </c>
      <c r="G255" t="s">
        <v>74</v>
      </c>
      <c r="H255" t="s">
        <v>74</v>
      </c>
      <c r="I255" t="s">
        <v>5402</v>
      </c>
      <c r="J255" t="s">
        <v>5403</v>
      </c>
      <c r="K255" t="s">
        <v>74</v>
      </c>
      <c r="L255" t="s">
        <v>74</v>
      </c>
      <c r="M255" t="s">
        <v>78</v>
      </c>
      <c r="N255" t="s">
        <v>79</v>
      </c>
      <c r="O255" t="s">
        <v>74</v>
      </c>
      <c r="P255" t="s">
        <v>74</v>
      </c>
      <c r="Q255" t="s">
        <v>74</v>
      </c>
      <c r="R255" t="s">
        <v>74</v>
      </c>
      <c r="S255" t="s">
        <v>74</v>
      </c>
      <c r="T255" t="s">
        <v>5404</v>
      </c>
      <c r="U255" t="s">
        <v>5405</v>
      </c>
      <c r="V255" t="s">
        <v>5406</v>
      </c>
      <c r="W255" t="s">
        <v>5407</v>
      </c>
      <c r="X255" t="s">
        <v>5408</v>
      </c>
      <c r="Y255" t="s">
        <v>5409</v>
      </c>
      <c r="Z255" t="s">
        <v>5410</v>
      </c>
      <c r="AA255" t="s">
        <v>5411</v>
      </c>
      <c r="AB255" t="s">
        <v>5412</v>
      </c>
      <c r="AC255" t="s">
        <v>5413</v>
      </c>
      <c r="AD255" t="s">
        <v>5414</v>
      </c>
      <c r="AE255" t="s">
        <v>5415</v>
      </c>
      <c r="AF255" t="s">
        <v>74</v>
      </c>
      <c r="AG255">
        <v>76</v>
      </c>
      <c r="AH255">
        <v>7</v>
      </c>
      <c r="AI255">
        <v>7</v>
      </c>
      <c r="AJ255">
        <v>2</v>
      </c>
      <c r="AK255">
        <v>7</v>
      </c>
      <c r="AL255" t="s">
        <v>2190</v>
      </c>
      <c r="AM255" t="s">
        <v>228</v>
      </c>
      <c r="AN255" t="s">
        <v>2191</v>
      </c>
      <c r="AO255" t="s">
        <v>5416</v>
      </c>
      <c r="AP255" t="s">
        <v>5417</v>
      </c>
      <c r="AQ255" t="s">
        <v>74</v>
      </c>
      <c r="AR255" t="s">
        <v>5418</v>
      </c>
      <c r="AS255" t="s">
        <v>5419</v>
      </c>
      <c r="AT255" t="s">
        <v>5420</v>
      </c>
      <c r="AU255">
        <v>2022</v>
      </c>
      <c r="AV255">
        <v>79</v>
      </c>
      <c r="AW255">
        <v>3</v>
      </c>
      <c r="AX255" t="s">
        <v>74</v>
      </c>
      <c r="AY255" t="s">
        <v>74</v>
      </c>
      <c r="AZ255" t="s">
        <v>74</v>
      </c>
      <c r="BA255" t="s">
        <v>74</v>
      </c>
      <c r="BB255">
        <v>917</v>
      </c>
      <c r="BC255">
        <v>924</v>
      </c>
      <c r="BD255" t="s">
        <v>74</v>
      </c>
      <c r="BE255" t="s">
        <v>5421</v>
      </c>
      <c r="BF255" t="str">
        <f>HYPERLINK("http://dx.doi.org/10.1093/icesjms/fsab123","http://dx.doi.org/10.1093/icesjms/fsab123")</f>
        <v>http://dx.doi.org/10.1093/icesjms/fsab123</v>
      </c>
      <c r="BG255" t="s">
        <v>74</v>
      </c>
      <c r="BH255" t="s">
        <v>2323</v>
      </c>
      <c r="BI255">
        <v>8</v>
      </c>
      <c r="BJ255" t="s">
        <v>2856</v>
      </c>
      <c r="BK255" t="s">
        <v>128</v>
      </c>
      <c r="BL255" t="s">
        <v>2856</v>
      </c>
      <c r="BM255" t="s">
        <v>5422</v>
      </c>
      <c r="BN255" t="s">
        <v>74</v>
      </c>
      <c r="BO255" t="s">
        <v>661</v>
      </c>
      <c r="BP255" t="s">
        <v>74</v>
      </c>
      <c r="BQ255" t="s">
        <v>74</v>
      </c>
      <c r="BR255" t="s">
        <v>102</v>
      </c>
      <c r="BS255" t="s">
        <v>5423</v>
      </c>
      <c r="BT255" t="str">
        <f>HYPERLINK("https%3A%2F%2Fwww.webofscience.com%2Fwos%2Fwoscc%2Ffull-record%2FWOS:000755907700001","View Full Record in Web of Science")</f>
        <v>View Full Record in Web of Science</v>
      </c>
    </row>
    <row r="256" spans="1:72" x14ac:dyDescent="0.15">
      <c r="A256" t="s">
        <v>72</v>
      </c>
      <c r="B256" t="s">
        <v>5424</v>
      </c>
      <c r="C256" t="s">
        <v>74</v>
      </c>
      <c r="D256" t="s">
        <v>74</v>
      </c>
      <c r="E256" t="s">
        <v>74</v>
      </c>
      <c r="F256" t="s">
        <v>5425</v>
      </c>
      <c r="G256" t="s">
        <v>74</v>
      </c>
      <c r="H256" t="s">
        <v>74</v>
      </c>
      <c r="I256" t="s">
        <v>5426</v>
      </c>
      <c r="J256" t="s">
        <v>5427</v>
      </c>
      <c r="K256" t="s">
        <v>74</v>
      </c>
      <c r="L256" t="s">
        <v>74</v>
      </c>
      <c r="M256" t="s">
        <v>78</v>
      </c>
      <c r="N256" t="s">
        <v>79</v>
      </c>
      <c r="O256" t="s">
        <v>74</v>
      </c>
      <c r="P256" t="s">
        <v>74</v>
      </c>
      <c r="Q256" t="s">
        <v>74</v>
      </c>
      <c r="R256" t="s">
        <v>74</v>
      </c>
      <c r="S256" t="s">
        <v>74</v>
      </c>
      <c r="T256" t="s">
        <v>5428</v>
      </c>
      <c r="U256" t="s">
        <v>5429</v>
      </c>
      <c r="V256" t="s">
        <v>5430</v>
      </c>
      <c r="W256" t="s">
        <v>5431</v>
      </c>
      <c r="X256" t="s">
        <v>5432</v>
      </c>
      <c r="Y256" t="s">
        <v>5433</v>
      </c>
      <c r="Z256" t="s">
        <v>5434</v>
      </c>
      <c r="AA256" t="s">
        <v>5435</v>
      </c>
      <c r="AB256" t="s">
        <v>5436</v>
      </c>
      <c r="AC256" t="s">
        <v>5437</v>
      </c>
      <c r="AD256" t="s">
        <v>5438</v>
      </c>
      <c r="AE256" t="s">
        <v>5439</v>
      </c>
      <c r="AF256" t="s">
        <v>74</v>
      </c>
      <c r="AG256">
        <v>22</v>
      </c>
      <c r="AH256">
        <v>7</v>
      </c>
      <c r="AI256">
        <v>7</v>
      </c>
      <c r="AJ256">
        <v>1</v>
      </c>
      <c r="AK256">
        <v>2</v>
      </c>
      <c r="AL256" t="s">
        <v>5440</v>
      </c>
      <c r="AM256" t="s">
        <v>5441</v>
      </c>
      <c r="AN256" t="s">
        <v>5442</v>
      </c>
      <c r="AO256" t="s">
        <v>5443</v>
      </c>
      <c r="AP256" t="s">
        <v>5444</v>
      </c>
      <c r="AQ256" t="s">
        <v>74</v>
      </c>
      <c r="AR256" t="s">
        <v>5445</v>
      </c>
      <c r="AS256" t="s">
        <v>5446</v>
      </c>
      <c r="AT256" t="s">
        <v>74</v>
      </c>
      <c r="AU256">
        <v>2022</v>
      </c>
      <c r="AV256">
        <v>60</v>
      </c>
      <c r="AW256" t="s">
        <v>74</v>
      </c>
      <c r="AX256" t="s">
        <v>74</v>
      </c>
      <c r="AY256" t="s">
        <v>74</v>
      </c>
      <c r="AZ256" t="s">
        <v>74</v>
      </c>
      <c r="BA256" t="s">
        <v>74</v>
      </c>
      <c r="BB256" t="s">
        <v>74</v>
      </c>
      <c r="BC256" t="s">
        <v>74</v>
      </c>
      <c r="BD256" t="s">
        <v>74</v>
      </c>
      <c r="BE256" t="s">
        <v>5447</v>
      </c>
      <c r="BF256" t="str">
        <f>HYPERLINK("http://dx.doi.org/10.1109/TGRS.2021.3090945","http://dx.doi.org/10.1109/TGRS.2021.3090945")</f>
        <v>http://dx.doi.org/10.1109/TGRS.2021.3090945</v>
      </c>
      <c r="BG256" t="s">
        <v>74</v>
      </c>
      <c r="BH256" t="s">
        <v>2323</v>
      </c>
      <c r="BI256">
        <v>11</v>
      </c>
      <c r="BJ256" t="s">
        <v>5448</v>
      </c>
      <c r="BK256" t="s">
        <v>128</v>
      </c>
      <c r="BL256" t="s">
        <v>5449</v>
      </c>
      <c r="BM256" t="s">
        <v>5450</v>
      </c>
      <c r="BN256" t="s">
        <v>74</v>
      </c>
      <c r="BO256" t="s">
        <v>291</v>
      </c>
      <c r="BP256" t="s">
        <v>74</v>
      </c>
      <c r="BQ256" t="s">
        <v>74</v>
      </c>
      <c r="BR256" t="s">
        <v>102</v>
      </c>
      <c r="BS256" t="s">
        <v>5451</v>
      </c>
      <c r="BT256" t="str">
        <f>HYPERLINK("https%3A%2F%2Fwww.webofscience.com%2Fwos%2Fwoscc%2Ffull-record%2FWOS:000732884900001","View Full Record in Web of Science")</f>
        <v>View Full Record in Web of Science</v>
      </c>
    </row>
    <row r="257" spans="1:72" x14ac:dyDescent="0.15">
      <c r="A257" t="s">
        <v>72</v>
      </c>
      <c r="B257" t="s">
        <v>5452</v>
      </c>
      <c r="C257" t="s">
        <v>74</v>
      </c>
      <c r="D257" t="s">
        <v>74</v>
      </c>
      <c r="E257" t="s">
        <v>74</v>
      </c>
      <c r="F257" t="s">
        <v>5453</v>
      </c>
      <c r="G257" t="s">
        <v>74</v>
      </c>
      <c r="H257" t="s">
        <v>74</v>
      </c>
      <c r="I257" t="s">
        <v>5454</v>
      </c>
      <c r="J257" t="s">
        <v>5455</v>
      </c>
      <c r="K257" t="s">
        <v>74</v>
      </c>
      <c r="L257" t="s">
        <v>74</v>
      </c>
      <c r="M257" t="s">
        <v>78</v>
      </c>
      <c r="N257" t="s">
        <v>79</v>
      </c>
      <c r="O257" t="s">
        <v>74</v>
      </c>
      <c r="P257" t="s">
        <v>74</v>
      </c>
      <c r="Q257" t="s">
        <v>74</v>
      </c>
      <c r="R257" t="s">
        <v>74</v>
      </c>
      <c r="S257" t="s">
        <v>74</v>
      </c>
      <c r="T257" t="s">
        <v>5456</v>
      </c>
      <c r="U257" t="s">
        <v>5457</v>
      </c>
      <c r="V257" t="s">
        <v>5458</v>
      </c>
      <c r="W257" t="s">
        <v>5459</v>
      </c>
      <c r="X257" t="s">
        <v>5460</v>
      </c>
      <c r="Y257" t="s">
        <v>5461</v>
      </c>
      <c r="Z257" t="s">
        <v>5462</v>
      </c>
      <c r="AA257" t="s">
        <v>5463</v>
      </c>
      <c r="AB257" t="s">
        <v>5464</v>
      </c>
      <c r="AC257" t="s">
        <v>5465</v>
      </c>
      <c r="AD257" t="s">
        <v>5466</v>
      </c>
      <c r="AE257" t="s">
        <v>5467</v>
      </c>
      <c r="AF257" t="s">
        <v>74</v>
      </c>
      <c r="AG257">
        <v>88</v>
      </c>
      <c r="AH257">
        <v>3</v>
      </c>
      <c r="AI257">
        <v>3</v>
      </c>
      <c r="AJ257">
        <v>4</v>
      </c>
      <c r="AK257">
        <v>17</v>
      </c>
      <c r="AL257" t="s">
        <v>2939</v>
      </c>
      <c r="AM257" t="s">
        <v>2940</v>
      </c>
      <c r="AN257" t="s">
        <v>2941</v>
      </c>
      <c r="AO257" t="s">
        <v>5468</v>
      </c>
      <c r="AP257" t="s">
        <v>5469</v>
      </c>
      <c r="AQ257" t="s">
        <v>74</v>
      </c>
      <c r="AR257" t="s">
        <v>5470</v>
      </c>
      <c r="AS257" t="s">
        <v>5471</v>
      </c>
      <c r="AT257" t="s">
        <v>535</v>
      </c>
      <c r="AU257">
        <v>2021</v>
      </c>
      <c r="AV257">
        <v>114</v>
      </c>
      <c r="AW257">
        <v>4</v>
      </c>
      <c r="AX257" t="s">
        <v>74</v>
      </c>
      <c r="AY257" t="s">
        <v>74</v>
      </c>
      <c r="AZ257" t="s">
        <v>74</v>
      </c>
      <c r="BA257" t="s">
        <v>74</v>
      </c>
      <c r="BB257">
        <v>1743</v>
      </c>
      <c r="BC257">
        <v>1751</v>
      </c>
      <c r="BD257" t="s">
        <v>74</v>
      </c>
      <c r="BE257" t="s">
        <v>5472</v>
      </c>
      <c r="BF257" t="str">
        <f>HYPERLINK("http://dx.doi.org/10.1093/jee/toab128","http://dx.doi.org/10.1093/jee/toab128")</f>
        <v>http://dx.doi.org/10.1093/jee/toab128</v>
      </c>
      <c r="BG257" t="s">
        <v>74</v>
      </c>
      <c r="BH257" t="s">
        <v>2323</v>
      </c>
      <c r="BI257">
        <v>9</v>
      </c>
      <c r="BJ257" t="s">
        <v>5473</v>
      </c>
      <c r="BK257" t="s">
        <v>128</v>
      </c>
      <c r="BL257" t="s">
        <v>5473</v>
      </c>
      <c r="BM257" t="s">
        <v>5474</v>
      </c>
      <c r="BN257">
        <v>34231839</v>
      </c>
      <c r="BO257" t="s">
        <v>74</v>
      </c>
      <c r="BP257" t="s">
        <v>74</v>
      </c>
      <c r="BQ257" t="s">
        <v>74</v>
      </c>
      <c r="BR257" t="s">
        <v>102</v>
      </c>
      <c r="BS257" t="s">
        <v>5475</v>
      </c>
      <c r="BT257" t="str">
        <f>HYPERLINK("https%3A%2F%2Fwww.webofscience.com%2Fwos%2Fwoscc%2Ffull-record%2FWOS:000702386300038","View Full Record in Web of Science")</f>
        <v>View Full Record in Web of Science</v>
      </c>
    </row>
    <row r="258" spans="1:72" x14ac:dyDescent="0.15">
      <c r="A258" t="s">
        <v>72</v>
      </c>
      <c r="B258" t="s">
        <v>5476</v>
      </c>
      <c r="C258" t="s">
        <v>74</v>
      </c>
      <c r="D258" t="s">
        <v>74</v>
      </c>
      <c r="E258" t="s">
        <v>74</v>
      </c>
      <c r="F258" t="s">
        <v>5477</v>
      </c>
      <c r="G258" t="s">
        <v>74</v>
      </c>
      <c r="H258" t="s">
        <v>74</v>
      </c>
      <c r="I258" t="s">
        <v>5478</v>
      </c>
      <c r="J258" t="s">
        <v>5479</v>
      </c>
      <c r="K258" t="s">
        <v>74</v>
      </c>
      <c r="L258" t="s">
        <v>74</v>
      </c>
      <c r="M258" t="s">
        <v>78</v>
      </c>
      <c r="N258" t="s">
        <v>3298</v>
      </c>
      <c r="O258" t="s">
        <v>74</v>
      </c>
      <c r="P258" t="s">
        <v>74</v>
      </c>
      <c r="Q258" t="s">
        <v>74</v>
      </c>
      <c r="R258" t="s">
        <v>74</v>
      </c>
      <c r="S258" t="s">
        <v>74</v>
      </c>
      <c r="T258" t="s">
        <v>74</v>
      </c>
      <c r="U258" t="s">
        <v>74</v>
      </c>
      <c r="V258" t="s">
        <v>74</v>
      </c>
      <c r="W258" t="s">
        <v>5480</v>
      </c>
      <c r="X258" t="s">
        <v>5481</v>
      </c>
      <c r="Y258" t="s">
        <v>5482</v>
      </c>
      <c r="Z258" t="s">
        <v>5483</v>
      </c>
      <c r="AA258" t="s">
        <v>74</v>
      </c>
      <c r="AB258" t="s">
        <v>74</v>
      </c>
      <c r="AC258" t="s">
        <v>74</v>
      </c>
      <c r="AD258" t="s">
        <v>74</v>
      </c>
      <c r="AE258" t="s">
        <v>74</v>
      </c>
      <c r="AF258" t="s">
        <v>74</v>
      </c>
      <c r="AG258">
        <v>1</v>
      </c>
      <c r="AH258">
        <v>0</v>
      </c>
      <c r="AI258">
        <v>0</v>
      </c>
      <c r="AJ258">
        <v>1</v>
      </c>
      <c r="AK258">
        <v>8</v>
      </c>
      <c r="AL258" t="s">
        <v>227</v>
      </c>
      <c r="AM258" t="s">
        <v>228</v>
      </c>
      <c r="AN258" t="s">
        <v>229</v>
      </c>
      <c r="AO258" t="s">
        <v>74</v>
      </c>
      <c r="AP258" t="s">
        <v>5484</v>
      </c>
      <c r="AQ258" t="s">
        <v>74</v>
      </c>
      <c r="AR258" t="s">
        <v>5479</v>
      </c>
      <c r="AS258" t="s">
        <v>5485</v>
      </c>
      <c r="AT258" t="s">
        <v>430</v>
      </c>
      <c r="AU258">
        <v>2021</v>
      </c>
      <c r="AV258">
        <v>7</v>
      </c>
      <c r="AW258">
        <v>7</v>
      </c>
      <c r="AX258" t="s">
        <v>74</v>
      </c>
      <c r="AY258" t="s">
        <v>74</v>
      </c>
      <c r="AZ258" t="s">
        <v>74</v>
      </c>
      <c r="BA258" t="s">
        <v>74</v>
      </c>
      <c r="BB258" t="s">
        <v>74</v>
      </c>
      <c r="BC258" t="s">
        <v>74</v>
      </c>
      <c r="BD258" t="s">
        <v>5486</v>
      </c>
      <c r="BE258" t="s">
        <v>5487</v>
      </c>
      <c r="BF258" t="str">
        <f>HYPERLINK("http://dx.doi.org/10.1016/j.heliyon.2021.e07426","http://dx.doi.org/10.1016/j.heliyon.2021.e07426")</f>
        <v>http://dx.doi.org/10.1016/j.heliyon.2021.e07426</v>
      </c>
      <c r="BG258" t="s">
        <v>74</v>
      </c>
      <c r="BH258" t="s">
        <v>2323</v>
      </c>
      <c r="BI258">
        <v>1</v>
      </c>
      <c r="BJ258" t="s">
        <v>2609</v>
      </c>
      <c r="BK258" t="s">
        <v>128</v>
      </c>
      <c r="BL258" t="s">
        <v>2610</v>
      </c>
      <c r="BM258" t="s">
        <v>5488</v>
      </c>
      <c r="BN258" t="s">
        <v>74</v>
      </c>
      <c r="BO258" t="s">
        <v>238</v>
      </c>
      <c r="BP258" t="s">
        <v>74</v>
      </c>
      <c r="BQ258" t="s">
        <v>74</v>
      </c>
      <c r="BR258" t="s">
        <v>102</v>
      </c>
      <c r="BS258" t="s">
        <v>5489</v>
      </c>
      <c r="BT258" t="str">
        <f>HYPERLINK("https%3A%2F%2Fwww.webofscience.com%2Fwos%2Fwoscc%2Ffull-record%2FWOS:000687265300022","View Full Record in Web of Science")</f>
        <v>View Full Record in Web of Science</v>
      </c>
    </row>
    <row r="259" spans="1:72" x14ac:dyDescent="0.15">
      <c r="A259" t="s">
        <v>72</v>
      </c>
      <c r="B259" t="s">
        <v>5490</v>
      </c>
      <c r="C259" t="s">
        <v>74</v>
      </c>
      <c r="D259" t="s">
        <v>74</v>
      </c>
      <c r="E259" t="s">
        <v>74</v>
      </c>
      <c r="F259" t="s">
        <v>5491</v>
      </c>
      <c r="G259" t="s">
        <v>74</v>
      </c>
      <c r="H259" t="s">
        <v>74</v>
      </c>
      <c r="I259" t="s">
        <v>5492</v>
      </c>
      <c r="J259" t="s">
        <v>5493</v>
      </c>
      <c r="K259" t="s">
        <v>74</v>
      </c>
      <c r="L259" t="s">
        <v>74</v>
      </c>
      <c r="M259" t="s">
        <v>78</v>
      </c>
      <c r="N259" t="s">
        <v>79</v>
      </c>
      <c r="O259" t="s">
        <v>74</v>
      </c>
      <c r="P259" t="s">
        <v>74</v>
      </c>
      <c r="Q259" t="s">
        <v>74</v>
      </c>
      <c r="R259" t="s">
        <v>74</v>
      </c>
      <c r="S259" t="s">
        <v>74</v>
      </c>
      <c r="T259" t="s">
        <v>5494</v>
      </c>
      <c r="U259" t="s">
        <v>5495</v>
      </c>
      <c r="V259" t="s">
        <v>5496</v>
      </c>
      <c r="W259" t="s">
        <v>5497</v>
      </c>
      <c r="X259" t="s">
        <v>5498</v>
      </c>
      <c r="Y259" t="s">
        <v>5499</v>
      </c>
      <c r="Z259" t="s">
        <v>5500</v>
      </c>
      <c r="AA259" t="s">
        <v>5501</v>
      </c>
      <c r="AB259" t="s">
        <v>5502</v>
      </c>
      <c r="AC259" t="s">
        <v>5503</v>
      </c>
      <c r="AD259" t="s">
        <v>5504</v>
      </c>
      <c r="AE259" t="s">
        <v>5505</v>
      </c>
      <c r="AF259" t="s">
        <v>74</v>
      </c>
      <c r="AG259">
        <v>79</v>
      </c>
      <c r="AH259">
        <v>6</v>
      </c>
      <c r="AI259">
        <v>6</v>
      </c>
      <c r="AJ259">
        <v>2</v>
      </c>
      <c r="AK259">
        <v>18</v>
      </c>
      <c r="AL259" t="s">
        <v>2190</v>
      </c>
      <c r="AM259" t="s">
        <v>228</v>
      </c>
      <c r="AN259" t="s">
        <v>2191</v>
      </c>
      <c r="AO259" t="s">
        <v>5506</v>
      </c>
      <c r="AP259" t="s">
        <v>5507</v>
      </c>
      <c r="AQ259" t="s">
        <v>74</v>
      </c>
      <c r="AR259" t="s">
        <v>5508</v>
      </c>
      <c r="AS259" t="s">
        <v>5509</v>
      </c>
      <c r="AT259" t="s">
        <v>430</v>
      </c>
      <c r="AU259">
        <v>2021</v>
      </c>
      <c r="AV259">
        <v>97</v>
      </c>
      <c r="AW259">
        <v>7</v>
      </c>
      <c r="AX259" t="s">
        <v>74</v>
      </c>
      <c r="AY259" t="s">
        <v>74</v>
      </c>
      <c r="AZ259" t="s">
        <v>74</v>
      </c>
      <c r="BA259" t="s">
        <v>74</v>
      </c>
      <c r="BB259" t="s">
        <v>74</v>
      </c>
      <c r="BC259" t="s">
        <v>74</v>
      </c>
      <c r="BD259" t="s">
        <v>5510</v>
      </c>
      <c r="BE259" t="s">
        <v>5511</v>
      </c>
      <c r="BF259" t="str">
        <f>HYPERLINK("http://dx.doi.org/10.1093/femsec/fiab087","http://dx.doi.org/10.1093/femsec/fiab087")</f>
        <v>http://dx.doi.org/10.1093/femsec/fiab087</v>
      </c>
      <c r="BG259" t="s">
        <v>74</v>
      </c>
      <c r="BH259" t="s">
        <v>2323</v>
      </c>
      <c r="BI259">
        <v>17</v>
      </c>
      <c r="BJ259" t="s">
        <v>1499</v>
      </c>
      <c r="BK259" t="s">
        <v>128</v>
      </c>
      <c r="BL259" t="s">
        <v>1499</v>
      </c>
      <c r="BM259" t="s">
        <v>5512</v>
      </c>
      <c r="BN259">
        <v>34151349</v>
      </c>
      <c r="BO259" t="s">
        <v>74</v>
      </c>
      <c r="BP259" t="s">
        <v>74</v>
      </c>
      <c r="BQ259" t="s">
        <v>74</v>
      </c>
      <c r="BR259" t="s">
        <v>102</v>
      </c>
      <c r="BS259" t="s">
        <v>5513</v>
      </c>
      <c r="BT259" t="str">
        <f>HYPERLINK("https%3A%2F%2Fwww.webofscience.com%2Fwos%2Fwoscc%2Ffull-record%2FWOS:000684109400010","View Full Record in Web of Science")</f>
        <v>View Full Record in Web of Science</v>
      </c>
    </row>
    <row r="260" spans="1:72" x14ac:dyDescent="0.15">
      <c r="A260" t="s">
        <v>72</v>
      </c>
      <c r="B260" t="s">
        <v>5514</v>
      </c>
      <c r="C260" t="s">
        <v>74</v>
      </c>
      <c r="D260" t="s">
        <v>74</v>
      </c>
      <c r="E260" t="s">
        <v>74</v>
      </c>
      <c r="F260" t="s">
        <v>5515</v>
      </c>
      <c r="G260" t="s">
        <v>74</v>
      </c>
      <c r="H260" t="s">
        <v>74</v>
      </c>
      <c r="I260" t="s">
        <v>5516</v>
      </c>
      <c r="J260" t="s">
        <v>5517</v>
      </c>
      <c r="K260" t="s">
        <v>74</v>
      </c>
      <c r="L260" t="s">
        <v>74</v>
      </c>
      <c r="M260" t="s">
        <v>78</v>
      </c>
      <c r="N260" t="s">
        <v>3298</v>
      </c>
      <c r="O260" t="s">
        <v>74</v>
      </c>
      <c r="P260" t="s">
        <v>74</v>
      </c>
      <c r="Q260" t="s">
        <v>74</v>
      </c>
      <c r="R260" t="s">
        <v>74</v>
      </c>
      <c r="S260" t="s">
        <v>74</v>
      </c>
      <c r="T260" t="s">
        <v>74</v>
      </c>
      <c r="U260" t="s">
        <v>74</v>
      </c>
      <c r="V260" t="s">
        <v>74</v>
      </c>
      <c r="W260" t="s">
        <v>74</v>
      </c>
      <c r="X260" t="s">
        <v>74</v>
      </c>
      <c r="Y260" t="s">
        <v>74</v>
      </c>
      <c r="Z260" t="s">
        <v>5518</v>
      </c>
      <c r="AA260" t="s">
        <v>5519</v>
      </c>
      <c r="AB260" t="s">
        <v>5520</v>
      </c>
      <c r="AC260" t="s">
        <v>5521</v>
      </c>
      <c r="AD260" t="s">
        <v>5522</v>
      </c>
      <c r="AE260" t="s">
        <v>5523</v>
      </c>
      <c r="AF260" t="s">
        <v>74</v>
      </c>
      <c r="AG260">
        <v>1</v>
      </c>
      <c r="AH260">
        <v>0</v>
      </c>
      <c r="AI260">
        <v>0</v>
      </c>
      <c r="AJ260">
        <v>1</v>
      </c>
      <c r="AK260">
        <v>7</v>
      </c>
      <c r="AL260" t="s">
        <v>2190</v>
      </c>
      <c r="AM260" t="s">
        <v>228</v>
      </c>
      <c r="AN260" t="s">
        <v>2191</v>
      </c>
      <c r="AO260" t="s">
        <v>5524</v>
      </c>
      <c r="AP260" t="s">
        <v>5525</v>
      </c>
      <c r="AQ260" t="s">
        <v>74</v>
      </c>
      <c r="AR260" t="s">
        <v>5526</v>
      </c>
      <c r="AS260" t="s">
        <v>5527</v>
      </c>
      <c r="AT260" t="s">
        <v>430</v>
      </c>
      <c r="AU260">
        <v>2021</v>
      </c>
      <c r="AV260">
        <v>368</v>
      </c>
      <c r="AW260">
        <v>13</v>
      </c>
      <c r="AX260" t="s">
        <v>74</v>
      </c>
      <c r="AY260" t="s">
        <v>74</v>
      </c>
      <c r="AZ260" t="s">
        <v>74</v>
      </c>
      <c r="BA260" t="s">
        <v>74</v>
      </c>
      <c r="BB260" t="s">
        <v>74</v>
      </c>
      <c r="BC260" t="s">
        <v>74</v>
      </c>
      <c r="BD260" t="s">
        <v>5528</v>
      </c>
      <c r="BE260" t="s">
        <v>5529</v>
      </c>
      <c r="BF260" t="str">
        <f>HYPERLINK("http://dx.doi.org/10.1093/femsle/fnab075","http://dx.doi.org/10.1093/femsle/fnab075")</f>
        <v>http://dx.doi.org/10.1093/femsle/fnab075</v>
      </c>
      <c r="BG260" t="s">
        <v>74</v>
      </c>
      <c r="BH260" t="s">
        <v>2323</v>
      </c>
      <c r="BI260">
        <v>1</v>
      </c>
      <c r="BJ260" t="s">
        <v>1499</v>
      </c>
      <c r="BK260" t="s">
        <v>128</v>
      </c>
      <c r="BL260" t="s">
        <v>1499</v>
      </c>
      <c r="BM260" t="s">
        <v>5530</v>
      </c>
      <c r="BN260">
        <v>34240164</v>
      </c>
      <c r="BO260" t="s">
        <v>661</v>
      </c>
      <c r="BP260" t="s">
        <v>74</v>
      </c>
      <c r="BQ260" t="s">
        <v>74</v>
      </c>
      <c r="BR260" t="s">
        <v>102</v>
      </c>
      <c r="BS260" t="s">
        <v>5531</v>
      </c>
      <c r="BT260" t="str">
        <f>HYPERLINK("https%3A%2F%2Fwww.webofscience.com%2Fwos%2Fwoscc%2Ffull-record%2FWOS:000684110500001","View Full Record in Web of Science")</f>
        <v>View Full Record in Web of Science</v>
      </c>
    </row>
    <row r="261" spans="1:72" x14ac:dyDescent="0.15">
      <c r="A261" t="s">
        <v>72</v>
      </c>
      <c r="B261" t="s">
        <v>5532</v>
      </c>
      <c r="C261" t="s">
        <v>74</v>
      </c>
      <c r="D261" t="s">
        <v>74</v>
      </c>
      <c r="E261" t="s">
        <v>74</v>
      </c>
      <c r="F261" t="s">
        <v>5533</v>
      </c>
      <c r="G261" t="s">
        <v>74</v>
      </c>
      <c r="H261" t="s">
        <v>74</v>
      </c>
      <c r="I261" t="s">
        <v>5534</v>
      </c>
      <c r="J261" t="s">
        <v>4603</v>
      </c>
      <c r="K261" t="s">
        <v>74</v>
      </c>
      <c r="L261" t="s">
        <v>74</v>
      </c>
      <c r="M261" t="s">
        <v>78</v>
      </c>
      <c r="N261" t="s">
        <v>79</v>
      </c>
      <c r="O261" t="s">
        <v>74</v>
      </c>
      <c r="P261" t="s">
        <v>74</v>
      </c>
      <c r="Q261" t="s">
        <v>74</v>
      </c>
      <c r="R261" t="s">
        <v>74</v>
      </c>
      <c r="S261" t="s">
        <v>74</v>
      </c>
      <c r="T261" t="s">
        <v>74</v>
      </c>
      <c r="U261" t="s">
        <v>5535</v>
      </c>
      <c r="V261" t="s">
        <v>5536</v>
      </c>
      <c r="W261" t="s">
        <v>5537</v>
      </c>
      <c r="X261" t="s">
        <v>5538</v>
      </c>
      <c r="Y261" t="s">
        <v>5539</v>
      </c>
      <c r="Z261" t="s">
        <v>5540</v>
      </c>
      <c r="AA261" t="s">
        <v>74</v>
      </c>
      <c r="AB261" t="s">
        <v>5541</v>
      </c>
      <c r="AC261" t="s">
        <v>74</v>
      </c>
      <c r="AD261" t="s">
        <v>74</v>
      </c>
      <c r="AE261" t="s">
        <v>74</v>
      </c>
      <c r="AF261" t="s">
        <v>74</v>
      </c>
      <c r="AG261">
        <v>25</v>
      </c>
      <c r="AH261">
        <v>12</v>
      </c>
      <c r="AI261">
        <v>12</v>
      </c>
      <c r="AJ261">
        <v>3</v>
      </c>
      <c r="AK261">
        <v>15</v>
      </c>
      <c r="AL261" t="s">
        <v>3265</v>
      </c>
      <c r="AM261" t="s">
        <v>2239</v>
      </c>
      <c r="AN261" t="s">
        <v>3266</v>
      </c>
      <c r="AO261" t="s">
        <v>4615</v>
      </c>
      <c r="AP261" t="s">
        <v>4616</v>
      </c>
      <c r="AQ261" t="s">
        <v>74</v>
      </c>
      <c r="AR261" t="s">
        <v>4617</v>
      </c>
      <c r="AS261" t="s">
        <v>4618</v>
      </c>
      <c r="AT261" t="s">
        <v>4619</v>
      </c>
      <c r="AU261">
        <v>2021</v>
      </c>
      <c r="AV261">
        <v>12</v>
      </c>
      <c r="AW261">
        <v>18</v>
      </c>
      <c r="AX261" t="s">
        <v>74</v>
      </c>
      <c r="AY261" t="s">
        <v>74</v>
      </c>
      <c r="AZ261" t="s">
        <v>74</v>
      </c>
      <c r="BA261" t="s">
        <v>74</v>
      </c>
      <c r="BB261">
        <v>8544</v>
      </c>
      <c r="BC261">
        <v>8551</v>
      </c>
      <c r="BD261" t="s">
        <v>74</v>
      </c>
      <c r="BE261" t="s">
        <v>5542</v>
      </c>
      <c r="BF261" t="str">
        <f>HYPERLINK("http://dx.doi.org/10.1039/d1fo00592h","http://dx.doi.org/10.1039/d1fo00592h")</f>
        <v>http://dx.doi.org/10.1039/d1fo00592h</v>
      </c>
      <c r="BG261" t="s">
        <v>74</v>
      </c>
      <c r="BH261" t="s">
        <v>2323</v>
      </c>
      <c r="BI261">
        <v>8</v>
      </c>
      <c r="BJ261" t="s">
        <v>3369</v>
      </c>
      <c r="BK261" t="s">
        <v>128</v>
      </c>
      <c r="BL261" t="s">
        <v>3369</v>
      </c>
      <c r="BM261" t="s">
        <v>4621</v>
      </c>
      <c r="BN261">
        <v>34328151</v>
      </c>
      <c r="BO261" t="s">
        <v>74</v>
      </c>
      <c r="BP261" t="s">
        <v>74</v>
      </c>
      <c r="BQ261" t="s">
        <v>74</v>
      </c>
      <c r="BR261" t="s">
        <v>102</v>
      </c>
      <c r="BS261" t="s">
        <v>5543</v>
      </c>
      <c r="BT261" t="str">
        <f>HYPERLINK("https%3A%2F%2Fwww.webofscience.com%2Fwos%2Fwoscc%2Ffull-record%2FWOS:000679458100001","View Full Record in Web of Science")</f>
        <v>View Full Record in Web of Science</v>
      </c>
    </row>
    <row r="262" spans="1:72" x14ac:dyDescent="0.15">
      <c r="A262" t="s">
        <v>72</v>
      </c>
      <c r="B262" t="s">
        <v>5544</v>
      </c>
      <c r="C262" t="s">
        <v>74</v>
      </c>
      <c r="D262" t="s">
        <v>74</v>
      </c>
      <c r="E262" t="s">
        <v>74</v>
      </c>
      <c r="F262" t="s">
        <v>5545</v>
      </c>
      <c r="G262" t="s">
        <v>74</v>
      </c>
      <c r="H262" t="s">
        <v>74</v>
      </c>
      <c r="I262" t="s">
        <v>5546</v>
      </c>
      <c r="J262" t="s">
        <v>5547</v>
      </c>
      <c r="K262" t="s">
        <v>74</v>
      </c>
      <c r="L262" t="s">
        <v>74</v>
      </c>
      <c r="M262" t="s">
        <v>78</v>
      </c>
      <c r="N262" t="s">
        <v>644</v>
      </c>
      <c r="O262" t="s">
        <v>74</v>
      </c>
      <c r="P262" t="s">
        <v>74</v>
      </c>
      <c r="Q262" t="s">
        <v>74</v>
      </c>
      <c r="R262" t="s">
        <v>74</v>
      </c>
      <c r="S262" t="s">
        <v>74</v>
      </c>
      <c r="T262" t="s">
        <v>5548</v>
      </c>
      <c r="U262" t="s">
        <v>5549</v>
      </c>
      <c r="V262" t="s">
        <v>5550</v>
      </c>
      <c r="W262" t="s">
        <v>5551</v>
      </c>
      <c r="X262" t="s">
        <v>5552</v>
      </c>
      <c r="Y262" t="s">
        <v>5553</v>
      </c>
      <c r="Z262" t="s">
        <v>5554</v>
      </c>
      <c r="AA262" t="s">
        <v>5555</v>
      </c>
      <c r="AB262" t="s">
        <v>5556</v>
      </c>
      <c r="AC262" t="s">
        <v>5557</v>
      </c>
      <c r="AD262" t="s">
        <v>5558</v>
      </c>
      <c r="AE262" t="s">
        <v>5559</v>
      </c>
      <c r="AF262" t="s">
        <v>74</v>
      </c>
      <c r="AG262">
        <v>71</v>
      </c>
      <c r="AH262">
        <v>22</v>
      </c>
      <c r="AI262">
        <v>31</v>
      </c>
      <c r="AJ262">
        <v>4</v>
      </c>
      <c r="AK262">
        <v>27</v>
      </c>
      <c r="AL262" t="s">
        <v>5560</v>
      </c>
      <c r="AM262" t="s">
        <v>5561</v>
      </c>
      <c r="AN262" t="s">
        <v>5562</v>
      </c>
      <c r="AO262" t="s">
        <v>5563</v>
      </c>
      <c r="AP262" t="s">
        <v>74</v>
      </c>
      <c r="AQ262" t="s">
        <v>74</v>
      </c>
      <c r="AR262" t="s">
        <v>5564</v>
      </c>
      <c r="AS262" t="s">
        <v>5565</v>
      </c>
      <c r="AT262" t="s">
        <v>5566</v>
      </c>
      <c r="AU262">
        <v>2021</v>
      </c>
      <c r="AV262">
        <v>9</v>
      </c>
      <c r="AW262">
        <v>1</v>
      </c>
      <c r="AX262" t="s">
        <v>74</v>
      </c>
      <c r="AY262" t="s">
        <v>74</v>
      </c>
      <c r="AZ262" t="s">
        <v>74</v>
      </c>
      <c r="BA262" t="s">
        <v>74</v>
      </c>
      <c r="BB262" t="s">
        <v>74</v>
      </c>
      <c r="BC262" t="s">
        <v>74</v>
      </c>
      <c r="BD262">
        <v>1</v>
      </c>
      <c r="BE262" t="s">
        <v>5567</v>
      </c>
      <c r="BF262" t="str">
        <f>HYPERLINK("http://dx.doi.org/10.1525/elementa.2020.00107","http://dx.doi.org/10.1525/elementa.2020.00107")</f>
        <v>http://dx.doi.org/10.1525/elementa.2020.00107</v>
      </c>
      <c r="BG262" t="s">
        <v>74</v>
      </c>
      <c r="BH262" t="s">
        <v>74</v>
      </c>
      <c r="BI262">
        <v>31</v>
      </c>
      <c r="BJ262" t="s">
        <v>635</v>
      </c>
      <c r="BK262" t="s">
        <v>128</v>
      </c>
      <c r="BL262" t="s">
        <v>636</v>
      </c>
      <c r="BM262" t="s">
        <v>5568</v>
      </c>
      <c r="BN262" t="s">
        <v>74</v>
      </c>
      <c r="BO262" t="s">
        <v>5569</v>
      </c>
      <c r="BP262" t="s">
        <v>74</v>
      </c>
      <c r="BQ262" t="s">
        <v>74</v>
      </c>
      <c r="BR262" t="s">
        <v>102</v>
      </c>
      <c r="BS262" t="s">
        <v>5570</v>
      </c>
      <c r="BT262" t="str">
        <f>HYPERLINK("https%3A%2F%2Fwww.webofscience.com%2Fwos%2Fwoscc%2Ffull-record%2FWOS:000680572400001","View Full Record in Web of Science")</f>
        <v>View Full Record in Web of Science</v>
      </c>
    </row>
    <row r="263" spans="1:72" x14ac:dyDescent="0.15">
      <c r="A263" t="s">
        <v>72</v>
      </c>
      <c r="B263" t="s">
        <v>5571</v>
      </c>
      <c r="C263" t="s">
        <v>74</v>
      </c>
      <c r="D263" t="s">
        <v>74</v>
      </c>
      <c r="E263" t="s">
        <v>74</v>
      </c>
      <c r="F263" t="s">
        <v>5572</v>
      </c>
      <c r="G263" t="s">
        <v>74</v>
      </c>
      <c r="H263" t="s">
        <v>74</v>
      </c>
      <c r="I263" t="s">
        <v>5573</v>
      </c>
      <c r="J263" t="s">
        <v>77</v>
      </c>
      <c r="K263" t="s">
        <v>74</v>
      </c>
      <c r="L263" t="s">
        <v>74</v>
      </c>
      <c r="M263" t="s">
        <v>78</v>
      </c>
      <c r="N263" t="s">
        <v>79</v>
      </c>
      <c r="O263" t="s">
        <v>74</v>
      </c>
      <c r="P263" t="s">
        <v>74</v>
      </c>
      <c r="Q263" t="s">
        <v>74</v>
      </c>
      <c r="R263" t="s">
        <v>74</v>
      </c>
      <c r="S263" t="s">
        <v>74</v>
      </c>
      <c r="T263" t="s">
        <v>5574</v>
      </c>
      <c r="U263" t="s">
        <v>5575</v>
      </c>
      <c r="V263" t="s">
        <v>5576</v>
      </c>
      <c r="W263" t="s">
        <v>5577</v>
      </c>
      <c r="X263" t="s">
        <v>5578</v>
      </c>
      <c r="Y263" t="s">
        <v>5579</v>
      </c>
      <c r="Z263" t="s">
        <v>5580</v>
      </c>
      <c r="AA263" t="s">
        <v>5581</v>
      </c>
      <c r="AB263" t="s">
        <v>5582</v>
      </c>
      <c r="AC263" t="s">
        <v>5583</v>
      </c>
      <c r="AD263" t="s">
        <v>5584</v>
      </c>
      <c r="AE263" t="s">
        <v>5585</v>
      </c>
      <c r="AF263" t="s">
        <v>74</v>
      </c>
      <c r="AG263">
        <v>79</v>
      </c>
      <c r="AH263">
        <v>4</v>
      </c>
      <c r="AI263">
        <v>4</v>
      </c>
      <c r="AJ263">
        <v>1</v>
      </c>
      <c r="AK263">
        <v>14</v>
      </c>
      <c r="AL263" t="s">
        <v>89</v>
      </c>
      <c r="AM263" t="s">
        <v>90</v>
      </c>
      <c r="AN263" t="s">
        <v>91</v>
      </c>
      <c r="AO263" t="s">
        <v>92</v>
      </c>
      <c r="AP263" t="s">
        <v>93</v>
      </c>
      <c r="AQ263" t="s">
        <v>74</v>
      </c>
      <c r="AR263" t="s">
        <v>94</v>
      </c>
      <c r="AS263" t="s">
        <v>95</v>
      </c>
      <c r="AT263" t="s">
        <v>96</v>
      </c>
      <c r="AU263">
        <v>2021</v>
      </c>
      <c r="AV263">
        <v>243</v>
      </c>
      <c r="AW263" t="s">
        <v>74</v>
      </c>
      <c r="AX263" t="s">
        <v>74</v>
      </c>
      <c r="AY263" t="s">
        <v>74</v>
      </c>
      <c r="AZ263" t="s">
        <v>74</v>
      </c>
      <c r="BA263" t="s">
        <v>74</v>
      </c>
      <c r="BB263" t="s">
        <v>74</v>
      </c>
      <c r="BC263" t="s">
        <v>74</v>
      </c>
      <c r="BD263">
        <v>106063</v>
      </c>
      <c r="BE263" t="s">
        <v>5586</v>
      </c>
      <c r="BF263" t="str">
        <f>HYPERLINK("http://dx.doi.org/10.1016/j.fishres.2021.106063","http://dx.doi.org/10.1016/j.fishres.2021.106063")</f>
        <v>http://dx.doi.org/10.1016/j.fishres.2021.106063</v>
      </c>
      <c r="BG263" t="s">
        <v>74</v>
      </c>
      <c r="BH263" t="s">
        <v>2323</v>
      </c>
      <c r="BI263">
        <v>11</v>
      </c>
      <c r="BJ263" t="s">
        <v>99</v>
      </c>
      <c r="BK263" t="s">
        <v>128</v>
      </c>
      <c r="BL263" t="s">
        <v>99</v>
      </c>
      <c r="BM263" t="s">
        <v>5587</v>
      </c>
      <c r="BN263" t="s">
        <v>74</v>
      </c>
      <c r="BO263" t="s">
        <v>74</v>
      </c>
      <c r="BP263" t="s">
        <v>74</v>
      </c>
      <c r="BQ263" t="s">
        <v>74</v>
      </c>
      <c r="BR263" t="s">
        <v>102</v>
      </c>
      <c r="BS263" t="s">
        <v>5588</v>
      </c>
      <c r="BT263" t="str">
        <f>HYPERLINK("https%3A%2F%2Fwww.webofscience.com%2Fwos%2Fwoscc%2Ffull-record%2FWOS:000690441700009","View Full Record in Web of Science")</f>
        <v>View Full Record in Web of Science</v>
      </c>
    </row>
    <row r="264" spans="1:72" x14ac:dyDescent="0.15">
      <c r="A264" t="s">
        <v>72</v>
      </c>
      <c r="B264" t="s">
        <v>5589</v>
      </c>
      <c r="C264" t="s">
        <v>74</v>
      </c>
      <c r="D264" t="s">
        <v>74</v>
      </c>
      <c r="E264" t="s">
        <v>74</v>
      </c>
      <c r="F264" t="s">
        <v>5590</v>
      </c>
      <c r="G264" t="s">
        <v>74</v>
      </c>
      <c r="H264" t="s">
        <v>74</v>
      </c>
      <c r="I264" t="s">
        <v>5591</v>
      </c>
      <c r="J264" t="s">
        <v>4077</v>
      </c>
      <c r="K264" t="s">
        <v>74</v>
      </c>
      <c r="L264" t="s">
        <v>74</v>
      </c>
      <c r="M264" t="s">
        <v>78</v>
      </c>
      <c r="N264" t="s">
        <v>79</v>
      </c>
      <c r="O264" t="s">
        <v>74</v>
      </c>
      <c r="P264" t="s">
        <v>74</v>
      </c>
      <c r="Q264" t="s">
        <v>74</v>
      </c>
      <c r="R264" t="s">
        <v>74</v>
      </c>
      <c r="S264" t="s">
        <v>74</v>
      </c>
      <c r="T264" t="s">
        <v>5592</v>
      </c>
      <c r="U264" t="s">
        <v>5593</v>
      </c>
      <c r="V264" t="s">
        <v>5594</v>
      </c>
      <c r="W264" t="s">
        <v>5595</v>
      </c>
      <c r="X264" t="s">
        <v>5596</v>
      </c>
      <c r="Y264" t="s">
        <v>5597</v>
      </c>
      <c r="Z264" t="s">
        <v>5598</v>
      </c>
      <c r="AA264" t="s">
        <v>5599</v>
      </c>
      <c r="AB264" t="s">
        <v>5600</v>
      </c>
      <c r="AC264" t="s">
        <v>5601</v>
      </c>
      <c r="AD264" t="s">
        <v>5602</v>
      </c>
      <c r="AE264" t="s">
        <v>5603</v>
      </c>
      <c r="AF264" t="s">
        <v>74</v>
      </c>
      <c r="AG264">
        <v>125</v>
      </c>
      <c r="AH264">
        <v>7</v>
      </c>
      <c r="AI264">
        <v>7</v>
      </c>
      <c r="AJ264">
        <v>1</v>
      </c>
      <c r="AK264">
        <v>35</v>
      </c>
      <c r="AL264" t="s">
        <v>197</v>
      </c>
      <c r="AM264" t="s">
        <v>198</v>
      </c>
      <c r="AN264" t="s">
        <v>199</v>
      </c>
      <c r="AO264" t="s">
        <v>4090</v>
      </c>
      <c r="AP264" t="s">
        <v>4091</v>
      </c>
      <c r="AQ264" t="s">
        <v>74</v>
      </c>
      <c r="AR264" t="s">
        <v>4092</v>
      </c>
      <c r="AS264" t="s">
        <v>4093</v>
      </c>
      <c r="AT264" t="s">
        <v>457</v>
      </c>
      <c r="AU264">
        <v>2022</v>
      </c>
      <c r="AV264">
        <v>31</v>
      </c>
      <c r="AW264">
        <v>6</v>
      </c>
      <c r="AX264" t="s">
        <v>74</v>
      </c>
      <c r="AY264" t="s">
        <v>74</v>
      </c>
      <c r="AZ264" t="s">
        <v>74</v>
      </c>
      <c r="BA264" t="s">
        <v>74</v>
      </c>
      <c r="BB264">
        <v>1649</v>
      </c>
      <c r="BC264">
        <v>1665</v>
      </c>
      <c r="BD264" t="s">
        <v>74</v>
      </c>
      <c r="BE264" t="s">
        <v>5604</v>
      </c>
      <c r="BF264" t="str">
        <f>HYPERLINK("http://dx.doi.org/10.1111/mec.16045","http://dx.doi.org/10.1111/mec.16045")</f>
        <v>http://dx.doi.org/10.1111/mec.16045</v>
      </c>
      <c r="BG264" t="s">
        <v>74</v>
      </c>
      <c r="BH264" t="s">
        <v>2323</v>
      </c>
      <c r="BI264">
        <v>17</v>
      </c>
      <c r="BJ264" t="s">
        <v>4095</v>
      </c>
      <c r="BK264" t="s">
        <v>128</v>
      </c>
      <c r="BL264" t="s">
        <v>4096</v>
      </c>
      <c r="BM264" t="s">
        <v>5605</v>
      </c>
      <c r="BN264">
        <v>34181792</v>
      </c>
      <c r="BO264" t="s">
        <v>74</v>
      </c>
      <c r="BP264" t="s">
        <v>74</v>
      </c>
      <c r="BQ264" t="s">
        <v>74</v>
      </c>
      <c r="BR264" t="s">
        <v>102</v>
      </c>
      <c r="BS264" t="s">
        <v>5606</v>
      </c>
      <c r="BT264" t="str">
        <f>HYPERLINK("https%3A%2F%2Fwww.webofscience.com%2Fwos%2Fwoscc%2Ffull-record%2FWOS:000670464400001","View Full Record in Web of Science")</f>
        <v>View Full Record in Web of Science</v>
      </c>
    </row>
    <row r="265" spans="1:72" x14ac:dyDescent="0.15">
      <c r="A265" t="s">
        <v>72</v>
      </c>
      <c r="B265" t="s">
        <v>5607</v>
      </c>
      <c r="C265" t="s">
        <v>74</v>
      </c>
      <c r="D265" t="s">
        <v>74</v>
      </c>
      <c r="E265" t="s">
        <v>74</v>
      </c>
      <c r="F265" t="s">
        <v>5608</v>
      </c>
      <c r="G265" t="s">
        <v>74</v>
      </c>
      <c r="H265" t="s">
        <v>74</v>
      </c>
      <c r="I265" t="s">
        <v>5609</v>
      </c>
      <c r="J265" t="s">
        <v>2862</v>
      </c>
      <c r="K265" t="s">
        <v>74</v>
      </c>
      <c r="L265" t="s">
        <v>74</v>
      </c>
      <c r="M265" t="s">
        <v>78</v>
      </c>
      <c r="N265" t="s">
        <v>3298</v>
      </c>
      <c r="O265" t="s">
        <v>74</v>
      </c>
      <c r="P265" t="s">
        <v>74</v>
      </c>
      <c r="Q265" t="s">
        <v>74</v>
      </c>
      <c r="R265" t="s">
        <v>74</v>
      </c>
      <c r="S265" t="s">
        <v>74</v>
      </c>
      <c r="T265" t="s">
        <v>74</v>
      </c>
      <c r="U265" t="s">
        <v>74</v>
      </c>
      <c r="V265" t="s">
        <v>74</v>
      </c>
      <c r="W265" t="s">
        <v>5610</v>
      </c>
      <c r="X265" t="s">
        <v>5611</v>
      </c>
      <c r="Y265" t="s">
        <v>5612</v>
      </c>
      <c r="Z265" t="s">
        <v>5518</v>
      </c>
      <c r="AA265" t="s">
        <v>5613</v>
      </c>
      <c r="AB265" t="s">
        <v>5614</v>
      </c>
      <c r="AC265" t="s">
        <v>5615</v>
      </c>
      <c r="AD265" t="s">
        <v>5616</v>
      </c>
      <c r="AE265" t="s">
        <v>5617</v>
      </c>
      <c r="AF265" t="s">
        <v>74</v>
      </c>
      <c r="AG265">
        <v>1</v>
      </c>
      <c r="AH265">
        <v>0</v>
      </c>
      <c r="AI265">
        <v>0</v>
      </c>
      <c r="AJ265">
        <v>0</v>
      </c>
      <c r="AK265">
        <v>3</v>
      </c>
      <c r="AL265" t="s">
        <v>450</v>
      </c>
      <c r="AM265" t="s">
        <v>650</v>
      </c>
      <c r="AN265" t="s">
        <v>1957</v>
      </c>
      <c r="AO265" t="s">
        <v>2874</v>
      </c>
      <c r="AP265" t="s">
        <v>2875</v>
      </c>
      <c r="AQ265" t="s">
        <v>74</v>
      </c>
      <c r="AR265" t="s">
        <v>2876</v>
      </c>
      <c r="AS265" t="s">
        <v>2877</v>
      </c>
      <c r="AT265" t="s">
        <v>535</v>
      </c>
      <c r="AU265">
        <v>2021</v>
      </c>
      <c r="AV265">
        <v>44</v>
      </c>
      <c r="AW265">
        <v>8</v>
      </c>
      <c r="AX265" t="s">
        <v>74</v>
      </c>
      <c r="AY265" t="s">
        <v>74</v>
      </c>
      <c r="AZ265" t="s">
        <v>74</v>
      </c>
      <c r="BA265" t="s">
        <v>74</v>
      </c>
      <c r="BB265">
        <v>1747</v>
      </c>
      <c r="BC265">
        <v>1747</v>
      </c>
      <c r="BD265" t="s">
        <v>74</v>
      </c>
      <c r="BE265" t="s">
        <v>5618</v>
      </c>
      <c r="BF265" t="str">
        <f>HYPERLINK("http://dx.doi.org/10.1007/s00300-021-02907-3","http://dx.doi.org/10.1007/s00300-021-02907-3")</f>
        <v>http://dx.doi.org/10.1007/s00300-021-02907-3</v>
      </c>
      <c r="BG265" t="s">
        <v>74</v>
      </c>
      <c r="BH265" t="s">
        <v>2323</v>
      </c>
      <c r="BI265">
        <v>1</v>
      </c>
      <c r="BJ265" t="s">
        <v>1883</v>
      </c>
      <c r="BK265" t="s">
        <v>128</v>
      </c>
      <c r="BL265" t="s">
        <v>207</v>
      </c>
      <c r="BM265" t="s">
        <v>5619</v>
      </c>
      <c r="BN265" t="s">
        <v>74</v>
      </c>
      <c r="BO265" t="s">
        <v>661</v>
      </c>
      <c r="BP265" t="s">
        <v>74</v>
      </c>
      <c r="BQ265" t="s">
        <v>74</v>
      </c>
      <c r="BR265" t="s">
        <v>102</v>
      </c>
      <c r="BS265" t="s">
        <v>5620</v>
      </c>
      <c r="BT265" t="str">
        <f>HYPERLINK("https%3A%2F%2Fwww.webofscience.com%2Fwos%2Fwoscc%2Ffull-record%2FWOS:000671711300001","View Full Record in Web of Science")</f>
        <v>View Full Record in Web of Science</v>
      </c>
    </row>
    <row r="266" spans="1:72" x14ac:dyDescent="0.15">
      <c r="A266" t="s">
        <v>72</v>
      </c>
      <c r="B266" t="s">
        <v>5621</v>
      </c>
      <c r="C266" t="s">
        <v>74</v>
      </c>
      <c r="D266" t="s">
        <v>74</v>
      </c>
      <c r="E266" t="s">
        <v>74</v>
      </c>
      <c r="F266" t="s">
        <v>5622</v>
      </c>
      <c r="G266" t="s">
        <v>74</v>
      </c>
      <c r="H266" t="s">
        <v>74</v>
      </c>
      <c r="I266" t="s">
        <v>5623</v>
      </c>
      <c r="J266" t="s">
        <v>2396</v>
      </c>
      <c r="K266" t="s">
        <v>74</v>
      </c>
      <c r="L266" t="s">
        <v>74</v>
      </c>
      <c r="M266" t="s">
        <v>78</v>
      </c>
      <c r="N266" t="s">
        <v>79</v>
      </c>
      <c r="O266" t="s">
        <v>74</v>
      </c>
      <c r="P266" t="s">
        <v>74</v>
      </c>
      <c r="Q266" t="s">
        <v>74</v>
      </c>
      <c r="R266" t="s">
        <v>74</v>
      </c>
      <c r="S266" t="s">
        <v>74</v>
      </c>
      <c r="T266" t="s">
        <v>74</v>
      </c>
      <c r="U266" t="s">
        <v>5624</v>
      </c>
      <c r="V266" t="s">
        <v>5625</v>
      </c>
      <c r="W266" t="s">
        <v>5626</v>
      </c>
      <c r="X266" t="s">
        <v>1928</v>
      </c>
      <c r="Y266" t="s">
        <v>5627</v>
      </c>
      <c r="Z266" t="s">
        <v>5628</v>
      </c>
      <c r="AA266" t="s">
        <v>5629</v>
      </c>
      <c r="AB266" t="s">
        <v>5630</v>
      </c>
      <c r="AC266" t="s">
        <v>5631</v>
      </c>
      <c r="AD266" t="s">
        <v>5632</v>
      </c>
      <c r="AE266" t="s">
        <v>5633</v>
      </c>
      <c r="AF266" t="s">
        <v>74</v>
      </c>
      <c r="AG266">
        <v>36</v>
      </c>
      <c r="AH266">
        <v>18</v>
      </c>
      <c r="AI266">
        <v>19</v>
      </c>
      <c r="AJ266">
        <v>5</v>
      </c>
      <c r="AK266">
        <v>32</v>
      </c>
      <c r="AL266" t="s">
        <v>143</v>
      </c>
      <c r="AM266" t="s">
        <v>144</v>
      </c>
      <c r="AN266" t="s">
        <v>145</v>
      </c>
      <c r="AO266" t="s">
        <v>2408</v>
      </c>
      <c r="AP266" t="s">
        <v>2409</v>
      </c>
      <c r="AQ266" t="s">
        <v>74</v>
      </c>
      <c r="AR266" t="s">
        <v>2396</v>
      </c>
      <c r="AS266" t="s">
        <v>2410</v>
      </c>
      <c r="AT266" t="s">
        <v>5634</v>
      </c>
      <c r="AU266">
        <v>2021</v>
      </c>
      <c r="AV266">
        <v>15</v>
      </c>
      <c r="AW266">
        <v>7</v>
      </c>
      <c r="AX266" t="s">
        <v>74</v>
      </c>
      <c r="AY266" t="s">
        <v>74</v>
      </c>
      <c r="AZ266" t="s">
        <v>74</v>
      </c>
      <c r="BA266" t="s">
        <v>74</v>
      </c>
      <c r="BB266">
        <v>3083</v>
      </c>
      <c r="BC266">
        <v>3099</v>
      </c>
      <c r="BD266" t="s">
        <v>74</v>
      </c>
      <c r="BE266" t="s">
        <v>5635</v>
      </c>
      <c r="BF266" t="str">
        <f>HYPERLINK("http://dx.doi.org/10.5194/tc-15-3083-2021","http://dx.doi.org/10.5194/tc-15-3083-2021")</f>
        <v>http://dx.doi.org/10.5194/tc-15-3083-2021</v>
      </c>
      <c r="BG266" t="s">
        <v>74</v>
      </c>
      <c r="BH266" t="s">
        <v>74</v>
      </c>
      <c r="BI266">
        <v>17</v>
      </c>
      <c r="BJ266" t="s">
        <v>151</v>
      </c>
      <c r="BK266" t="s">
        <v>128</v>
      </c>
      <c r="BL266" t="s">
        <v>152</v>
      </c>
      <c r="BM266" t="s">
        <v>5636</v>
      </c>
      <c r="BN266" t="s">
        <v>74</v>
      </c>
      <c r="BO266" t="s">
        <v>353</v>
      </c>
      <c r="BP266" t="s">
        <v>74</v>
      </c>
      <c r="BQ266" t="s">
        <v>74</v>
      </c>
      <c r="BR266" t="s">
        <v>102</v>
      </c>
      <c r="BS266" t="s">
        <v>5637</v>
      </c>
      <c r="BT266" t="str">
        <f>HYPERLINK("https%3A%2F%2Fwww.webofscience.com%2Fwos%2Fwoscc%2Ffull-record%2FWOS:000671016000002","View Full Record in Web of Science")</f>
        <v>View Full Record in Web of Science</v>
      </c>
    </row>
    <row r="267" spans="1:72" x14ac:dyDescent="0.15">
      <c r="A267" t="s">
        <v>72</v>
      </c>
      <c r="B267" t="s">
        <v>5638</v>
      </c>
      <c r="C267" t="s">
        <v>74</v>
      </c>
      <c r="D267" t="s">
        <v>74</v>
      </c>
      <c r="E267" t="s">
        <v>74</v>
      </c>
      <c r="F267" t="s">
        <v>5639</v>
      </c>
      <c r="G267" t="s">
        <v>74</v>
      </c>
      <c r="H267" t="s">
        <v>74</v>
      </c>
      <c r="I267" t="s">
        <v>5640</v>
      </c>
      <c r="J267" t="s">
        <v>5641</v>
      </c>
      <c r="K267" t="s">
        <v>74</v>
      </c>
      <c r="L267" t="s">
        <v>74</v>
      </c>
      <c r="M267" t="s">
        <v>78</v>
      </c>
      <c r="N267" t="s">
        <v>79</v>
      </c>
      <c r="O267" t="s">
        <v>74</v>
      </c>
      <c r="P267" t="s">
        <v>74</v>
      </c>
      <c r="Q267" t="s">
        <v>74</v>
      </c>
      <c r="R267" t="s">
        <v>74</v>
      </c>
      <c r="S267" t="s">
        <v>74</v>
      </c>
      <c r="T267" t="s">
        <v>74</v>
      </c>
      <c r="U267" t="s">
        <v>5642</v>
      </c>
      <c r="V267" t="s">
        <v>5643</v>
      </c>
      <c r="W267" t="s">
        <v>5644</v>
      </c>
      <c r="X267" t="s">
        <v>5645</v>
      </c>
      <c r="Y267" t="s">
        <v>5646</v>
      </c>
      <c r="Z267" t="s">
        <v>5647</v>
      </c>
      <c r="AA267" t="s">
        <v>5648</v>
      </c>
      <c r="AB267" t="s">
        <v>5649</v>
      </c>
      <c r="AC267" t="s">
        <v>5650</v>
      </c>
      <c r="AD267" t="s">
        <v>5651</v>
      </c>
      <c r="AE267" t="s">
        <v>5652</v>
      </c>
      <c r="AF267" t="s">
        <v>74</v>
      </c>
      <c r="AG267">
        <v>99</v>
      </c>
      <c r="AH267">
        <v>2</v>
      </c>
      <c r="AI267">
        <v>2</v>
      </c>
      <c r="AJ267">
        <v>0</v>
      </c>
      <c r="AK267">
        <v>6</v>
      </c>
      <c r="AL267" t="s">
        <v>5653</v>
      </c>
      <c r="AM267" t="s">
        <v>5654</v>
      </c>
      <c r="AN267" t="s">
        <v>5655</v>
      </c>
      <c r="AO267" t="s">
        <v>5656</v>
      </c>
      <c r="AP267" t="s">
        <v>5657</v>
      </c>
      <c r="AQ267" t="s">
        <v>74</v>
      </c>
      <c r="AR267" t="s">
        <v>5658</v>
      </c>
      <c r="AS267" t="s">
        <v>5659</v>
      </c>
      <c r="AT267" t="s">
        <v>96</v>
      </c>
      <c r="AU267">
        <v>2021</v>
      </c>
      <c r="AV267">
        <v>178</v>
      </c>
      <c r="AW267">
        <v>6</v>
      </c>
      <c r="AX267" t="s">
        <v>74</v>
      </c>
      <c r="AY267" t="s">
        <v>74</v>
      </c>
      <c r="AZ267" t="s">
        <v>74</v>
      </c>
      <c r="BA267" t="s">
        <v>74</v>
      </c>
      <c r="BB267" t="s">
        <v>74</v>
      </c>
      <c r="BC267" t="s">
        <v>74</v>
      </c>
      <c r="BD267" t="s">
        <v>5660</v>
      </c>
      <c r="BE267" t="s">
        <v>5661</v>
      </c>
      <c r="BF267" t="str">
        <f>HYPERLINK("http://dx.doi.org/10.1144/jgs2021-006","http://dx.doi.org/10.1144/jgs2021-006")</f>
        <v>http://dx.doi.org/10.1144/jgs2021-006</v>
      </c>
      <c r="BG267" t="s">
        <v>74</v>
      </c>
      <c r="BH267" t="s">
        <v>2323</v>
      </c>
      <c r="BI267">
        <v>30</v>
      </c>
      <c r="BJ267" t="s">
        <v>405</v>
      </c>
      <c r="BK267" t="s">
        <v>128</v>
      </c>
      <c r="BL267" t="s">
        <v>406</v>
      </c>
      <c r="BM267" t="s">
        <v>5662</v>
      </c>
      <c r="BN267" t="s">
        <v>74</v>
      </c>
      <c r="BO267" t="s">
        <v>1154</v>
      </c>
      <c r="BP267" t="s">
        <v>74</v>
      </c>
      <c r="BQ267" t="s">
        <v>74</v>
      </c>
      <c r="BR267" t="s">
        <v>102</v>
      </c>
      <c r="BS267" t="s">
        <v>5663</v>
      </c>
      <c r="BT267" t="str">
        <f>HYPERLINK("https%3A%2F%2Fwww.webofscience.com%2Fwos%2Fwoscc%2Ffull-record%2FWOS:000670654800001","View Full Record in Web of Science")</f>
        <v>View Full Record in Web of Science</v>
      </c>
    </row>
    <row r="268" spans="1:72" x14ac:dyDescent="0.15">
      <c r="A268" t="s">
        <v>72</v>
      </c>
      <c r="B268" t="s">
        <v>5664</v>
      </c>
      <c r="C268" t="s">
        <v>74</v>
      </c>
      <c r="D268" t="s">
        <v>74</v>
      </c>
      <c r="E268" t="s">
        <v>74</v>
      </c>
      <c r="F268" t="s">
        <v>5665</v>
      </c>
      <c r="G268" t="s">
        <v>74</v>
      </c>
      <c r="H268" t="s">
        <v>74</v>
      </c>
      <c r="I268" t="s">
        <v>5666</v>
      </c>
      <c r="J268" t="s">
        <v>5667</v>
      </c>
      <c r="K268" t="s">
        <v>74</v>
      </c>
      <c r="L268" t="s">
        <v>74</v>
      </c>
      <c r="M268" t="s">
        <v>78</v>
      </c>
      <c r="N268" t="s">
        <v>79</v>
      </c>
      <c r="O268" t="s">
        <v>74</v>
      </c>
      <c r="P268" t="s">
        <v>74</v>
      </c>
      <c r="Q268" t="s">
        <v>74</v>
      </c>
      <c r="R268" t="s">
        <v>74</v>
      </c>
      <c r="S268" t="s">
        <v>74</v>
      </c>
      <c r="T268" t="s">
        <v>5668</v>
      </c>
      <c r="U268" t="s">
        <v>5669</v>
      </c>
      <c r="V268" t="s">
        <v>5670</v>
      </c>
      <c r="W268" t="s">
        <v>5671</v>
      </c>
      <c r="X268" t="s">
        <v>5672</v>
      </c>
      <c r="Y268" t="s">
        <v>5673</v>
      </c>
      <c r="Z268" t="s">
        <v>5674</v>
      </c>
      <c r="AA268" t="s">
        <v>5675</v>
      </c>
      <c r="AB268" t="s">
        <v>5676</v>
      </c>
      <c r="AC268" t="s">
        <v>5677</v>
      </c>
      <c r="AD268" t="s">
        <v>5678</v>
      </c>
      <c r="AE268" t="s">
        <v>5679</v>
      </c>
      <c r="AF268" t="s">
        <v>74</v>
      </c>
      <c r="AG268">
        <v>67</v>
      </c>
      <c r="AH268">
        <v>8</v>
      </c>
      <c r="AI268">
        <v>8</v>
      </c>
      <c r="AJ268">
        <v>1</v>
      </c>
      <c r="AK268">
        <v>16</v>
      </c>
      <c r="AL268" t="s">
        <v>450</v>
      </c>
      <c r="AM268" t="s">
        <v>650</v>
      </c>
      <c r="AN268" t="s">
        <v>1957</v>
      </c>
      <c r="AO268" t="s">
        <v>5680</v>
      </c>
      <c r="AP268" t="s">
        <v>5681</v>
      </c>
      <c r="AQ268" t="s">
        <v>74</v>
      </c>
      <c r="AR268" t="s">
        <v>5682</v>
      </c>
      <c r="AS268" t="s">
        <v>5683</v>
      </c>
      <c r="AT268" t="s">
        <v>2900</v>
      </c>
      <c r="AU268">
        <v>2022</v>
      </c>
      <c r="AV268">
        <v>83</v>
      </c>
      <c r="AW268">
        <v>3</v>
      </c>
      <c r="AX268" t="s">
        <v>74</v>
      </c>
      <c r="AY268" t="s">
        <v>74</v>
      </c>
      <c r="AZ268" t="s">
        <v>74</v>
      </c>
      <c r="BA268" t="s">
        <v>74</v>
      </c>
      <c r="BB268">
        <v>647</v>
      </c>
      <c r="BC268">
        <v>657</v>
      </c>
      <c r="BD268" t="s">
        <v>74</v>
      </c>
      <c r="BE268" t="s">
        <v>5684</v>
      </c>
      <c r="BF268" t="str">
        <f>HYPERLINK("http://dx.doi.org/10.1007/s00248-021-01792-x","http://dx.doi.org/10.1007/s00248-021-01792-x")</f>
        <v>http://dx.doi.org/10.1007/s00248-021-01792-x</v>
      </c>
      <c r="BG268" t="s">
        <v>74</v>
      </c>
      <c r="BH268" t="s">
        <v>2323</v>
      </c>
      <c r="BI268">
        <v>11</v>
      </c>
      <c r="BJ268" t="s">
        <v>5685</v>
      </c>
      <c r="BK268" t="s">
        <v>128</v>
      </c>
      <c r="BL268" t="s">
        <v>5686</v>
      </c>
      <c r="BM268" t="s">
        <v>5687</v>
      </c>
      <c r="BN268">
        <v>34228196</v>
      </c>
      <c r="BO268" t="s">
        <v>408</v>
      </c>
      <c r="BP268" t="s">
        <v>74</v>
      </c>
      <c r="BQ268" t="s">
        <v>74</v>
      </c>
      <c r="BR268" t="s">
        <v>102</v>
      </c>
      <c r="BS268" t="s">
        <v>5688</v>
      </c>
      <c r="BT268" t="str">
        <f>HYPERLINK("https%3A%2F%2Fwww.webofscience.com%2Fwos%2Fwoscc%2Ffull-record%2FWOS:000670176800001","View Full Record in Web of Science")</f>
        <v>View Full Record in Web of Science</v>
      </c>
    </row>
    <row r="269" spans="1:72" x14ac:dyDescent="0.15">
      <c r="A269" t="s">
        <v>72</v>
      </c>
      <c r="B269" t="s">
        <v>5689</v>
      </c>
      <c r="C269" t="s">
        <v>74</v>
      </c>
      <c r="D269" t="s">
        <v>74</v>
      </c>
      <c r="E269" t="s">
        <v>74</v>
      </c>
      <c r="F269" t="s">
        <v>5690</v>
      </c>
      <c r="G269" t="s">
        <v>74</v>
      </c>
      <c r="H269" t="s">
        <v>74</v>
      </c>
      <c r="I269" t="s">
        <v>5691</v>
      </c>
      <c r="J269" t="s">
        <v>5692</v>
      </c>
      <c r="K269" t="s">
        <v>74</v>
      </c>
      <c r="L269" t="s">
        <v>74</v>
      </c>
      <c r="M269" t="s">
        <v>78</v>
      </c>
      <c r="N269" t="s">
        <v>79</v>
      </c>
      <c r="O269" t="s">
        <v>74</v>
      </c>
      <c r="P269" t="s">
        <v>74</v>
      </c>
      <c r="Q269" t="s">
        <v>74</v>
      </c>
      <c r="R269" t="s">
        <v>74</v>
      </c>
      <c r="S269" t="s">
        <v>74</v>
      </c>
      <c r="T269" t="s">
        <v>5693</v>
      </c>
      <c r="U269" t="s">
        <v>5694</v>
      </c>
      <c r="V269" t="s">
        <v>5695</v>
      </c>
      <c r="W269" t="s">
        <v>5696</v>
      </c>
      <c r="X269" t="s">
        <v>5697</v>
      </c>
      <c r="Y269" t="s">
        <v>5698</v>
      </c>
      <c r="Z269" t="s">
        <v>5699</v>
      </c>
      <c r="AA269" t="s">
        <v>5700</v>
      </c>
      <c r="AB269" t="s">
        <v>5701</v>
      </c>
      <c r="AC269" t="s">
        <v>5702</v>
      </c>
      <c r="AD269" t="s">
        <v>5703</v>
      </c>
      <c r="AE269" t="s">
        <v>5704</v>
      </c>
      <c r="AF269" t="s">
        <v>74</v>
      </c>
      <c r="AG269">
        <v>40</v>
      </c>
      <c r="AH269">
        <v>3</v>
      </c>
      <c r="AI269">
        <v>3</v>
      </c>
      <c r="AJ269">
        <v>2</v>
      </c>
      <c r="AK269">
        <v>11</v>
      </c>
      <c r="AL269" t="s">
        <v>197</v>
      </c>
      <c r="AM269" t="s">
        <v>198</v>
      </c>
      <c r="AN269" t="s">
        <v>199</v>
      </c>
      <c r="AO269" t="s">
        <v>5705</v>
      </c>
      <c r="AP269" t="s">
        <v>5706</v>
      </c>
      <c r="AQ269" t="s">
        <v>74</v>
      </c>
      <c r="AR269" t="s">
        <v>5707</v>
      </c>
      <c r="AS269" t="s">
        <v>5708</v>
      </c>
      <c r="AT269" t="s">
        <v>535</v>
      </c>
      <c r="AU269">
        <v>2021</v>
      </c>
      <c r="AV269">
        <v>31</v>
      </c>
      <c r="AW269">
        <v>8</v>
      </c>
      <c r="AX269" t="s">
        <v>74</v>
      </c>
      <c r="AY269" t="s">
        <v>74</v>
      </c>
      <c r="AZ269" t="s">
        <v>74</v>
      </c>
      <c r="BA269" t="s">
        <v>74</v>
      </c>
      <c r="BB269">
        <v>2095</v>
      </c>
      <c r="BC269">
        <v>2102</v>
      </c>
      <c r="BD269" t="s">
        <v>74</v>
      </c>
      <c r="BE269" t="s">
        <v>5709</v>
      </c>
      <c r="BF269" t="str">
        <f>HYPERLINK("http://dx.doi.org/10.1002/aqc.3443","http://dx.doi.org/10.1002/aqc.3443")</f>
        <v>http://dx.doi.org/10.1002/aqc.3443</v>
      </c>
      <c r="BG269" t="s">
        <v>74</v>
      </c>
      <c r="BH269" t="s">
        <v>2323</v>
      </c>
      <c r="BI269">
        <v>8</v>
      </c>
      <c r="BJ269" t="s">
        <v>5710</v>
      </c>
      <c r="BK269" t="s">
        <v>128</v>
      </c>
      <c r="BL269" t="s">
        <v>5711</v>
      </c>
      <c r="BM269" t="s">
        <v>5712</v>
      </c>
      <c r="BN269" t="s">
        <v>74</v>
      </c>
      <c r="BO269" t="s">
        <v>408</v>
      </c>
      <c r="BP269" t="s">
        <v>74</v>
      </c>
      <c r="BQ269" t="s">
        <v>74</v>
      </c>
      <c r="BR269" t="s">
        <v>102</v>
      </c>
      <c r="BS269" t="s">
        <v>5713</v>
      </c>
      <c r="BT269" t="str">
        <f>HYPERLINK("https%3A%2F%2Fwww.webofscience.com%2Fwos%2Fwoscc%2Ffull-record%2FWOS:000670133300001","View Full Record in Web of Science")</f>
        <v>View Full Record in Web of Science</v>
      </c>
    </row>
    <row r="270" spans="1:72" x14ac:dyDescent="0.15">
      <c r="A270" t="s">
        <v>72</v>
      </c>
      <c r="B270" t="s">
        <v>5714</v>
      </c>
      <c r="C270" t="s">
        <v>74</v>
      </c>
      <c r="D270" t="s">
        <v>74</v>
      </c>
      <c r="E270" t="s">
        <v>74</v>
      </c>
      <c r="F270" t="s">
        <v>5715</v>
      </c>
      <c r="G270" t="s">
        <v>74</v>
      </c>
      <c r="H270" t="s">
        <v>74</v>
      </c>
      <c r="I270" t="s">
        <v>5716</v>
      </c>
      <c r="J270" t="s">
        <v>5717</v>
      </c>
      <c r="K270" t="s">
        <v>74</v>
      </c>
      <c r="L270" t="s">
        <v>74</v>
      </c>
      <c r="M270" t="s">
        <v>78</v>
      </c>
      <c r="N270" t="s">
        <v>79</v>
      </c>
      <c r="O270" t="s">
        <v>74</v>
      </c>
      <c r="P270" t="s">
        <v>74</v>
      </c>
      <c r="Q270" t="s">
        <v>74</v>
      </c>
      <c r="R270" t="s">
        <v>74</v>
      </c>
      <c r="S270" t="s">
        <v>74</v>
      </c>
      <c r="T270" t="s">
        <v>5718</v>
      </c>
      <c r="U270" t="s">
        <v>5719</v>
      </c>
      <c r="V270" t="s">
        <v>5720</v>
      </c>
      <c r="W270" t="s">
        <v>5721</v>
      </c>
      <c r="X270" t="s">
        <v>2640</v>
      </c>
      <c r="Y270" t="s">
        <v>5722</v>
      </c>
      <c r="Z270" t="s">
        <v>5723</v>
      </c>
      <c r="AA270" t="s">
        <v>5724</v>
      </c>
      <c r="AB270" t="s">
        <v>5725</v>
      </c>
      <c r="AC270" t="s">
        <v>5726</v>
      </c>
      <c r="AD270" t="s">
        <v>5727</v>
      </c>
      <c r="AE270" t="s">
        <v>5728</v>
      </c>
      <c r="AF270" t="s">
        <v>74</v>
      </c>
      <c r="AG270">
        <v>26</v>
      </c>
      <c r="AH270">
        <v>10</v>
      </c>
      <c r="AI270">
        <v>10</v>
      </c>
      <c r="AJ270">
        <v>2</v>
      </c>
      <c r="AK270">
        <v>14</v>
      </c>
      <c r="AL270" t="s">
        <v>197</v>
      </c>
      <c r="AM270" t="s">
        <v>198</v>
      </c>
      <c r="AN270" t="s">
        <v>199</v>
      </c>
      <c r="AO270" t="s">
        <v>5729</v>
      </c>
      <c r="AP270" t="s">
        <v>5730</v>
      </c>
      <c r="AQ270" t="s">
        <v>74</v>
      </c>
      <c r="AR270" t="s">
        <v>5731</v>
      </c>
      <c r="AS270" t="s">
        <v>5732</v>
      </c>
      <c r="AT270" t="s">
        <v>430</v>
      </c>
      <c r="AU270">
        <v>2021</v>
      </c>
      <c r="AV270">
        <v>29</v>
      </c>
      <c r="AW270">
        <v>5</v>
      </c>
      <c r="AX270" t="s">
        <v>74</v>
      </c>
      <c r="AY270" t="s">
        <v>74</v>
      </c>
      <c r="AZ270" t="s">
        <v>74</v>
      </c>
      <c r="BA270" t="s">
        <v>74</v>
      </c>
      <c r="BB270" t="s">
        <v>74</v>
      </c>
      <c r="BC270" t="s">
        <v>74</v>
      </c>
      <c r="BD270" t="s">
        <v>5733</v>
      </c>
      <c r="BE270" t="s">
        <v>5734</v>
      </c>
      <c r="BF270" t="str">
        <f>HYPERLINK("http://dx.doi.org/10.1111/rec.13412","http://dx.doi.org/10.1111/rec.13412")</f>
        <v>http://dx.doi.org/10.1111/rec.13412</v>
      </c>
      <c r="BG270" t="s">
        <v>74</v>
      </c>
      <c r="BH270" t="s">
        <v>2323</v>
      </c>
      <c r="BI270">
        <v>5</v>
      </c>
      <c r="BJ270" t="s">
        <v>1462</v>
      </c>
      <c r="BK270" t="s">
        <v>128</v>
      </c>
      <c r="BL270" t="s">
        <v>263</v>
      </c>
      <c r="BM270" t="s">
        <v>5735</v>
      </c>
      <c r="BN270" t="s">
        <v>74</v>
      </c>
      <c r="BO270" t="s">
        <v>74</v>
      </c>
      <c r="BP270" t="s">
        <v>74</v>
      </c>
      <c r="BQ270" t="s">
        <v>74</v>
      </c>
      <c r="BR270" t="s">
        <v>102</v>
      </c>
      <c r="BS270" t="s">
        <v>5736</v>
      </c>
      <c r="BT270" t="str">
        <f>HYPERLINK("https%3A%2F%2Fwww.webofscience.com%2Fwos%2Fwoscc%2Ffull-record%2FWOS:000670000200001","View Full Record in Web of Science")</f>
        <v>View Full Record in Web of Science</v>
      </c>
    </row>
    <row r="271" spans="1:72" x14ac:dyDescent="0.15">
      <c r="A271" t="s">
        <v>72</v>
      </c>
      <c r="B271" t="s">
        <v>5737</v>
      </c>
      <c r="C271" t="s">
        <v>74</v>
      </c>
      <c r="D271" t="s">
        <v>74</v>
      </c>
      <c r="E271" t="s">
        <v>74</v>
      </c>
      <c r="F271" t="s">
        <v>5738</v>
      </c>
      <c r="G271" t="s">
        <v>74</v>
      </c>
      <c r="H271" t="s">
        <v>74</v>
      </c>
      <c r="I271" t="s">
        <v>5739</v>
      </c>
      <c r="J271" t="s">
        <v>3417</v>
      </c>
      <c r="K271" t="s">
        <v>74</v>
      </c>
      <c r="L271" t="s">
        <v>74</v>
      </c>
      <c r="M271" t="s">
        <v>78</v>
      </c>
      <c r="N271" t="s">
        <v>79</v>
      </c>
      <c r="O271" t="s">
        <v>74</v>
      </c>
      <c r="P271" t="s">
        <v>74</v>
      </c>
      <c r="Q271" t="s">
        <v>74</v>
      </c>
      <c r="R271" t="s">
        <v>74</v>
      </c>
      <c r="S271" t="s">
        <v>74</v>
      </c>
      <c r="T271" t="s">
        <v>5740</v>
      </c>
      <c r="U271" t="s">
        <v>5741</v>
      </c>
      <c r="V271" t="s">
        <v>5742</v>
      </c>
      <c r="W271" t="s">
        <v>5743</v>
      </c>
      <c r="X271" t="s">
        <v>5744</v>
      </c>
      <c r="Y271" t="s">
        <v>5745</v>
      </c>
      <c r="Z271" t="s">
        <v>5746</v>
      </c>
      <c r="AA271" t="s">
        <v>5747</v>
      </c>
      <c r="AB271" t="s">
        <v>5748</v>
      </c>
      <c r="AC271" t="s">
        <v>5749</v>
      </c>
      <c r="AD271" t="s">
        <v>676</v>
      </c>
      <c r="AE271" t="s">
        <v>5750</v>
      </c>
      <c r="AF271" t="s">
        <v>74</v>
      </c>
      <c r="AG271">
        <v>70</v>
      </c>
      <c r="AH271">
        <v>20</v>
      </c>
      <c r="AI271">
        <v>20</v>
      </c>
      <c r="AJ271">
        <v>4</v>
      </c>
      <c r="AK271">
        <v>37</v>
      </c>
      <c r="AL271" t="s">
        <v>2190</v>
      </c>
      <c r="AM271" t="s">
        <v>228</v>
      </c>
      <c r="AN271" t="s">
        <v>2191</v>
      </c>
      <c r="AO271" t="s">
        <v>3430</v>
      </c>
      <c r="AP271" t="s">
        <v>3431</v>
      </c>
      <c r="AQ271" t="s">
        <v>74</v>
      </c>
      <c r="AR271" t="s">
        <v>3432</v>
      </c>
      <c r="AS271" t="s">
        <v>3433</v>
      </c>
      <c r="AT271" t="s">
        <v>3434</v>
      </c>
      <c r="AU271">
        <v>2021</v>
      </c>
      <c r="AV271">
        <v>43</v>
      </c>
      <c r="AW271">
        <v>4</v>
      </c>
      <c r="AX271" t="s">
        <v>74</v>
      </c>
      <c r="AY271" t="s">
        <v>74</v>
      </c>
      <c r="AZ271" t="s">
        <v>74</v>
      </c>
      <c r="BA271" t="s">
        <v>74</v>
      </c>
      <c r="BB271">
        <v>598</v>
      </c>
      <c r="BC271">
        <v>609</v>
      </c>
      <c r="BD271" t="s">
        <v>74</v>
      </c>
      <c r="BE271" t="s">
        <v>5751</v>
      </c>
      <c r="BF271" t="str">
        <f>HYPERLINK("http://dx.doi.org/10.1093/plankt/fbab044","http://dx.doi.org/10.1093/plankt/fbab044")</f>
        <v>http://dx.doi.org/10.1093/plankt/fbab044</v>
      </c>
      <c r="BG271" t="s">
        <v>74</v>
      </c>
      <c r="BH271" t="s">
        <v>2323</v>
      </c>
      <c r="BI271">
        <v>12</v>
      </c>
      <c r="BJ271" t="s">
        <v>3436</v>
      </c>
      <c r="BK271" t="s">
        <v>128</v>
      </c>
      <c r="BL271" t="s">
        <v>3436</v>
      </c>
      <c r="BM271" t="s">
        <v>3437</v>
      </c>
      <c r="BN271" t="s">
        <v>74</v>
      </c>
      <c r="BO271" t="s">
        <v>661</v>
      </c>
      <c r="BP271" t="s">
        <v>74</v>
      </c>
      <c r="BQ271" t="s">
        <v>74</v>
      </c>
      <c r="BR271" t="s">
        <v>102</v>
      </c>
      <c r="BS271" t="s">
        <v>5752</v>
      </c>
      <c r="BT271" t="str">
        <f>HYPERLINK("https%3A%2F%2Fwww.webofscience.com%2Fwos%2Fwoscc%2Ffull-record%2FWOS:000684173000007","View Full Record in Web of Science")</f>
        <v>View Full Record in Web of Science</v>
      </c>
    </row>
    <row r="272" spans="1:72" x14ac:dyDescent="0.15">
      <c r="A272" t="s">
        <v>72</v>
      </c>
      <c r="B272" t="s">
        <v>5753</v>
      </c>
      <c r="C272" t="s">
        <v>74</v>
      </c>
      <c r="D272" t="s">
        <v>74</v>
      </c>
      <c r="E272" t="s">
        <v>74</v>
      </c>
      <c r="F272" t="s">
        <v>5754</v>
      </c>
      <c r="G272" t="s">
        <v>74</v>
      </c>
      <c r="H272" t="s">
        <v>74</v>
      </c>
      <c r="I272" t="s">
        <v>5755</v>
      </c>
      <c r="J272" t="s">
        <v>5756</v>
      </c>
      <c r="K272" t="s">
        <v>74</v>
      </c>
      <c r="L272" t="s">
        <v>74</v>
      </c>
      <c r="M272" t="s">
        <v>78</v>
      </c>
      <c r="N272" t="s">
        <v>79</v>
      </c>
      <c r="O272" t="s">
        <v>74</v>
      </c>
      <c r="P272" t="s">
        <v>74</v>
      </c>
      <c r="Q272" t="s">
        <v>74</v>
      </c>
      <c r="R272" t="s">
        <v>74</v>
      </c>
      <c r="S272" t="s">
        <v>74</v>
      </c>
      <c r="T272" t="s">
        <v>5757</v>
      </c>
      <c r="U272" t="s">
        <v>5758</v>
      </c>
      <c r="V272" t="s">
        <v>5759</v>
      </c>
      <c r="W272" t="s">
        <v>5760</v>
      </c>
      <c r="X272" t="s">
        <v>5761</v>
      </c>
      <c r="Y272" t="s">
        <v>5762</v>
      </c>
      <c r="Z272" t="s">
        <v>5763</v>
      </c>
      <c r="AA272" t="s">
        <v>5764</v>
      </c>
      <c r="AB272" t="s">
        <v>5765</v>
      </c>
      <c r="AC272" t="s">
        <v>5766</v>
      </c>
      <c r="AD272" t="s">
        <v>5767</v>
      </c>
      <c r="AE272" t="s">
        <v>5768</v>
      </c>
      <c r="AF272" t="s">
        <v>74</v>
      </c>
      <c r="AG272">
        <v>106</v>
      </c>
      <c r="AH272">
        <v>14</v>
      </c>
      <c r="AI272">
        <v>14</v>
      </c>
      <c r="AJ272">
        <v>2</v>
      </c>
      <c r="AK272">
        <v>31</v>
      </c>
      <c r="AL272" t="s">
        <v>89</v>
      </c>
      <c r="AM272" t="s">
        <v>90</v>
      </c>
      <c r="AN272" t="s">
        <v>91</v>
      </c>
      <c r="AO272" t="s">
        <v>5769</v>
      </c>
      <c r="AP272" t="s">
        <v>5770</v>
      </c>
      <c r="AQ272" t="s">
        <v>74</v>
      </c>
      <c r="AR272" t="s">
        <v>5771</v>
      </c>
      <c r="AS272" t="s">
        <v>5772</v>
      </c>
      <c r="AT272" t="s">
        <v>204</v>
      </c>
      <c r="AU272">
        <v>2021</v>
      </c>
      <c r="AV272">
        <v>129</v>
      </c>
      <c r="AW272" t="s">
        <v>74</v>
      </c>
      <c r="AX272" t="s">
        <v>74</v>
      </c>
      <c r="AY272" t="s">
        <v>74</v>
      </c>
      <c r="AZ272" t="s">
        <v>74</v>
      </c>
      <c r="BA272" t="s">
        <v>74</v>
      </c>
      <c r="BB272" t="s">
        <v>74</v>
      </c>
      <c r="BC272" t="s">
        <v>74</v>
      </c>
      <c r="BD272">
        <v>107934</v>
      </c>
      <c r="BE272" t="s">
        <v>5773</v>
      </c>
      <c r="BF272" t="str">
        <f>HYPERLINK("http://dx.doi.org/10.1016/j.ecolind.2021.107934","http://dx.doi.org/10.1016/j.ecolind.2021.107934")</f>
        <v>http://dx.doi.org/10.1016/j.ecolind.2021.107934</v>
      </c>
      <c r="BG272" t="s">
        <v>74</v>
      </c>
      <c r="BH272" t="s">
        <v>2323</v>
      </c>
      <c r="BI272">
        <v>14</v>
      </c>
      <c r="BJ272" t="s">
        <v>5774</v>
      </c>
      <c r="BK272" t="s">
        <v>128</v>
      </c>
      <c r="BL272" t="s">
        <v>207</v>
      </c>
      <c r="BM272" t="s">
        <v>5775</v>
      </c>
      <c r="BN272" t="s">
        <v>74</v>
      </c>
      <c r="BO272" t="s">
        <v>131</v>
      </c>
      <c r="BP272" t="s">
        <v>74</v>
      </c>
      <c r="BQ272" t="s">
        <v>74</v>
      </c>
      <c r="BR272" t="s">
        <v>102</v>
      </c>
      <c r="BS272" t="s">
        <v>5776</v>
      </c>
      <c r="BT272" t="str">
        <f>HYPERLINK("https%3A%2F%2Fwww.webofscience.com%2Fwos%2Fwoscc%2Ffull-record%2FWOS:000681691400001","View Full Record in Web of Science")</f>
        <v>View Full Record in Web of Science</v>
      </c>
    </row>
    <row r="273" spans="1:72" x14ac:dyDescent="0.15">
      <c r="A273" t="s">
        <v>72</v>
      </c>
      <c r="B273" t="s">
        <v>5777</v>
      </c>
      <c r="C273" t="s">
        <v>74</v>
      </c>
      <c r="D273" t="s">
        <v>74</v>
      </c>
      <c r="E273" t="s">
        <v>74</v>
      </c>
      <c r="F273" t="s">
        <v>5778</v>
      </c>
      <c r="G273" t="s">
        <v>74</v>
      </c>
      <c r="H273" t="s">
        <v>74</v>
      </c>
      <c r="I273" t="s">
        <v>5779</v>
      </c>
      <c r="J273" t="s">
        <v>5780</v>
      </c>
      <c r="K273" t="s">
        <v>74</v>
      </c>
      <c r="L273" t="s">
        <v>74</v>
      </c>
      <c r="M273" t="s">
        <v>78</v>
      </c>
      <c r="N273" t="s">
        <v>644</v>
      </c>
      <c r="O273" t="s">
        <v>74</v>
      </c>
      <c r="P273" t="s">
        <v>74</v>
      </c>
      <c r="Q273" t="s">
        <v>74</v>
      </c>
      <c r="R273" t="s">
        <v>74</v>
      </c>
      <c r="S273" t="s">
        <v>74</v>
      </c>
      <c r="T273" t="s">
        <v>74</v>
      </c>
      <c r="U273" t="s">
        <v>5781</v>
      </c>
      <c r="V273" t="s">
        <v>5782</v>
      </c>
      <c r="W273" t="s">
        <v>5783</v>
      </c>
      <c r="X273" t="s">
        <v>2640</v>
      </c>
      <c r="Y273" t="s">
        <v>5784</v>
      </c>
      <c r="Z273" t="s">
        <v>5785</v>
      </c>
      <c r="AA273" t="s">
        <v>74</v>
      </c>
      <c r="AB273" t="s">
        <v>74</v>
      </c>
      <c r="AC273" t="s">
        <v>74</v>
      </c>
      <c r="AD273" t="s">
        <v>74</v>
      </c>
      <c r="AE273" t="s">
        <v>74</v>
      </c>
      <c r="AF273" t="s">
        <v>74</v>
      </c>
      <c r="AG273">
        <v>23</v>
      </c>
      <c r="AH273">
        <v>2</v>
      </c>
      <c r="AI273">
        <v>2</v>
      </c>
      <c r="AJ273">
        <v>0</v>
      </c>
      <c r="AK273">
        <v>13</v>
      </c>
      <c r="AL273" t="s">
        <v>395</v>
      </c>
      <c r="AM273" t="s">
        <v>396</v>
      </c>
      <c r="AN273" t="s">
        <v>397</v>
      </c>
      <c r="AO273" t="s">
        <v>5786</v>
      </c>
      <c r="AP273" t="s">
        <v>74</v>
      </c>
      <c r="AQ273" t="s">
        <v>74</v>
      </c>
      <c r="AR273" t="s">
        <v>5787</v>
      </c>
      <c r="AS273" t="s">
        <v>5788</v>
      </c>
      <c r="AT273" t="s">
        <v>402</v>
      </c>
      <c r="AU273">
        <v>2021</v>
      </c>
      <c r="AV273">
        <v>5</v>
      </c>
      <c r="AW273">
        <v>9</v>
      </c>
      <c r="AX273" t="s">
        <v>74</v>
      </c>
      <c r="AY273" t="s">
        <v>74</v>
      </c>
      <c r="AZ273" t="s">
        <v>74</v>
      </c>
      <c r="BA273" t="s">
        <v>74</v>
      </c>
      <c r="BB273">
        <v>1203</v>
      </c>
      <c r="BC273">
        <v>1204</v>
      </c>
      <c r="BD273" t="s">
        <v>74</v>
      </c>
      <c r="BE273" t="s">
        <v>5789</v>
      </c>
      <c r="BF273" t="str">
        <f>HYPERLINK("http://dx.doi.org/10.1038/s41559-021-01503-2","http://dx.doi.org/10.1038/s41559-021-01503-2")</f>
        <v>http://dx.doi.org/10.1038/s41559-021-01503-2</v>
      </c>
      <c r="BG273" t="s">
        <v>74</v>
      </c>
      <c r="BH273" t="s">
        <v>2323</v>
      </c>
      <c r="BI273">
        <v>2</v>
      </c>
      <c r="BJ273" t="s">
        <v>2696</v>
      </c>
      <c r="BK273" t="s">
        <v>128</v>
      </c>
      <c r="BL273" t="s">
        <v>2697</v>
      </c>
      <c r="BM273" t="s">
        <v>5790</v>
      </c>
      <c r="BN273">
        <v>34226699</v>
      </c>
      <c r="BO273" t="s">
        <v>74</v>
      </c>
      <c r="BP273" t="s">
        <v>74</v>
      </c>
      <c r="BQ273" t="s">
        <v>74</v>
      </c>
      <c r="BR273" t="s">
        <v>102</v>
      </c>
      <c r="BS273" t="s">
        <v>5791</v>
      </c>
      <c r="BT273" t="str">
        <f>HYPERLINK("https%3A%2F%2Fwww.webofscience.com%2Fwos%2Fwoscc%2Ffull-record%2FWOS:000669775300004","View Full Record in Web of Science")</f>
        <v>View Full Record in Web of Science</v>
      </c>
    </row>
    <row r="274" spans="1:72" x14ac:dyDescent="0.15">
      <c r="A274" t="s">
        <v>72</v>
      </c>
      <c r="B274" t="s">
        <v>5792</v>
      </c>
      <c r="C274" t="s">
        <v>74</v>
      </c>
      <c r="D274" t="s">
        <v>74</v>
      </c>
      <c r="E274" t="s">
        <v>74</v>
      </c>
      <c r="F274" t="s">
        <v>5793</v>
      </c>
      <c r="G274" t="s">
        <v>74</v>
      </c>
      <c r="H274" t="s">
        <v>74</v>
      </c>
      <c r="I274" t="s">
        <v>5794</v>
      </c>
      <c r="J274" t="s">
        <v>2680</v>
      </c>
      <c r="K274" t="s">
        <v>74</v>
      </c>
      <c r="L274" t="s">
        <v>74</v>
      </c>
      <c r="M274" t="s">
        <v>78</v>
      </c>
      <c r="N274" t="s">
        <v>79</v>
      </c>
      <c r="O274" t="s">
        <v>74</v>
      </c>
      <c r="P274" t="s">
        <v>74</v>
      </c>
      <c r="Q274" t="s">
        <v>74</v>
      </c>
      <c r="R274" t="s">
        <v>74</v>
      </c>
      <c r="S274" t="s">
        <v>74</v>
      </c>
      <c r="T274" t="s">
        <v>5795</v>
      </c>
      <c r="U274" t="s">
        <v>5796</v>
      </c>
      <c r="V274" t="s">
        <v>5797</v>
      </c>
      <c r="W274" t="s">
        <v>5798</v>
      </c>
      <c r="X274" t="s">
        <v>5799</v>
      </c>
      <c r="Y274" t="s">
        <v>5800</v>
      </c>
      <c r="Z274" t="s">
        <v>5801</v>
      </c>
      <c r="AA274" t="s">
        <v>5802</v>
      </c>
      <c r="AB274" t="s">
        <v>5803</v>
      </c>
      <c r="AC274" t="s">
        <v>5804</v>
      </c>
      <c r="AD274" t="s">
        <v>5805</v>
      </c>
      <c r="AE274" t="s">
        <v>5806</v>
      </c>
      <c r="AF274" t="s">
        <v>74</v>
      </c>
      <c r="AG274">
        <v>32</v>
      </c>
      <c r="AH274">
        <v>2</v>
      </c>
      <c r="AI274">
        <v>2</v>
      </c>
      <c r="AJ274">
        <v>3</v>
      </c>
      <c r="AK274">
        <v>9</v>
      </c>
      <c r="AL274" t="s">
        <v>197</v>
      </c>
      <c r="AM274" t="s">
        <v>198</v>
      </c>
      <c r="AN274" t="s">
        <v>199</v>
      </c>
      <c r="AO274" t="s">
        <v>2692</v>
      </c>
      <c r="AP274" t="s">
        <v>74</v>
      </c>
      <c r="AQ274" t="s">
        <v>74</v>
      </c>
      <c r="AR274" t="s">
        <v>2693</v>
      </c>
      <c r="AS274" t="s">
        <v>2694</v>
      </c>
      <c r="AT274" t="s">
        <v>535</v>
      </c>
      <c r="AU274">
        <v>2021</v>
      </c>
      <c r="AV274">
        <v>11</v>
      </c>
      <c r="AW274">
        <v>15</v>
      </c>
      <c r="AX274" t="s">
        <v>74</v>
      </c>
      <c r="AY274" t="s">
        <v>74</v>
      </c>
      <c r="AZ274" t="s">
        <v>74</v>
      </c>
      <c r="BA274" t="s">
        <v>74</v>
      </c>
      <c r="BB274">
        <v>10483</v>
      </c>
      <c r="BC274">
        <v>10488</v>
      </c>
      <c r="BD274" t="s">
        <v>74</v>
      </c>
      <c r="BE274" t="s">
        <v>5807</v>
      </c>
      <c r="BF274" t="str">
        <f>HYPERLINK("http://dx.doi.org/10.1002/ece3.7851","http://dx.doi.org/10.1002/ece3.7851")</f>
        <v>http://dx.doi.org/10.1002/ece3.7851</v>
      </c>
      <c r="BG274" t="s">
        <v>74</v>
      </c>
      <c r="BH274" t="s">
        <v>2323</v>
      </c>
      <c r="BI274">
        <v>6</v>
      </c>
      <c r="BJ274" t="s">
        <v>2696</v>
      </c>
      <c r="BK274" t="s">
        <v>128</v>
      </c>
      <c r="BL274" t="s">
        <v>2697</v>
      </c>
      <c r="BM274" t="s">
        <v>5808</v>
      </c>
      <c r="BN274">
        <v>34367590</v>
      </c>
      <c r="BO274" t="s">
        <v>5809</v>
      </c>
      <c r="BP274" t="s">
        <v>74</v>
      </c>
      <c r="BQ274" t="s">
        <v>74</v>
      </c>
      <c r="BR274" t="s">
        <v>102</v>
      </c>
      <c r="BS274" t="s">
        <v>5810</v>
      </c>
      <c r="BT274" t="str">
        <f>HYPERLINK("https%3A%2F%2Fwww.webofscience.com%2Fwos%2Fwoscc%2Ffull-record%2FWOS:000669695400001","View Full Record in Web of Science")</f>
        <v>View Full Record in Web of Science</v>
      </c>
    </row>
    <row r="275" spans="1:72" x14ac:dyDescent="0.15">
      <c r="A275" t="s">
        <v>72</v>
      </c>
      <c r="B275" t="s">
        <v>5811</v>
      </c>
      <c r="C275" t="s">
        <v>74</v>
      </c>
      <c r="D275" t="s">
        <v>74</v>
      </c>
      <c r="E275" t="s">
        <v>74</v>
      </c>
      <c r="F275" t="s">
        <v>5812</v>
      </c>
      <c r="G275" t="s">
        <v>74</v>
      </c>
      <c r="H275" t="s">
        <v>74</v>
      </c>
      <c r="I275" t="s">
        <v>5813</v>
      </c>
      <c r="J275" t="s">
        <v>5814</v>
      </c>
      <c r="K275" t="s">
        <v>74</v>
      </c>
      <c r="L275" t="s">
        <v>74</v>
      </c>
      <c r="M275" t="s">
        <v>78</v>
      </c>
      <c r="N275" t="s">
        <v>79</v>
      </c>
      <c r="O275" t="s">
        <v>74</v>
      </c>
      <c r="P275" t="s">
        <v>74</v>
      </c>
      <c r="Q275" t="s">
        <v>74</v>
      </c>
      <c r="R275" t="s">
        <v>74</v>
      </c>
      <c r="S275" t="s">
        <v>74</v>
      </c>
      <c r="T275" t="s">
        <v>74</v>
      </c>
      <c r="U275" t="s">
        <v>5815</v>
      </c>
      <c r="V275" t="s">
        <v>5816</v>
      </c>
      <c r="W275" t="s">
        <v>5817</v>
      </c>
      <c r="X275" t="s">
        <v>5818</v>
      </c>
      <c r="Y275" t="s">
        <v>5819</v>
      </c>
      <c r="Z275" t="s">
        <v>5820</v>
      </c>
      <c r="AA275" t="s">
        <v>5821</v>
      </c>
      <c r="AB275" t="s">
        <v>5822</v>
      </c>
      <c r="AC275" t="s">
        <v>5823</v>
      </c>
      <c r="AD275" t="s">
        <v>5824</v>
      </c>
      <c r="AE275" t="s">
        <v>5825</v>
      </c>
      <c r="AF275" t="s">
        <v>74</v>
      </c>
      <c r="AG275">
        <v>120</v>
      </c>
      <c r="AH275">
        <v>11</v>
      </c>
      <c r="AI275">
        <v>11</v>
      </c>
      <c r="AJ275">
        <v>2</v>
      </c>
      <c r="AK275">
        <v>17</v>
      </c>
      <c r="AL275" t="s">
        <v>5826</v>
      </c>
      <c r="AM275" t="s">
        <v>865</v>
      </c>
      <c r="AN275" t="s">
        <v>5827</v>
      </c>
      <c r="AO275" t="s">
        <v>5828</v>
      </c>
      <c r="AP275" t="s">
        <v>74</v>
      </c>
      <c r="AQ275" t="s">
        <v>74</v>
      </c>
      <c r="AR275" t="s">
        <v>5829</v>
      </c>
      <c r="AS275" t="s">
        <v>5830</v>
      </c>
      <c r="AT275" t="s">
        <v>5831</v>
      </c>
      <c r="AU275">
        <v>2021</v>
      </c>
      <c r="AV275">
        <v>29</v>
      </c>
      <c r="AW275">
        <v>14</v>
      </c>
      <c r="AX275" t="s">
        <v>74</v>
      </c>
      <c r="AY275" t="s">
        <v>74</v>
      </c>
      <c r="AZ275" t="s">
        <v>74</v>
      </c>
      <c r="BA275" t="s">
        <v>74</v>
      </c>
      <c r="BB275">
        <v>21084</v>
      </c>
      <c r="BC275">
        <v>21112</v>
      </c>
      <c r="BD275" t="s">
        <v>74</v>
      </c>
      <c r="BE275" t="s">
        <v>5832</v>
      </c>
      <c r="BF275" t="str">
        <f>HYPERLINK("http://dx.doi.org/10.1364/OE.426737","http://dx.doi.org/10.1364/OE.426737")</f>
        <v>http://dx.doi.org/10.1364/OE.426737</v>
      </c>
      <c r="BG275" t="s">
        <v>74</v>
      </c>
      <c r="BH275" t="s">
        <v>74</v>
      </c>
      <c r="BI275">
        <v>29</v>
      </c>
      <c r="BJ275" t="s">
        <v>5833</v>
      </c>
      <c r="BK275" t="s">
        <v>128</v>
      </c>
      <c r="BL275" t="s">
        <v>5833</v>
      </c>
      <c r="BM275" t="s">
        <v>5834</v>
      </c>
      <c r="BN275">
        <v>34265904</v>
      </c>
      <c r="BO275" t="s">
        <v>311</v>
      </c>
      <c r="BP275" t="s">
        <v>74</v>
      </c>
      <c r="BQ275" t="s">
        <v>74</v>
      </c>
      <c r="BR275" t="s">
        <v>102</v>
      </c>
      <c r="BS275" t="s">
        <v>5835</v>
      </c>
      <c r="BT275" t="str">
        <f>HYPERLINK("https%3A%2F%2Fwww.webofscience.com%2Fwos%2Fwoscc%2Ffull-record%2FWOS:000670054200004","View Full Record in Web of Science")</f>
        <v>View Full Record in Web of Science</v>
      </c>
    </row>
    <row r="276" spans="1:72" x14ac:dyDescent="0.15">
      <c r="A276" t="s">
        <v>72</v>
      </c>
      <c r="B276" t="s">
        <v>5836</v>
      </c>
      <c r="C276" t="s">
        <v>74</v>
      </c>
      <c r="D276" t="s">
        <v>74</v>
      </c>
      <c r="E276" t="s">
        <v>74</v>
      </c>
      <c r="F276" t="s">
        <v>5837</v>
      </c>
      <c r="G276" t="s">
        <v>74</v>
      </c>
      <c r="H276" t="s">
        <v>74</v>
      </c>
      <c r="I276" t="s">
        <v>5838</v>
      </c>
      <c r="J276" t="s">
        <v>5814</v>
      </c>
      <c r="K276" t="s">
        <v>74</v>
      </c>
      <c r="L276" t="s">
        <v>74</v>
      </c>
      <c r="M276" t="s">
        <v>78</v>
      </c>
      <c r="N276" t="s">
        <v>79</v>
      </c>
      <c r="O276" t="s">
        <v>74</v>
      </c>
      <c r="P276" t="s">
        <v>74</v>
      </c>
      <c r="Q276" t="s">
        <v>74</v>
      </c>
      <c r="R276" t="s">
        <v>74</v>
      </c>
      <c r="S276" t="s">
        <v>74</v>
      </c>
      <c r="T276" t="s">
        <v>74</v>
      </c>
      <c r="U276" t="s">
        <v>5839</v>
      </c>
      <c r="V276" t="s">
        <v>5840</v>
      </c>
      <c r="W276" t="s">
        <v>5841</v>
      </c>
      <c r="X276" t="s">
        <v>5842</v>
      </c>
      <c r="Y276" t="s">
        <v>5843</v>
      </c>
      <c r="Z276" t="s">
        <v>5844</v>
      </c>
      <c r="AA276" t="s">
        <v>5845</v>
      </c>
      <c r="AB276" t="s">
        <v>5846</v>
      </c>
      <c r="AC276" t="s">
        <v>5847</v>
      </c>
      <c r="AD276" t="s">
        <v>5848</v>
      </c>
      <c r="AE276" t="s">
        <v>5849</v>
      </c>
      <c r="AF276" t="s">
        <v>74</v>
      </c>
      <c r="AG276">
        <v>29</v>
      </c>
      <c r="AH276">
        <v>2</v>
      </c>
      <c r="AI276">
        <v>2</v>
      </c>
      <c r="AJ276">
        <v>1</v>
      </c>
      <c r="AK276">
        <v>12</v>
      </c>
      <c r="AL276" t="s">
        <v>5850</v>
      </c>
      <c r="AM276" t="s">
        <v>865</v>
      </c>
      <c r="AN276" t="s">
        <v>5827</v>
      </c>
      <c r="AO276" t="s">
        <v>5828</v>
      </c>
      <c r="AP276" t="s">
        <v>74</v>
      </c>
      <c r="AQ276" t="s">
        <v>74</v>
      </c>
      <c r="AR276" t="s">
        <v>5829</v>
      </c>
      <c r="AS276" t="s">
        <v>5830</v>
      </c>
      <c r="AT276" t="s">
        <v>5831</v>
      </c>
      <c r="AU276">
        <v>2021</v>
      </c>
      <c r="AV276">
        <v>29</v>
      </c>
      <c r="AW276">
        <v>14</v>
      </c>
      <c r="AX276" t="s">
        <v>74</v>
      </c>
      <c r="AY276" t="s">
        <v>74</v>
      </c>
      <c r="AZ276" t="s">
        <v>74</v>
      </c>
      <c r="BA276" t="s">
        <v>74</v>
      </c>
      <c r="BB276">
        <v>21921</v>
      </c>
      <c r="BC276">
        <v>21935</v>
      </c>
      <c r="BD276" t="s">
        <v>74</v>
      </c>
      <c r="BE276" t="s">
        <v>5851</v>
      </c>
      <c r="BF276" t="str">
        <f>HYPERLINK("http://dx.doi.org/10.1364/OE.427022","http://dx.doi.org/10.1364/OE.427022")</f>
        <v>http://dx.doi.org/10.1364/OE.427022</v>
      </c>
      <c r="BG276" t="s">
        <v>74</v>
      </c>
      <c r="BH276" t="s">
        <v>74</v>
      </c>
      <c r="BI276">
        <v>15</v>
      </c>
      <c r="BJ276" t="s">
        <v>5833</v>
      </c>
      <c r="BK276" t="s">
        <v>128</v>
      </c>
      <c r="BL276" t="s">
        <v>5833</v>
      </c>
      <c r="BM276" t="s">
        <v>5834</v>
      </c>
      <c r="BN276">
        <v>34265968</v>
      </c>
      <c r="BO276" t="s">
        <v>638</v>
      </c>
      <c r="BP276" t="s">
        <v>74</v>
      </c>
      <c r="BQ276" t="s">
        <v>74</v>
      </c>
      <c r="BR276" t="s">
        <v>102</v>
      </c>
      <c r="BS276" t="s">
        <v>5852</v>
      </c>
      <c r="BT276" t="str">
        <f>HYPERLINK("https%3A%2F%2Fwww.webofscience.com%2Fwos%2Fwoscc%2Ffull-record%2FWOS:000670054200068","View Full Record in Web of Science")</f>
        <v>View Full Record in Web of Science</v>
      </c>
    </row>
    <row r="277" spans="1:72" x14ac:dyDescent="0.15">
      <c r="A277" t="s">
        <v>72</v>
      </c>
      <c r="B277" t="s">
        <v>5853</v>
      </c>
      <c r="C277" t="s">
        <v>74</v>
      </c>
      <c r="D277" t="s">
        <v>74</v>
      </c>
      <c r="E277" t="s">
        <v>74</v>
      </c>
      <c r="F277" t="s">
        <v>5854</v>
      </c>
      <c r="G277" t="s">
        <v>74</v>
      </c>
      <c r="H277" t="s">
        <v>74</v>
      </c>
      <c r="I277" t="s">
        <v>5855</v>
      </c>
      <c r="J277" t="s">
        <v>5856</v>
      </c>
      <c r="K277" t="s">
        <v>74</v>
      </c>
      <c r="L277" t="s">
        <v>74</v>
      </c>
      <c r="M277" t="s">
        <v>78</v>
      </c>
      <c r="N277" t="s">
        <v>79</v>
      </c>
      <c r="O277" t="s">
        <v>74</v>
      </c>
      <c r="P277" t="s">
        <v>74</v>
      </c>
      <c r="Q277" t="s">
        <v>74</v>
      </c>
      <c r="R277" t="s">
        <v>74</v>
      </c>
      <c r="S277" t="s">
        <v>74</v>
      </c>
      <c r="T277" t="s">
        <v>74</v>
      </c>
      <c r="U277" t="s">
        <v>5857</v>
      </c>
      <c r="V277" t="s">
        <v>5858</v>
      </c>
      <c r="W277" t="s">
        <v>5859</v>
      </c>
      <c r="X277" t="s">
        <v>5860</v>
      </c>
      <c r="Y277" t="s">
        <v>5861</v>
      </c>
      <c r="Z277" t="s">
        <v>5862</v>
      </c>
      <c r="AA277" t="s">
        <v>5863</v>
      </c>
      <c r="AB277" t="s">
        <v>5864</v>
      </c>
      <c r="AC277" t="s">
        <v>5865</v>
      </c>
      <c r="AD277" t="s">
        <v>5866</v>
      </c>
      <c r="AE277" t="s">
        <v>5867</v>
      </c>
      <c r="AF277" t="s">
        <v>74</v>
      </c>
      <c r="AG277">
        <v>121</v>
      </c>
      <c r="AH277">
        <v>4</v>
      </c>
      <c r="AI277">
        <v>4</v>
      </c>
      <c r="AJ277">
        <v>0</v>
      </c>
      <c r="AK277">
        <v>0</v>
      </c>
      <c r="AL277" t="s">
        <v>5868</v>
      </c>
      <c r="AM277" t="s">
        <v>5869</v>
      </c>
      <c r="AN277" t="s">
        <v>5870</v>
      </c>
      <c r="AO277" t="s">
        <v>5871</v>
      </c>
      <c r="AP277" t="s">
        <v>5872</v>
      </c>
      <c r="AQ277" t="s">
        <v>74</v>
      </c>
      <c r="AR277" t="s">
        <v>5873</v>
      </c>
      <c r="AS277" t="s">
        <v>5874</v>
      </c>
      <c r="AT277" t="s">
        <v>5875</v>
      </c>
      <c r="AU277">
        <v>2021</v>
      </c>
      <c r="AV277">
        <v>41</v>
      </c>
      <c r="AW277">
        <v>4</v>
      </c>
      <c r="AX277" t="s">
        <v>74</v>
      </c>
      <c r="AY277" t="s">
        <v>74</v>
      </c>
      <c r="AZ277" t="s">
        <v>74</v>
      </c>
      <c r="BA277" t="s">
        <v>74</v>
      </c>
      <c r="BB277" t="s">
        <v>74</v>
      </c>
      <c r="BC277" t="s">
        <v>74</v>
      </c>
      <c r="BD277" t="s">
        <v>5876</v>
      </c>
      <c r="BE277" t="s">
        <v>5877</v>
      </c>
      <c r="BF277" t="str">
        <f>HYPERLINK("http://dx.doi.org/10.1080/02724634.2021.1998086","http://dx.doi.org/10.1080/02724634.2021.1998086")</f>
        <v>http://dx.doi.org/10.1080/02724634.2021.1998086</v>
      </c>
      <c r="BG277" t="s">
        <v>74</v>
      </c>
      <c r="BH277" t="s">
        <v>2323</v>
      </c>
      <c r="BI277">
        <v>13</v>
      </c>
      <c r="BJ277" t="s">
        <v>4393</v>
      </c>
      <c r="BK277" t="s">
        <v>128</v>
      </c>
      <c r="BL277" t="s">
        <v>4393</v>
      </c>
      <c r="BM277" t="s">
        <v>5878</v>
      </c>
      <c r="BN277" t="s">
        <v>74</v>
      </c>
      <c r="BO277" t="s">
        <v>74</v>
      </c>
      <c r="BP277" t="s">
        <v>74</v>
      </c>
      <c r="BQ277" t="s">
        <v>74</v>
      </c>
      <c r="BR277" t="s">
        <v>102</v>
      </c>
      <c r="BS277" t="s">
        <v>5879</v>
      </c>
      <c r="BT277" t="str">
        <f>HYPERLINK("https%3A%2F%2Fwww.webofscience.com%2Fwos%2Fwoscc%2Ffull-record%2FWOS:000756604200001","View Full Record in Web of Science")</f>
        <v>View Full Record in Web of Science</v>
      </c>
    </row>
    <row r="278" spans="1:72" x14ac:dyDescent="0.15">
      <c r="A278" t="s">
        <v>72</v>
      </c>
      <c r="B278" t="s">
        <v>5880</v>
      </c>
      <c r="C278" t="s">
        <v>74</v>
      </c>
      <c r="D278" t="s">
        <v>74</v>
      </c>
      <c r="E278" t="s">
        <v>74</v>
      </c>
      <c r="F278" t="s">
        <v>5881</v>
      </c>
      <c r="G278" t="s">
        <v>74</v>
      </c>
      <c r="H278" t="s">
        <v>74</v>
      </c>
      <c r="I278" t="s">
        <v>5882</v>
      </c>
      <c r="J278" t="s">
        <v>5883</v>
      </c>
      <c r="K278" t="s">
        <v>74</v>
      </c>
      <c r="L278" t="s">
        <v>74</v>
      </c>
      <c r="M278" t="s">
        <v>78</v>
      </c>
      <c r="N278" t="s">
        <v>79</v>
      </c>
      <c r="O278" t="s">
        <v>74</v>
      </c>
      <c r="P278" t="s">
        <v>74</v>
      </c>
      <c r="Q278" t="s">
        <v>74</v>
      </c>
      <c r="R278" t="s">
        <v>74</v>
      </c>
      <c r="S278" t="s">
        <v>74</v>
      </c>
      <c r="T278" t="s">
        <v>5884</v>
      </c>
      <c r="U278" t="s">
        <v>5885</v>
      </c>
      <c r="V278" t="s">
        <v>5886</v>
      </c>
      <c r="W278" t="s">
        <v>5887</v>
      </c>
      <c r="X278" t="s">
        <v>5888</v>
      </c>
      <c r="Y278" t="s">
        <v>3106</v>
      </c>
      <c r="Z278" t="s">
        <v>3107</v>
      </c>
      <c r="AA278" t="s">
        <v>5889</v>
      </c>
      <c r="AB278" t="s">
        <v>5890</v>
      </c>
      <c r="AC278" t="s">
        <v>5891</v>
      </c>
      <c r="AD278" t="s">
        <v>5892</v>
      </c>
      <c r="AE278" t="s">
        <v>5893</v>
      </c>
      <c r="AF278" t="s">
        <v>74</v>
      </c>
      <c r="AG278">
        <v>38</v>
      </c>
      <c r="AH278">
        <v>24</v>
      </c>
      <c r="AI278">
        <v>25</v>
      </c>
      <c r="AJ278">
        <v>0</v>
      </c>
      <c r="AK278">
        <v>10</v>
      </c>
      <c r="AL278" t="s">
        <v>5868</v>
      </c>
      <c r="AM278" t="s">
        <v>5869</v>
      </c>
      <c r="AN278" t="s">
        <v>5870</v>
      </c>
      <c r="AO278" t="s">
        <v>5894</v>
      </c>
      <c r="AP278" t="s">
        <v>5895</v>
      </c>
      <c r="AQ278" t="s">
        <v>74</v>
      </c>
      <c r="AR278" t="s">
        <v>5896</v>
      </c>
      <c r="AS278" t="s">
        <v>5897</v>
      </c>
      <c r="AT278" t="s">
        <v>3140</v>
      </c>
      <c r="AU278">
        <v>2021</v>
      </c>
      <c r="AV278">
        <v>44</v>
      </c>
      <c r="AW278">
        <v>3</v>
      </c>
      <c r="AX278" t="s">
        <v>74</v>
      </c>
      <c r="AY278" t="s">
        <v>74</v>
      </c>
      <c r="AZ278" t="s">
        <v>431</v>
      </c>
      <c r="BA278" t="s">
        <v>74</v>
      </c>
      <c r="BB278">
        <v>217</v>
      </c>
      <c r="BC278">
        <v>231</v>
      </c>
      <c r="BD278" t="s">
        <v>74</v>
      </c>
      <c r="BE278" t="s">
        <v>5898</v>
      </c>
      <c r="BF278" t="str">
        <f>HYPERLINK("http://dx.doi.org/10.1080/1088937X.2017.1420105","http://dx.doi.org/10.1080/1088937X.2017.1420105")</f>
        <v>http://dx.doi.org/10.1080/1088937X.2017.1420105</v>
      </c>
      <c r="BG278" t="s">
        <v>74</v>
      </c>
      <c r="BH278" t="s">
        <v>74</v>
      </c>
      <c r="BI278">
        <v>15</v>
      </c>
      <c r="BJ278" t="s">
        <v>1818</v>
      </c>
      <c r="BK278" t="s">
        <v>1819</v>
      </c>
      <c r="BL278" t="s">
        <v>1820</v>
      </c>
      <c r="BM278" t="s">
        <v>5899</v>
      </c>
      <c r="BN278" t="s">
        <v>74</v>
      </c>
      <c r="BO278" t="s">
        <v>74</v>
      </c>
      <c r="BP278" t="s">
        <v>74</v>
      </c>
      <c r="BQ278" t="s">
        <v>74</v>
      </c>
      <c r="BR278" t="s">
        <v>102</v>
      </c>
      <c r="BS278" t="s">
        <v>5900</v>
      </c>
      <c r="BT278" t="str">
        <f>HYPERLINK("https%3A%2F%2Fwww.webofscience.com%2Fwos%2Fwoscc%2Ffull-record%2FWOS:000727056000001","View Full Record in Web of Science")</f>
        <v>View Full Record in Web of Science</v>
      </c>
    </row>
    <row r="279" spans="1:72" x14ac:dyDescent="0.15">
      <c r="A279" t="s">
        <v>72</v>
      </c>
      <c r="B279" t="s">
        <v>5901</v>
      </c>
      <c r="C279" t="s">
        <v>74</v>
      </c>
      <c r="D279" t="s">
        <v>74</v>
      </c>
      <c r="E279" t="s">
        <v>74</v>
      </c>
      <c r="F279" t="s">
        <v>5902</v>
      </c>
      <c r="G279" t="s">
        <v>74</v>
      </c>
      <c r="H279" t="s">
        <v>74</v>
      </c>
      <c r="I279" t="s">
        <v>5903</v>
      </c>
      <c r="J279" t="s">
        <v>5904</v>
      </c>
      <c r="K279" t="s">
        <v>74</v>
      </c>
      <c r="L279" t="s">
        <v>74</v>
      </c>
      <c r="M279" t="s">
        <v>78</v>
      </c>
      <c r="N279" t="s">
        <v>79</v>
      </c>
      <c r="O279" t="s">
        <v>74</v>
      </c>
      <c r="P279" t="s">
        <v>74</v>
      </c>
      <c r="Q279" t="s">
        <v>74</v>
      </c>
      <c r="R279" t="s">
        <v>74</v>
      </c>
      <c r="S279" t="s">
        <v>74</v>
      </c>
      <c r="T279" t="s">
        <v>5905</v>
      </c>
      <c r="U279" t="s">
        <v>5906</v>
      </c>
      <c r="V279" t="s">
        <v>5907</v>
      </c>
      <c r="W279" t="s">
        <v>5908</v>
      </c>
      <c r="X279" t="s">
        <v>5909</v>
      </c>
      <c r="Y279" t="s">
        <v>5910</v>
      </c>
      <c r="Z279" t="s">
        <v>5911</v>
      </c>
      <c r="AA279" t="s">
        <v>5912</v>
      </c>
      <c r="AB279" t="s">
        <v>5913</v>
      </c>
      <c r="AC279" t="s">
        <v>5914</v>
      </c>
      <c r="AD279" t="s">
        <v>5915</v>
      </c>
      <c r="AE279" t="s">
        <v>5916</v>
      </c>
      <c r="AF279" t="s">
        <v>74</v>
      </c>
      <c r="AG279">
        <v>106</v>
      </c>
      <c r="AH279">
        <v>3</v>
      </c>
      <c r="AI279">
        <v>3</v>
      </c>
      <c r="AJ279">
        <v>2</v>
      </c>
      <c r="AK279">
        <v>9</v>
      </c>
      <c r="AL279" t="s">
        <v>281</v>
      </c>
      <c r="AM279" t="s">
        <v>228</v>
      </c>
      <c r="AN279" t="s">
        <v>282</v>
      </c>
      <c r="AO279" t="s">
        <v>5917</v>
      </c>
      <c r="AP279" t="s">
        <v>5918</v>
      </c>
      <c r="AQ279" t="s">
        <v>74</v>
      </c>
      <c r="AR279" t="s">
        <v>5919</v>
      </c>
      <c r="AS279" t="s">
        <v>5920</v>
      </c>
      <c r="AT279" t="s">
        <v>2387</v>
      </c>
      <c r="AU279">
        <v>2021</v>
      </c>
      <c r="AV279">
        <v>218</v>
      </c>
      <c r="AW279" t="s">
        <v>74</v>
      </c>
      <c r="AX279" t="s">
        <v>74</v>
      </c>
      <c r="AY279" t="s">
        <v>74</v>
      </c>
      <c r="AZ279" t="s">
        <v>74</v>
      </c>
      <c r="BA279" t="s">
        <v>74</v>
      </c>
      <c r="BB279" t="s">
        <v>74</v>
      </c>
      <c r="BC279" t="s">
        <v>74</v>
      </c>
      <c r="BD279">
        <v>104882</v>
      </c>
      <c r="BE279" t="s">
        <v>5921</v>
      </c>
      <c r="BF279" t="str">
        <f>HYPERLINK("http://dx.doi.org/10.1016/j.jseaes.2021.104882","http://dx.doi.org/10.1016/j.jseaes.2021.104882")</f>
        <v>http://dx.doi.org/10.1016/j.jseaes.2021.104882</v>
      </c>
      <c r="BG279" t="s">
        <v>74</v>
      </c>
      <c r="BH279" t="s">
        <v>2323</v>
      </c>
      <c r="BI279">
        <v>10</v>
      </c>
      <c r="BJ279" t="s">
        <v>405</v>
      </c>
      <c r="BK279" t="s">
        <v>128</v>
      </c>
      <c r="BL279" t="s">
        <v>406</v>
      </c>
      <c r="BM279" t="s">
        <v>5922</v>
      </c>
      <c r="BN279" t="s">
        <v>74</v>
      </c>
      <c r="BO279" t="s">
        <v>74</v>
      </c>
      <c r="BP279" t="s">
        <v>74</v>
      </c>
      <c r="BQ279" t="s">
        <v>74</v>
      </c>
      <c r="BR279" t="s">
        <v>102</v>
      </c>
      <c r="BS279" t="s">
        <v>5923</v>
      </c>
      <c r="BT279" t="str">
        <f>HYPERLINK("https%3A%2F%2Fwww.webofscience.com%2Fwos%2Fwoscc%2Ffull-record%2FWOS:000684290600004","View Full Record in Web of Science")</f>
        <v>View Full Record in Web of Science</v>
      </c>
    </row>
    <row r="280" spans="1:72" x14ac:dyDescent="0.15">
      <c r="A280" t="s">
        <v>72</v>
      </c>
      <c r="B280" t="s">
        <v>5924</v>
      </c>
      <c r="C280" t="s">
        <v>74</v>
      </c>
      <c r="D280" t="s">
        <v>74</v>
      </c>
      <c r="E280" t="s">
        <v>74</v>
      </c>
      <c r="F280" t="s">
        <v>5925</v>
      </c>
      <c r="G280" t="s">
        <v>74</v>
      </c>
      <c r="H280" t="s">
        <v>74</v>
      </c>
      <c r="I280" t="s">
        <v>5926</v>
      </c>
      <c r="J280" t="s">
        <v>5927</v>
      </c>
      <c r="K280" t="s">
        <v>74</v>
      </c>
      <c r="L280" t="s">
        <v>74</v>
      </c>
      <c r="M280" t="s">
        <v>78</v>
      </c>
      <c r="N280" t="s">
        <v>5197</v>
      </c>
      <c r="O280" t="s">
        <v>74</v>
      </c>
      <c r="P280" t="s">
        <v>74</v>
      </c>
      <c r="Q280" t="s">
        <v>74</v>
      </c>
      <c r="R280" t="s">
        <v>74</v>
      </c>
      <c r="S280" t="s">
        <v>74</v>
      </c>
      <c r="T280" t="s">
        <v>74</v>
      </c>
      <c r="U280" t="s">
        <v>74</v>
      </c>
      <c r="V280" t="s">
        <v>74</v>
      </c>
      <c r="W280" t="s">
        <v>74</v>
      </c>
      <c r="X280" t="s">
        <v>74</v>
      </c>
      <c r="Y280" t="s">
        <v>74</v>
      </c>
      <c r="Z280" t="s">
        <v>74</v>
      </c>
      <c r="AA280" t="s">
        <v>74</v>
      </c>
      <c r="AB280" t="s">
        <v>74</v>
      </c>
      <c r="AC280" t="s">
        <v>74</v>
      </c>
      <c r="AD280" t="s">
        <v>74</v>
      </c>
      <c r="AE280" t="s">
        <v>74</v>
      </c>
      <c r="AF280" t="s">
        <v>74</v>
      </c>
      <c r="AG280">
        <v>0</v>
      </c>
      <c r="AH280">
        <v>0</v>
      </c>
      <c r="AI280">
        <v>0</v>
      </c>
      <c r="AJ280">
        <v>0</v>
      </c>
      <c r="AK280">
        <v>0</v>
      </c>
      <c r="AL280" t="s">
        <v>5928</v>
      </c>
      <c r="AM280" t="s">
        <v>5929</v>
      </c>
      <c r="AN280" t="s">
        <v>5930</v>
      </c>
      <c r="AO280" t="s">
        <v>5931</v>
      </c>
      <c r="AP280" t="s">
        <v>74</v>
      </c>
      <c r="AQ280" t="s">
        <v>74</v>
      </c>
      <c r="AR280" t="s">
        <v>5932</v>
      </c>
      <c r="AS280" t="s">
        <v>5933</v>
      </c>
      <c r="AT280" t="s">
        <v>3140</v>
      </c>
      <c r="AU280">
        <v>2021</v>
      </c>
      <c r="AV280">
        <v>245</v>
      </c>
      <c r="AW280">
        <v>3341</v>
      </c>
      <c r="AX280" t="s">
        <v>74</v>
      </c>
      <c r="AY280" t="s">
        <v>74</v>
      </c>
      <c r="AZ280" t="s">
        <v>74</v>
      </c>
      <c r="BA280" t="s">
        <v>74</v>
      </c>
      <c r="BB280">
        <v>54</v>
      </c>
      <c r="BC280">
        <v>54</v>
      </c>
      <c r="BD280" t="s">
        <v>74</v>
      </c>
      <c r="BE280" t="s">
        <v>74</v>
      </c>
      <c r="BF280" t="s">
        <v>74</v>
      </c>
      <c r="BG280" t="s">
        <v>74</v>
      </c>
      <c r="BH280" t="s">
        <v>74</v>
      </c>
      <c r="BI280">
        <v>1</v>
      </c>
      <c r="BJ280" t="s">
        <v>2609</v>
      </c>
      <c r="BK280" t="s">
        <v>128</v>
      </c>
      <c r="BL280" t="s">
        <v>2610</v>
      </c>
      <c r="BM280" t="s">
        <v>5934</v>
      </c>
      <c r="BN280" t="s">
        <v>74</v>
      </c>
      <c r="BO280" t="s">
        <v>74</v>
      </c>
      <c r="BP280" t="s">
        <v>74</v>
      </c>
      <c r="BQ280" t="s">
        <v>74</v>
      </c>
      <c r="BR280" t="s">
        <v>102</v>
      </c>
      <c r="BS280" t="s">
        <v>5935</v>
      </c>
      <c r="BT280" t="str">
        <f>HYPERLINK("https%3A%2F%2Fwww.webofscience.com%2Fwos%2Fwoscc%2Ffull-record%2FWOS:000672539100042","View Full Record in Web of Science")</f>
        <v>View Full Record in Web of Science</v>
      </c>
    </row>
    <row r="281" spans="1:72" x14ac:dyDescent="0.15">
      <c r="A281" t="s">
        <v>72</v>
      </c>
      <c r="B281" t="s">
        <v>5936</v>
      </c>
      <c r="C281" t="s">
        <v>74</v>
      </c>
      <c r="D281" t="s">
        <v>74</v>
      </c>
      <c r="E281" t="s">
        <v>74</v>
      </c>
      <c r="F281" t="s">
        <v>5937</v>
      </c>
      <c r="G281" t="s">
        <v>74</v>
      </c>
      <c r="H281" t="s">
        <v>74</v>
      </c>
      <c r="I281" t="s">
        <v>5926</v>
      </c>
      <c r="J281" t="s">
        <v>5927</v>
      </c>
      <c r="K281" t="s">
        <v>74</v>
      </c>
      <c r="L281" t="s">
        <v>74</v>
      </c>
      <c r="M281" t="s">
        <v>78</v>
      </c>
      <c r="N281" t="s">
        <v>5197</v>
      </c>
      <c r="O281" t="s">
        <v>74</v>
      </c>
      <c r="P281" t="s">
        <v>74</v>
      </c>
      <c r="Q281" t="s">
        <v>74</v>
      </c>
      <c r="R281" t="s">
        <v>74</v>
      </c>
      <c r="S281" t="s">
        <v>74</v>
      </c>
      <c r="T281" t="s">
        <v>74</v>
      </c>
      <c r="U281" t="s">
        <v>74</v>
      </c>
      <c r="V281" t="s">
        <v>74</v>
      </c>
      <c r="W281" t="s">
        <v>74</v>
      </c>
      <c r="X281" t="s">
        <v>74</v>
      </c>
      <c r="Y281" t="s">
        <v>74</v>
      </c>
      <c r="Z281" t="s">
        <v>74</v>
      </c>
      <c r="AA281" t="s">
        <v>74</v>
      </c>
      <c r="AB281" t="s">
        <v>74</v>
      </c>
      <c r="AC281" t="s">
        <v>74</v>
      </c>
      <c r="AD281" t="s">
        <v>74</v>
      </c>
      <c r="AE281" t="s">
        <v>74</v>
      </c>
      <c r="AF281" t="s">
        <v>74</v>
      </c>
      <c r="AG281">
        <v>0</v>
      </c>
      <c r="AH281">
        <v>0</v>
      </c>
      <c r="AI281">
        <v>0</v>
      </c>
      <c r="AJ281">
        <v>0</v>
      </c>
      <c r="AK281">
        <v>0</v>
      </c>
      <c r="AL281" t="s">
        <v>5928</v>
      </c>
      <c r="AM281" t="s">
        <v>5929</v>
      </c>
      <c r="AN281" t="s">
        <v>5930</v>
      </c>
      <c r="AO281" t="s">
        <v>5931</v>
      </c>
      <c r="AP281" t="s">
        <v>74</v>
      </c>
      <c r="AQ281" t="s">
        <v>74</v>
      </c>
      <c r="AR281" t="s">
        <v>5932</v>
      </c>
      <c r="AS281" t="s">
        <v>5933</v>
      </c>
      <c r="AT281" t="s">
        <v>3140</v>
      </c>
      <c r="AU281">
        <v>2021</v>
      </c>
      <c r="AV281">
        <v>245</v>
      </c>
      <c r="AW281">
        <v>3341</v>
      </c>
      <c r="AX281" t="s">
        <v>74</v>
      </c>
      <c r="AY281" t="s">
        <v>74</v>
      </c>
      <c r="AZ281" t="s">
        <v>74</v>
      </c>
      <c r="BA281" t="s">
        <v>74</v>
      </c>
      <c r="BB281">
        <v>54</v>
      </c>
      <c r="BC281">
        <v>54</v>
      </c>
      <c r="BD281" t="s">
        <v>74</v>
      </c>
      <c r="BE281" t="s">
        <v>74</v>
      </c>
      <c r="BF281" t="s">
        <v>74</v>
      </c>
      <c r="BG281" t="s">
        <v>74</v>
      </c>
      <c r="BH281" t="s">
        <v>74</v>
      </c>
      <c r="BI281">
        <v>1</v>
      </c>
      <c r="BJ281" t="s">
        <v>2609</v>
      </c>
      <c r="BK281" t="s">
        <v>128</v>
      </c>
      <c r="BL281" t="s">
        <v>2610</v>
      </c>
      <c r="BM281" t="s">
        <v>5934</v>
      </c>
      <c r="BN281" t="s">
        <v>74</v>
      </c>
      <c r="BO281" t="s">
        <v>74</v>
      </c>
      <c r="BP281" t="s">
        <v>74</v>
      </c>
      <c r="BQ281" t="s">
        <v>74</v>
      </c>
      <c r="BR281" t="s">
        <v>102</v>
      </c>
      <c r="BS281" t="s">
        <v>5938</v>
      </c>
      <c r="BT281" t="str">
        <f>HYPERLINK("https%3A%2F%2Fwww.webofscience.com%2Fwos%2Fwoscc%2Ffull-record%2FWOS:000672539100043","View Full Record in Web of Science")</f>
        <v>View Full Record in Web of Science</v>
      </c>
    </row>
    <row r="282" spans="1:72" x14ac:dyDescent="0.15">
      <c r="A282" t="s">
        <v>72</v>
      </c>
      <c r="B282" t="s">
        <v>5939</v>
      </c>
      <c r="C282" t="s">
        <v>74</v>
      </c>
      <c r="D282" t="s">
        <v>74</v>
      </c>
      <c r="E282" t="s">
        <v>74</v>
      </c>
      <c r="F282" t="s">
        <v>5940</v>
      </c>
      <c r="G282" t="s">
        <v>74</v>
      </c>
      <c r="H282" t="s">
        <v>74</v>
      </c>
      <c r="I282" t="s">
        <v>5926</v>
      </c>
      <c r="J282" t="s">
        <v>5927</v>
      </c>
      <c r="K282" t="s">
        <v>74</v>
      </c>
      <c r="L282" t="s">
        <v>74</v>
      </c>
      <c r="M282" t="s">
        <v>78</v>
      </c>
      <c r="N282" t="s">
        <v>5197</v>
      </c>
      <c r="O282" t="s">
        <v>74</v>
      </c>
      <c r="P282" t="s">
        <v>74</v>
      </c>
      <c r="Q282" t="s">
        <v>74</v>
      </c>
      <c r="R282" t="s">
        <v>74</v>
      </c>
      <c r="S282" t="s">
        <v>74</v>
      </c>
      <c r="T282" t="s">
        <v>74</v>
      </c>
      <c r="U282" t="s">
        <v>74</v>
      </c>
      <c r="V282" t="s">
        <v>74</v>
      </c>
      <c r="W282" t="s">
        <v>74</v>
      </c>
      <c r="X282" t="s">
        <v>74</v>
      </c>
      <c r="Y282" t="s">
        <v>74</v>
      </c>
      <c r="Z282" t="s">
        <v>74</v>
      </c>
      <c r="AA282" t="s">
        <v>74</v>
      </c>
      <c r="AB282" t="s">
        <v>74</v>
      </c>
      <c r="AC282" t="s">
        <v>74</v>
      </c>
      <c r="AD282" t="s">
        <v>74</v>
      </c>
      <c r="AE282" t="s">
        <v>74</v>
      </c>
      <c r="AF282" t="s">
        <v>74</v>
      </c>
      <c r="AG282">
        <v>0</v>
      </c>
      <c r="AH282">
        <v>0</v>
      </c>
      <c r="AI282">
        <v>0</v>
      </c>
      <c r="AJ282">
        <v>0</v>
      </c>
      <c r="AK282">
        <v>0</v>
      </c>
      <c r="AL282" t="s">
        <v>5928</v>
      </c>
      <c r="AM282" t="s">
        <v>5929</v>
      </c>
      <c r="AN282" t="s">
        <v>5930</v>
      </c>
      <c r="AO282" t="s">
        <v>5931</v>
      </c>
      <c r="AP282" t="s">
        <v>74</v>
      </c>
      <c r="AQ282" t="s">
        <v>74</v>
      </c>
      <c r="AR282" t="s">
        <v>5932</v>
      </c>
      <c r="AS282" t="s">
        <v>5933</v>
      </c>
      <c r="AT282" t="s">
        <v>3140</v>
      </c>
      <c r="AU282">
        <v>2021</v>
      </c>
      <c r="AV282">
        <v>245</v>
      </c>
      <c r="AW282">
        <v>3341</v>
      </c>
      <c r="AX282" t="s">
        <v>74</v>
      </c>
      <c r="AY282" t="s">
        <v>74</v>
      </c>
      <c r="AZ282" t="s">
        <v>74</v>
      </c>
      <c r="BA282" t="s">
        <v>74</v>
      </c>
      <c r="BB282">
        <v>54</v>
      </c>
      <c r="BC282">
        <v>55</v>
      </c>
      <c r="BD282" t="s">
        <v>74</v>
      </c>
      <c r="BE282" t="s">
        <v>74</v>
      </c>
      <c r="BF282" t="s">
        <v>74</v>
      </c>
      <c r="BG282" t="s">
        <v>74</v>
      </c>
      <c r="BH282" t="s">
        <v>74</v>
      </c>
      <c r="BI282">
        <v>2</v>
      </c>
      <c r="BJ282" t="s">
        <v>2609</v>
      </c>
      <c r="BK282" t="s">
        <v>128</v>
      </c>
      <c r="BL282" t="s">
        <v>2610</v>
      </c>
      <c r="BM282" t="s">
        <v>5934</v>
      </c>
      <c r="BN282" t="s">
        <v>74</v>
      </c>
      <c r="BO282" t="s">
        <v>74</v>
      </c>
      <c r="BP282" t="s">
        <v>74</v>
      </c>
      <c r="BQ282" t="s">
        <v>74</v>
      </c>
      <c r="BR282" t="s">
        <v>102</v>
      </c>
      <c r="BS282" t="s">
        <v>5941</v>
      </c>
      <c r="BT282" t="str">
        <f>HYPERLINK("https%3A%2F%2Fwww.webofscience.com%2Fwos%2Fwoscc%2Ffull-record%2FWOS:000672539100044","View Full Record in Web of Science")</f>
        <v>View Full Record in Web of Science</v>
      </c>
    </row>
    <row r="283" spans="1:72" x14ac:dyDescent="0.15">
      <c r="A283" t="s">
        <v>72</v>
      </c>
      <c r="B283" t="s">
        <v>5942</v>
      </c>
      <c r="C283" t="s">
        <v>74</v>
      </c>
      <c r="D283" t="s">
        <v>74</v>
      </c>
      <c r="E283" t="s">
        <v>74</v>
      </c>
      <c r="F283" t="s">
        <v>5943</v>
      </c>
      <c r="G283" t="s">
        <v>74</v>
      </c>
      <c r="H283" t="s">
        <v>74</v>
      </c>
      <c r="I283" t="s">
        <v>5926</v>
      </c>
      <c r="J283" t="s">
        <v>5927</v>
      </c>
      <c r="K283" t="s">
        <v>74</v>
      </c>
      <c r="L283" t="s">
        <v>74</v>
      </c>
      <c r="M283" t="s">
        <v>78</v>
      </c>
      <c r="N283" t="s">
        <v>5197</v>
      </c>
      <c r="O283" t="s">
        <v>74</v>
      </c>
      <c r="P283" t="s">
        <v>74</v>
      </c>
      <c r="Q283" t="s">
        <v>74</v>
      </c>
      <c r="R283" t="s">
        <v>74</v>
      </c>
      <c r="S283" t="s">
        <v>74</v>
      </c>
      <c r="T283" t="s">
        <v>74</v>
      </c>
      <c r="U283" t="s">
        <v>74</v>
      </c>
      <c r="V283" t="s">
        <v>74</v>
      </c>
      <c r="W283" t="s">
        <v>74</v>
      </c>
      <c r="X283" t="s">
        <v>74</v>
      </c>
      <c r="Y283" t="s">
        <v>74</v>
      </c>
      <c r="Z283" t="s">
        <v>74</v>
      </c>
      <c r="AA283" t="s">
        <v>74</v>
      </c>
      <c r="AB283" t="s">
        <v>74</v>
      </c>
      <c r="AC283" t="s">
        <v>74</v>
      </c>
      <c r="AD283" t="s">
        <v>74</v>
      </c>
      <c r="AE283" t="s">
        <v>74</v>
      </c>
      <c r="AF283" t="s">
        <v>74</v>
      </c>
      <c r="AG283">
        <v>0</v>
      </c>
      <c r="AH283">
        <v>0</v>
      </c>
      <c r="AI283">
        <v>0</v>
      </c>
      <c r="AJ283">
        <v>0</v>
      </c>
      <c r="AK283">
        <v>0</v>
      </c>
      <c r="AL283" t="s">
        <v>5928</v>
      </c>
      <c r="AM283" t="s">
        <v>5929</v>
      </c>
      <c r="AN283" t="s">
        <v>5930</v>
      </c>
      <c r="AO283" t="s">
        <v>5931</v>
      </c>
      <c r="AP283" t="s">
        <v>74</v>
      </c>
      <c r="AQ283" t="s">
        <v>74</v>
      </c>
      <c r="AR283" t="s">
        <v>5932</v>
      </c>
      <c r="AS283" t="s">
        <v>5933</v>
      </c>
      <c r="AT283" t="s">
        <v>3140</v>
      </c>
      <c r="AU283">
        <v>2021</v>
      </c>
      <c r="AV283">
        <v>245</v>
      </c>
      <c r="AW283">
        <v>3341</v>
      </c>
      <c r="AX283" t="s">
        <v>74</v>
      </c>
      <c r="AY283" t="s">
        <v>74</v>
      </c>
      <c r="AZ283" t="s">
        <v>74</v>
      </c>
      <c r="BA283" t="s">
        <v>74</v>
      </c>
      <c r="BB283">
        <v>55</v>
      </c>
      <c r="BC283">
        <v>55</v>
      </c>
      <c r="BD283" t="s">
        <v>74</v>
      </c>
      <c r="BE283" t="s">
        <v>74</v>
      </c>
      <c r="BF283" t="s">
        <v>74</v>
      </c>
      <c r="BG283" t="s">
        <v>74</v>
      </c>
      <c r="BH283" t="s">
        <v>74</v>
      </c>
      <c r="BI283">
        <v>1</v>
      </c>
      <c r="BJ283" t="s">
        <v>2609</v>
      </c>
      <c r="BK283" t="s">
        <v>128</v>
      </c>
      <c r="BL283" t="s">
        <v>2610</v>
      </c>
      <c r="BM283" t="s">
        <v>5934</v>
      </c>
      <c r="BN283" t="s">
        <v>74</v>
      </c>
      <c r="BO283" t="s">
        <v>74</v>
      </c>
      <c r="BP283" t="s">
        <v>74</v>
      </c>
      <c r="BQ283" t="s">
        <v>74</v>
      </c>
      <c r="BR283" t="s">
        <v>102</v>
      </c>
      <c r="BS283" t="s">
        <v>5944</v>
      </c>
      <c r="BT283" t="str">
        <f>HYPERLINK("https%3A%2F%2Fwww.webofscience.com%2Fwos%2Fwoscc%2Ffull-record%2FWOS:000672539100046","View Full Record in Web of Science")</f>
        <v>View Full Record in Web of Science</v>
      </c>
    </row>
    <row r="284" spans="1:72" x14ac:dyDescent="0.15">
      <c r="A284" t="s">
        <v>72</v>
      </c>
      <c r="B284" t="s">
        <v>5945</v>
      </c>
      <c r="C284" t="s">
        <v>74</v>
      </c>
      <c r="D284" t="s">
        <v>74</v>
      </c>
      <c r="E284" t="s">
        <v>74</v>
      </c>
      <c r="F284" t="s">
        <v>5946</v>
      </c>
      <c r="G284" t="s">
        <v>74</v>
      </c>
      <c r="H284" t="s">
        <v>74</v>
      </c>
      <c r="I284" t="s">
        <v>5926</v>
      </c>
      <c r="J284" t="s">
        <v>5927</v>
      </c>
      <c r="K284" t="s">
        <v>74</v>
      </c>
      <c r="L284" t="s">
        <v>74</v>
      </c>
      <c r="M284" t="s">
        <v>78</v>
      </c>
      <c r="N284" t="s">
        <v>5197</v>
      </c>
      <c r="O284" t="s">
        <v>74</v>
      </c>
      <c r="P284" t="s">
        <v>74</v>
      </c>
      <c r="Q284" t="s">
        <v>74</v>
      </c>
      <c r="R284" t="s">
        <v>74</v>
      </c>
      <c r="S284" t="s">
        <v>74</v>
      </c>
      <c r="T284" t="s">
        <v>74</v>
      </c>
      <c r="U284" t="s">
        <v>74</v>
      </c>
      <c r="V284" t="s">
        <v>74</v>
      </c>
      <c r="W284" t="s">
        <v>74</v>
      </c>
      <c r="X284" t="s">
        <v>74</v>
      </c>
      <c r="Y284" t="s">
        <v>74</v>
      </c>
      <c r="Z284" t="s">
        <v>74</v>
      </c>
      <c r="AA284" t="s">
        <v>74</v>
      </c>
      <c r="AB284" t="s">
        <v>74</v>
      </c>
      <c r="AC284" t="s">
        <v>74</v>
      </c>
      <c r="AD284" t="s">
        <v>74</v>
      </c>
      <c r="AE284" t="s">
        <v>74</v>
      </c>
      <c r="AF284" t="s">
        <v>74</v>
      </c>
      <c r="AG284">
        <v>0</v>
      </c>
      <c r="AH284">
        <v>0</v>
      </c>
      <c r="AI284">
        <v>0</v>
      </c>
      <c r="AJ284">
        <v>0</v>
      </c>
      <c r="AK284">
        <v>0</v>
      </c>
      <c r="AL284" t="s">
        <v>5928</v>
      </c>
      <c r="AM284" t="s">
        <v>5929</v>
      </c>
      <c r="AN284" t="s">
        <v>5930</v>
      </c>
      <c r="AO284" t="s">
        <v>5931</v>
      </c>
      <c r="AP284" t="s">
        <v>74</v>
      </c>
      <c r="AQ284" t="s">
        <v>74</v>
      </c>
      <c r="AR284" t="s">
        <v>5932</v>
      </c>
      <c r="AS284" t="s">
        <v>5933</v>
      </c>
      <c r="AT284" t="s">
        <v>3140</v>
      </c>
      <c r="AU284">
        <v>2021</v>
      </c>
      <c r="AV284">
        <v>245</v>
      </c>
      <c r="AW284">
        <v>3341</v>
      </c>
      <c r="AX284" t="s">
        <v>74</v>
      </c>
      <c r="AY284" t="s">
        <v>74</v>
      </c>
      <c r="AZ284" t="s">
        <v>74</v>
      </c>
      <c r="BA284" t="s">
        <v>74</v>
      </c>
      <c r="BB284">
        <v>55</v>
      </c>
      <c r="BC284">
        <v>55</v>
      </c>
      <c r="BD284" t="s">
        <v>74</v>
      </c>
      <c r="BE284" t="s">
        <v>74</v>
      </c>
      <c r="BF284" t="s">
        <v>74</v>
      </c>
      <c r="BG284" t="s">
        <v>74</v>
      </c>
      <c r="BH284" t="s">
        <v>74</v>
      </c>
      <c r="BI284">
        <v>1</v>
      </c>
      <c r="BJ284" t="s">
        <v>2609</v>
      </c>
      <c r="BK284" t="s">
        <v>128</v>
      </c>
      <c r="BL284" t="s">
        <v>2610</v>
      </c>
      <c r="BM284" t="s">
        <v>5934</v>
      </c>
      <c r="BN284" t="s">
        <v>74</v>
      </c>
      <c r="BO284" t="s">
        <v>74</v>
      </c>
      <c r="BP284" t="s">
        <v>74</v>
      </c>
      <c r="BQ284" t="s">
        <v>74</v>
      </c>
      <c r="BR284" t="s">
        <v>102</v>
      </c>
      <c r="BS284" t="s">
        <v>5947</v>
      </c>
      <c r="BT284" t="str">
        <f>HYPERLINK("https%3A%2F%2Fwww.webofscience.com%2Fwos%2Fwoscc%2Ffull-record%2FWOS:000672539100045","View Full Record in Web of Science")</f>
        <v>View Full Record in Web of Science</v>
      </c>
    </row>
    <row r="285" spans="1:72" x14ac:dyDescent="0.15">
      <c r="A285" t="s">
        <v>72</v>
      </c>
      <c r="B285" t="s">
        <v>5948</v>
      </c>
      <c r="C285" t="s">
        <v>74</v>
      </c>
      <c r="D285" t="s">
        <v>74</v>
      </c>
      <c r="E285" t="s">
        <v>74</v>
      </c>
      <c r="F285" t="s">
        <v>5949</v>
      </c>
      <c r="G285" t="s">
        <v>74</v>
      </c>
      <c r="H285" t="s">
        <v>74</v>
      </c>
      <c r="I285" t="s">
        <v>5950</v>
      </c>
      <c r="J285" t="s">
        <v>5951</v>
      </c>
      <c r="K285" t="s">
        <v>74</v>
      </c>
      <c r="L285" t="s">
        <v>74</v>
      </c>
      <c r="M285" t="s">
        <v>78</v>
      </c>
      <c r="N285" t="s">
        <v>79</v>
      </c>
      <c r="O285" t="s">
        <v>74</v>
      </c>
      <c r="P285" t="s">
        <v>74</v>
      </c>
      <c r="Q285" t="s">
        <v>74</v>
      </c>
      <c r="R285" t="s">
        <v>74</v>
      </c>
      <c r="S285" t="s">
        <v>74</v>
      </c>
      <c r="T285" t="s">
        <v>5952</v>
      </c>
      <c r="U285" t="s">
        <v>5953</v>
      </c>
      <c r="V285" t="s">
        <v>5954</v>
      </c>
      <c r="W285" t="s">
        <v>5955</v>
      </c>
      <c r="X285" t="s">
        <v>5956</v>
      </c>
      <c r="Y285" t="s">
        <v>5957</v>
      </c>
      <c r="Z285" t="s">
        <v>5958</v>
      </c>
      <c r="AA285" t="s">
        <v>5959</v>
      </c>
      <c r="AB285" t="s">
        <v>5960</v>
      </c>
      <c r="AC285" t="s">
        <v>5961</v>
      </c>
      <c r="AD285" t="s">
        <v>5962</v>
      </c>
      <c r="AE285" t="s">
        <v>5963</v>
      </c>
      <c r="AF285" t="s">
        <v>74</v>
      </c>
      <c r="AG285">
        <v>69</v>
      </c>
      <c r="AH285">
        <v>3</v>
      </c>
      <c r="AI285">
        <v>3</v>
      </c>
      <c r="AJ285">
        <v>1</v>
      </c>
      <c r="AK285">
        <v>19</v>
      </c>
      <c r="AL285" t="s">
        <v>450</v>
      </c>
      <c r="AM285" t="s">
        <v>451</v>
      </c>
      <c r="AN285" t="s">
        <v>452</v>
      </c>
      <c r="AO285" t="s">
        <v>5964</v>
      </c>
      <c r="AP285" t="s">
        <v>5965</v>
      </c>
      <c r="AQ285" t="s">
        <v>74</v>
      </c>
      <c r="AR285" t="s">
        <v>5966</v>
      </c>
      <c r="AS285" t="s">
        <v>5967</v>
      </c>
      <c r="AT285" t="s">
        <v>535</v>
      </c>
      <c r="AU285">
        <v>2021</v>
      </c>
      <c r="AV285">
        <v>30</v>
      </c>
      <c r="AW285">
        <v>10</v>
      </c>
      <c r="AX285" t="s">
        <v>74</v>
      </c>
      <c r="AY285" t="s">
        <v>74</v>
      </c>
      <c r="AZ285" t="s">
        <v>74</v>
      </c>
      <c r="BA285" t="s">
        <v>74</v>
      </c>
      <c r="BB285">
        <v>2751</v>
      </c>
      <c r="BC285">
        <v>2771</v>
      </c>
      <c r="BD285" t="s">
        <v>74</v>
      </c>
      <c r="BE285" t="s">
        <v>5968</v>
      </c>
      <c r="BF285" t="str">
        <f>HYPERLINK("http://dx.doi.org/10.1007/s10531-021-02219-2","http://dx.doi.org/10.1007/s10531-021-02219-2")</f>
        <v>http://dx.doi.org/10.1007/s10531-021-02219-2</v>
      </c>
      <c r="BG285" t="s">
        <v>74</v>
      </c>
      <c r="BH285" t="s">
        <v>2323</v>
      </c>
      <c r="BI285">
        <v>21</v>
      </c>
      <c r="BJ285" t="s">
        <v>206</v>
      </c>
      <c r="BK285" t="s">
        <v>128</v>
      </c>
      <c r="BL285" t="s">
        <v>207</v>
      </c>
      <c r="BM285" t="s">
        <v>5969</v>
      </c>
      <c r="BN285" t="s">
        <v>74</v>
      </c>
      <c r="BO285" t="s">
        <v>291</v>
      </c>
      <c r="BP285" t="s">
        <v>74</v>
      </c>
      <c r="BQ285" t="s">
        <v>74</v>
      </c>
      <c r="BR285" t="s">
        <v>102</v>
      </c>
      <c r="BS285" t="s">
        <v>5970</v>
      </c>
      <c r="BT285" t="str">
        <f>HYPERLINK("https%3A%2F%2Fwww.webofscience.com%2Fwos%2Fwoscc%2Ffull-record%2FWOS:000669289800001","View Full Record in Web of Science")</f>
        <v>View Full Record in Web of Science</v>
      </c>
    </row>
    <row r="286" spans="1:72" x14ac:dyDescent="0.15">
      <c r="A286" t="s">
        <v>72</v>
      </c>
      <c r="B286" t="s">
        <v>5971</v>
      </c>
      <c r="C286" t="s">
        <v>74</v>
      </c>
      <c r="D286" t="s">
        <v>74</v>
      </c>
      <c r="E286" t="s">
        <v>74</v>
      </c>
      <c r="F286" t="s">
        <v>5972</v>
      </c>
      <c r="G286" t="s">
        <v>74</v>
      </c>
      <c r="H286" t="s">
        <v>74</v>
      </c>
      <c r="I286" t="s">
        <v>5973</v>
      </c>
      <c r="J286" t="s">
        <v>5974</v>
      </c>
      <c r="K286" t="s">
        <v>74</v>
      </c>
      <c r="L286" t="s">
        <v>74</v>
      </c>
      <c r="M286" t="s">
        <v>78</v>
      </c>
      <c r="N286" t="s">
        <v>79</v>
      </c>
      <c r="O286" t="s">
        <v>74</v>
      </c>
      <c r="P286" t="s">
        <v>74</v>
      </c>
      <c r="Q286" t="s">
        <v>74</v>
      </c>
      <c r="R286" t="s">
        <v>74</v>
      </c>
      <c r="S286" t="s">
        <v>74</v>
      </c>
      <c r="T286" t="s">
        <v>5975</v>
      </c>
      <c r="U286" t="s">
        <v>5976</v>
      </c>
      <c r="V286" t="s">
        <v>5977</v>
      </c>
      <c r="W286" t="s">
        <v>5978</v>
      </c>
      <c r="X286" t="s">
        <v>5979</v>
      </c>
      <c r="Y286" t="s">
        <v>5980</v>
      </c>
      <c r="Z286" t="s">
        <v>5981</v>
      </c>
      <c r="AA286" t="s">
        <v>74</v>
      </c>
      <c r="AB286" t="s">
        <v>74</v>
      </c>
      <c r="AC286" t="s">
        <v>74</v>
      </c>
      <c r="AD286" t="s">
        <v>74</v>
      </c>
      <c r="AE286" t="s">
        <v>74</v>
      </c>
      <c r="AF286" t="s">
        <v>74</v>
      </c>
      <c r="AG286">
        <v>42</v>
      </c>
      <c r="AH286">
        <v>0</v>
      </c>
      <c r="AI286">
        <v>0</v>
      </c>
      <c r="AJ286">
        <v>0</v>
      </c>
      <c r="AK286">
        <v>0</v>
      </c>
      <c r="AL286" t="s">
        <v>3135</v>
      </c>
      <c r="AM286" t="s">
        <v>3136</v>
      </c>
      <c r="AN286" t="s">
        <v>3137</v>
      </c>
      <c r="AO286" t="s">
        <v>5982</v>
      </c>
      <c r="AP286" t="s">
        <v>5983</v>
      </c>
      <c r="AQ286" t="s">
        <v>74</v>
      </c>
      <c r="AR286" t="s">
        <v>5984</v>
      </c>
      <c r="AS286" t="s">
        <v>5985</v>
      </c>
      <c r="AT286" t="s">
        <v>3140</v>
      </c>
      <c r="AU286">
        <v>2021</v>
      </c>
      <c r="AV286">
        <v>11</v>
      </c>
      <c r="AW286">
        <v>2</v>
      </c>
      <c r="AX286" t="s">
        <v>74</v>
      </c>
      <c r="AY286" t="s">
        <v>74</v>
      </c>
      <c r="AZ286" t="s">
        <v>431</v>
      </c>
      <c r="BA286" t="s">
        <v>74</v>
      </c>
      <c r="BB286">
        <v>249</v>
      </c>
      <c r="BC286">
        <v>268</v>
      </c>
      <c r="BD286" t="s">
        <v>74</v>
      </c>
      <c r="BE286" t="s">
        <v>5986</v>
      </c>
      <c r="BF286" t="str">
        <f>HYPERLINK("http://dx.doi.org/10.1080/2154896X.2021.2007460","http://dx.doi.org/10.1080/2154896X.2021.2007460")</f>
        <v>http://dx.doi.org/10.1080/2154896X.2021.2007460</v>
      </c>
      <c r="BG286" t="s">
        <v>74</v>
      </c>
      <c r="BH286" t="s">
        <v>74</v>
      </c>
      <c r="BI286">
        <v>20</v>
      </c>
      <c r="BJ286" t="s">
        <v>5987</v>
      </c>
      <c r="BK286" t="s">
        <v>1819</v>
      </c>
      <c r="BL286" t="s">
        <v>5988</v>
      </c>
      <c r="BM286" t="s">
        <v>5989</v>
      </c>
      <c r="BN286" t="s">
        <v>74</v>
      </c>
      <c r="BO286" t="s">
        <v>1154</v>
      </c>
      <c r="BP286" t="s">
        <v>74</v>
      </c>
      <c r="BQ286" t="s">
        <v>74</v>
      </c>
      <c r="BR286" t="s">
        <v>102</v>
      </c>
      <c r="BS286" t="s">
        <v>5990</v>
      </c>
      <c r="BT286" t="str">
        <f>HYPERLINK("https%3A%2F%2Fwww.webofscience.com%2Fwos%2Fwoscc%2Ffull-record%2FWOS:001098576000001","View Full Record in Web of Science")</f>
        <v>View Full Record in Web of Science</v>
      </c>
    </row>
    <row r="287" spans="1:72" x14ac:dyDescent="0.15">
      <c r="A287" t="s">
        <v>72</v>
      </c>
      <c r="B287" t="s">
        <v>5991</v>
      </c>
      <c r="C287" t="s">
        <v>74</v>
      </c>
      <c r="D287" t="s">
        <v>74</v>
      </c>
      <c r="E287" t="s">
        <v>74</v>
      </c>
      <c r="F287" t="s">
        <v>5992</v>
      </c>
      <c r="G287" t="s">
        <v>74</v>
      </c>
      <c r="H287" t="s">
        <v>74</v>
      </c>
      <c r="I287" t="s">
        <v>5993</v>
      </c>
      <c r="J287" t="s">
        <v>5974</v>
      </c>
      <c r="K287" t="s">
        <v>74</v>
      </c>
      <c r="L287" t="s">
        <v>74</v>
      </c>
      <c r="M287" t="s">
        <v>78</v>
      </c>
      <c r="N287" t="s">
        <v>79</v>
      </c>
      <c r="O287" t="s">
        <v>74</v>
      </c>
      <c r="P287" t="s">
        <v>74</v>
      </c>
      <c r="Q287" t="s">
        <v>74</v>
      </c>
      <c r="R287" t="s">
        <v>74</v>
      </c>
      <c r="S287" t="s">
        <v>74</v>
      </c>
      <c r="T287" t="s">
        <v>5994</v>
      </c>
      <c r="U287" t="s">
        <v>5995</v>
      </c>
      <c r="V287" t="s">
        <v>5996</v>
      </c>
      <c r="W287" t="s">
        <v>5997</v>
      </c>
      <c r="X287" t="s">
        <v>2640</v>
      </c>
      <c r="Y287" t="s">
        <v>5998</v>
      </c>
      <c r="Z287" t="s">
        <v>5999</v>
      </c>
      <c r="AA287" t="s">
        <v>6000</v>
      </c>
      <c r="AB287" t="s">
        <v>6001</v>
      </c>
      <c r="AC287" t="s">
        <v>6002</v>
      </c>
      <c r="AD287" t="s">
        <v>6002</v>
      </c>
      <c r="AE287" t="s">
        <v>6002</v>
      </c>
      <c r="AF287" t="s">
        <v>74</v>
      </c>
      <c r="AG287">
        <v>56</v>
      </c>
      <c r="AH287">
        <v>5</v>
      </c>
      <c r="AI287">
        <v>5</v>
      </c>
      <c r="AJ287">
        <v>0</v>
      </c>
      <c r="AK287">
        <v>0</v>
      </c>
      <c r="AL287" t="s">
        <v>3135</v>
      </c>
      <c r="AM287" t="s">
        <v>3136</v>
      </c>
      <c r="AN287" t="s">
        <v>3137</v>
      </c>
      <c r="AO287" t="s">
        <v>5982</v>
      </c>
      <c r="AP287" t="s">
        <v>5983</v>
      </c>
      <c r="AQ287" t="s">
        <v>74</v>
      </c>
      <c r="AR287" t="s">
        <v>5984</v>
      </c>
      <c r="AS287" t="s">
        <v>5985</v>
      </c>
      <c r="AT287" t="s">
        <v>3140</v>
      </c>
      <c r="AU287">
        <v>2021</v>
      </c>
      <c r="AV287">
        <v>11</v>
      </c>
      <c r="AW287">
        <v>2</v>
      </c>
      <c r="AX287" t="s">
        <v>74</v>
      </c>
      <c r="AY287" t="s">
        <v>74</v>
      </c>
      <c r="AZ287" t="s">
        <v>431</v>
      </c>
      <c r="BA287" t="s">
        <v>74</v>
      </c>
      <c r="BB287">
        <v>303</v>
      </c>
      <c r="BC287">
        <v>316</v>
      </c>
      <c r="BD287" t="s">
        <v>74</v>
      </c>
      <c r="BE287" t="s">
        <v>6003</v>
      </c>
      <c r="BF287" t="str">
        <f>HYPERLINK("http://dx.doi.org/10.1080/2154896X.2021.1984658","http://dx.doi.org/10.1080/2154896X.2021.1984658")</f>
        <v>http://dx.doi.org/10.1080/2154896X.2021.1984658</v>
      </c>
      <c r="BG287" t="s">
        <v>74</v>
      </c>
      <c r="BH287" t="s">
        <v>74</v>
      </c>
      <c r="BI287">
        <v>14</v>
      </c>
      <c r="BJ287" t="s">
        <v>5987</v>
      </c>
      <c r="BK287" t="s">
        <v>1819</v>
      </c>
      <c r="BL287" t="s">
        <v>5988</v>
      </c>
      <c r="BM287" t="s">
        <v>5989</v>
      </c>
      <c r="BN287" t="s">
        <v>74</v>
      </c>
      <c r="BO287" t="s">
        <v>2125</v>
      </c>
      <c r="BP287" t="s">
        <v>74</v>
      </c>
      <c r="BQ287" t="s">
        <v>74</v>
      </c>
      <c r="BR287" t="s">
        <v>102</v>
      </c>
      <c r="BS287" t="s">
        <v>6004</v>
      </c>
      <c r="BT287" t="str">
        <f>HYPERLINK("https%3A%2F%2Fwww.webofscience.com%2Fwos%2Fwoscc%2Ffull-record%2FWOS:001098576000004","View Full Record in Web of Science")</f>
        <v>View Full Record in Web of Science</v>
      </c>
    </row>
    <row r="288" spans="1:72" x14ac:dyDescent="0.15">
      <c r="A288" t="s">
        <v>72</v>
      </c>
      <c r="B288" t="s">
        <v>6005</v>
      </c>
      <c r="C288" t="s">
        <v>74</v>
      </c>
      <c r="D288" t="s">
        <v>74</v>
      </c>
      <c r="E288" t="s">
        <v>74</v>
      </c>
      <c r="F288" t="s">
        <v>6006</v>
      </c>
      <c r="G288" t="s">
        <v>74</v>
      </c>
      <c r="H288" t="s">
        <v>74</v>
      </c>
      <c r="I288" t="s">
        <v>6007</v>
      </c>
      <c r="J288" t="s">
        <v>5974</v>
      </c>
      <c r="K288" t="s">
        <v>74</v>
      </c>
      <c r="L288" t="s">
        <v>74</v>
      </c>
      <c r="M288" t="s">
        <v>78</v>
      </c>
      <c r="N288" t="s">
        <v>79</v>
      </c>
      <c r="O288" t="s">
        <v>74</v>
      </c>
      <c r="P288" t="s">
        <v>74</v>
      </c>
      <c r="Q288" t="s">
        <v>74</v>
      </c>
      <c r="R288" t="s">
        <v>74</v>
      </c>
      <c r="S288" t="s">
        <v>74</v>
      </c>
      <c r="T288" t="s">
        <v>6008</v>
      </c>
      <c r="U288" t="s">
        <v>6009</v>
      </c>
      <c r="V288" t="s">
        <v>6010</v>
      </c>
      <c r="W288" t="s">
        <v>6011</v>
      </c>
      <c r="X288" t="s">
        <v>6012</v>
      </c>
      <c r="Y288" t="s">
        <v>6013</v>
      </c>
      <c r="Z288" t="s">
        <v>6014</v>
      </c>
      <c r="AA288" t="s">
        <v>74</v>
      </c>
      <c r="AB288" t="s">
        <v>74</v>
      </c>
      <c r="AC288" t="s">
        <v>6015</v>
      </c>
      <c r="AD288" t="s">
        <v>6015</v>
      </c>
      <c r="AE288" t="s">
        <v>6016</v>
      </c>
      <c r="AF288" t="s">
        <v>74</v>
      </c>
      <c r="AG288">
        <v>66</v>
      </c>
      <c r="AH288">
        <v>7</v>
      </c>
      <c r="AI288">
        <v>7</v>
      </c>
      <c r="AJ288">
        <v>0</v>
      </c>
      <c r="AK288">
        <v>0</v>
      </c>
      <c r="AL288" t="s">
        <v>3135</v>
      </c>
      <c r="AM288" t="s">
        <v>3136</v>
      </c>
      <c r="AN288" t="s">
        <v>3137</v>
      </c>
      <c r="AO288" t="s">
        <v>5982</v>
      </c>
      <c r="AP288" t="s">
        <v>5983</v>
      </c>
      <c r="AQ288" t="s">
        <v>74</v>
      </c>
      <c r="AR288" t="s">
        <v>5984</v>
      </c>
      <c r="AS288" t="s">
        <v>5985</v>
      </c>
      <c r="AT288" t="s">
        <v>3140</v>
      </c>
      <c r="AU288">
        <v>2021</v>
      </c>
      <c r="AV288">
        <v>11</v>
      </c>
      <c r="AW288">
        <v>2</v>
      </c>
      <c r="AX288" t="s">
        <v>74</v>
      </c>
      <c r="AY288" t="s">
        <v>74</v>
      </c>
      <c r="AZ288" t="s">
        <v>431</v>
      </c>
      <c r="BA288" t="s">
        <v>74</v>
      </c>
      <c r="BB288">
        <v>342</v>
      </c>
      <c r="BC288">
        <v>359</v>
      </c>
      <c r="BD288" t="s">
        <v>74</v>
      </c>
      <c r="BE288" t="s">
        <v>6017</v>
      </c>
      <c r="BF288" t="str">
        <f>HYPERLINK("http://dx.doi.org/10.1080/2154896X.2021.1977048","http://dx.doi.org/10.1080/2154896X.2021.1977048")</f>
        <v>http://dx.doi.org/10.1080/2154896X.2021.1977048</v>
      </c>
      <c r="BG288" t="s">
        <v>74</v>
      </c>
      <c r="BH288" t="s">
        <v>74</v>
      </c>
      <c r="BI288">
        <v>18</v>
      </c>
      <c r="BJ288" t="s">
        <v>5987</v>
      </c>
      <c r="BK288" t="s">
        <v>1819</v>
      </c>
      <c r="BL288" t="s">
        <v>5988</v>
      </c>
      <c r="BM288" t="s">
        <v>5989</v>
      </c>
      <c r="BN288" t="s">
        <v>74</v>
      </c>
      <c r="BO288" t="s">
        <v>2514</v>
      </c>
      <c r="BP288" t="s">
        <v>74</v>
      </c>
      <c r="BQ288" t="s">
        <v>74</v>
      </c>
      <c r="BR288" t="s">
        <v>102</v>
      </c>
      <c r="BS288" t="s">
        <v>6018</v>
      </c>
      <c r="BT288" t="str">
        <f>HYPERLINK("https%3A%2F%2Fwww.webofscience.com%2Fwos%2Fwoscc%2Ffull-record%2FWOS:001098576000006","View Full Record in Web of Science")</f>
        <v>View Full Record in Web of Science</v>
      </c>
    </row>
    <row r="289" spans="1:72" x14ac:dyDescent="0.15">
      <c r="A289" t="s">
        <v>72</v>
      </c>
      <c r="B289" t="s">
        <v>6019</v>
      </c>
      <c r="C289" t="s">
        <v>74</v>
      </c>
      <c r="D289" t="s">
        <v>74</v>
      </c>
      <c r="E289" t="s">
        <v>74</v>
      </c>
      <c r="F289" t="s">
        <v>6020</v>
      </c>
      <c r="G289" t="s">
        <v>74</v>
      </c>
      <c r="H289" t="s">
        <v>74</v>
      </c>
      <c r="I289" t="s">
        <v>6021</v>
      </c>
      <c r="J289" t="s">
        <v>5974</v>
      </c>
      <c r="K289" t="s">
        <v>74</v>
      </c>
      <c r="L289" t="s">
        <v>74</v>
      </c>
      <c r="M289" t="s">
        <v>78</v>
      </c>
      <c r="N289" t="s">
        <v>79</v>
      </c>
      <c r="O289" t="s">
        <v>74</v>
      </c>
      <c r="P289" t="s">
        <v>74</v>
      </c>
      <c r="Q289" t="s">
        <v>74</v>
      </c>
      <c r="R289" t="s">
        <v>74</v>
      </c>
      <c r="S289" t="s">
        <v>74</v>
      </c>
      <c r="T289" t="s">
        <v>6022</v>
      </c>
      <c r="U289" t="s">
        <v>74</v>
      </c>
      <c r="V289" t="s">
        <v>6023</v>
      </c>
      <c r="W289" t="s">
        <v>6024</v>
      </c>
      <c r="X289" t="s">
        <v>6025</v>
      </c>
      <c r="Y289" t="s">
        <v>6026</v>
      </c>
      <c r="Z289" t="s">
        <v>6027</v>
      </c>
      <c r="AA289" t="s">
        <v>74</v>
      </c>
      <c r="AB289" t="s">
        <v>6028</v>
      </c>
      <c r="AC289" t="s">
        <v>74</v>
      </c>
      <c r="AD289" t="s">
        <v>74</v>
      </c>
      <c r="AE289" t="s">
        <v>74</v>
      </c>
      <c r="AF289" t="s">
        <v>74</v>
      </c>
      <c r="AG289">
        <v>16</v>
      </c>
      <c r="AH289">
        <v>2</v>
      </c>
      <c r="AI289">
        <v>2</v>
      </c>
      <c r="AJ289">
        <v>1</v>
      </c>
      <c r="AK289">
        <v>1</v>
      </c>
      <c r="AL289" t="s">
        <v>3135</v>
      </c>
      <c r="AM289" t="s">
        <v>3136</v>
      </c>
      <c r="AN289" t="s">
        <v>3137</v>
      </c>
      <c r="AO289" t="s">
        <v>5982</v>
      </c>
      <c r="AP289" t="s">
        <v>5983</v>
      </c>
      <c r="AQ289" t="s">
        <v>74</v>
      </c>
      <c r="AR289" t="s">
        <v>5984</v>
      </c>
      <c r="AS289" t="s">
        <v>5985</v>
      </c>
      <c r="AT289" t="s">
        <v>3140</v>
      </c>
      <c r="AU289">
        <v>2021</v>
      </c>
      <c r="AV289">
        <v>11</v>
      </c>
      <c r="AW289">
        <v>2</v>
      </c>
      <c r="AX289" t="s">
        <v>74</v>
      </c>
      <c r="AY289" t="s">
        <v>74</v>
      </c>
      <c r="AZ289" t="s">
        <v>431</v>
      </c>
      <c r="BA289" t="s">
        <v>74</v>
      </c>
      <c r="BB289">
        <v>360</v>
      </c>
      <c r="BC289">
        <v>380</v>
      </c>
      <c r="BD289" t="s">
        <v>74</v>
      </c>
      <c r="BE289" t="s">
        <v>6029</v>
      </c>
      <c r="BF289" t="str">
        <f>HYPERLINK("http://dx.doi.org/10.1080/2154896X.2021.1972257","http://dx.doi.org/10.1080/2154896X.2021.1972257")</f>
        <v>http://dx.doi.org/10.1080/2154896X.2021.1972257</v>
      </c>
      <c r="BG289" t="s">
        <v>74</v>
      </c>
      <c r="BH289" t="s">
        <v>74</v>
      </c>
      <c r="BI289">
        <v>21</v>
      </c>
      <c r="BJ289" t="s">
        <v>5987</v>
      </c>
      <c r="BK289" t="s">
        <v>1819</v>
      </c>
      <c r="BL289" t="s">
        <v>5988</v>
      </c>
      <c r="BM289" t="s">
        <v>5989</v>
      </c>
      <c r="BN289" t="s">
        <v>74</v>
      </c>
      <c r="BO289" t="s">
        <v>1154</v>
      </c>
      <c r="BP289" t="s">
        <v>74</v>
      </c>
      <c r="BQ289" t="s">
        <v>74</v>
      </c>
      <c r="BR289" t="s">
        <v>102</v>
      </c>
      <c r="BS289" t="s">
        <v>6030</v>
      </c>
      <c r="BT289" t="str">
        <f>HYPERLINK("https%3A%2F%2Fwww.webofscience.com%2Fwos%2Fwoscc%2Ffull-record%2FWOS:001098576000007","View Full Record in Web of Science")</f>
        <v>View Full Record in Web of Science</v>
      </c>
    </row>
    <row r="290" spans="1:72" x14ac:dyDescent="0.15">
      <c r="A290" t="s">
        <v>72</v>
      </c>
      <c r="B290" t="s">
        <v>6031</v>
      </c>
      <c r="C290" t="s">
        <v>74</v>
      </c>
      <c r="D290" t="s">
        <v>74</v>
      </c>
      <c r="E290" t="s">
        <v>74</v>
      </c>
      <c r="F290" t="s">
        <v>6032</v>
      </c>
      <c r="G290" t="s">
        <v>74</v>
      </c>
      <c r="H290" t="s">
        <v>74</v>
      </c>
      <c r="I290" t="s">
        <v>6033</v>
      </c>
      <c r="J290" t="s">
        <v>5974</v>
      </c>
      <c r="K290" t="s">
        <v>74</v>
      </c>
      <c r="L290" t="s">
        <v>74</v>
      </c>
      <c r="M290" t="s">
        <v>78</v>
      </c>
      <c r="N290" t="s">
        <v>79</v>
      </c>
      <c r="O290" t="s">
        <v>74</v>
      </c>
      <c r="P290" t="s">
        <v>74</v>
      </c>
      <c r="Q290" t="s">
        <v>74</v>
      </c>
      <c r="R290" t="s">
        <v>74</v>
      </c>
      <c r="S290" t="s">
        <v>74</v>
      </c>
      <c r="T290" t="s">
        <v>6034</v>
      </c>
      <c r="U290" t="s">
        <v>6035</v>
      </c>
      <c r="V290" t="s">
        <v>6036</v>
      </c>
      <c r="W290" t="s">
        <v>6037</v>
      </c>
      <c r="X290" t="s">
        <v>576</v>
      </c>
      <c r="Y290" t="s">
        <v>6038</v>
      </c>
      <c r="Z290" t="s">
        <v>6039</v>
      </c>
      <c r="AA290" t="s">
        <v>74</v>
      </c>
      <c r="AB290" t="s">
        <v>74</v>
      </c>
      <c r="AC290" t="s">
        <v>6040</v>
      </c>
      <c r="AD290" t="s">
        <v>6041</v>
      </c>
      <c r="AE290" t="s">
        <v>6042</v>
      </c>
      <c r="AF290" t="s">
        <v>74</v>
      </c>
      <c r="AG290">
        <v>74</v>
      </c>
      <c r="AH290">
        <v>2</v>
      </c>
      <c r="AI290">
        <v>2</v>
      </c>
      <c r="AJ290">
        <v>0</v>
      </c>
      <c r="AK290">
        <v>0</v>
      </c>
      <c r="AL290" t="s">
        <v>3135</v>
      </c>
      <c r="AM290" t="s">
        <v>3136</v>
      </c>
      <c r="AN290" t="s">
        <v>3137</v>
      </c>
      <c r="AO290" t="s">
        <v>5982</v>
      </c>
      <c r="AP290" t="s">
        <v>5983</v>
      </c>
      <c r="AQ290" t="s">
        <v>74</v>
      </c>
      <c r="AR290" t="s">
        <v>5984</v>
      </c>
      <c r="AS290" t="s">
        <v>5985</v>
      </c>
      <c r="AT290" t="s">
        <v>3140</v>
      </c>
      <c r="AU290">
        <v>2021</v>
      </c>
      <c r="AV290">
        <v>11</v>
      </c>
      <c r="AW290">
        <v>2</v>
      </c>
      <c r="AX290" t="s">
        <v>74</v>
      </c>
      <c r="AY290" t="s">
        <v>74</v>
      </c>
      <c r="AZ290" t="s">
        <v>431</v>
      </c>
      <c r="BA290" t="s">
        <v>74</v>
      </c>
      <c r="BB290">
        <v>393</v>
      </c>
      <c r="BC290">
        <v>412</v>
      </c>
      <c r="BD290" t="s">
        <v>74</v>
      </c>
      <c r="BE290" t="s">
        <v>6043</v>
      </c>
      <c r="BF290" t="str">
        <f>HYPERLINK("http://dx.doi.org/10.1080/2154896X.2021.1994197","http://dx.doi.org/10.1080/2154896X.2021.1994197")</f>
        <v>http://dx.doi.org/10.1080/2154896X.2021.1994197</v>
      </c>
      <c r="BG290" t="s">
        <v>74</v>
      </c>
      <c r="BH290" t="s">
        <v>74</v>
      </c>
      <c r="BI290">
        <v>20</v>
      </c>
      <c r="BJ290" t="s">
        <v>5987</v>
      </c>
      <c r="BK290" t="s">
        <v>1819</v>
      </c>
      <c r="BL290" t="s">
        <v>5988</v>
      </c>
      <c r="BM290" t="s">
        <v>5989</v>
      </c>
      <c r="BN290" t="s">
        <v>74</v>
      </c>
      <c r="BO290" t="s">
        <v>2514</v>
      </c>
      <c r="BP290" t="s">
        <v>74</v>
      </c>
      <c r="BQ290" t="s">
        <v>74</v>
      </c>
      <c r="BR290" t="s">
        <v>102</v>
      </c>
      <c r="BS290" t="s">
        <v>6044</v>
      </c>
      <c r="BT290" t="str">
        <f>HYPERLINK("https%3A%2F%2Fwww.webofscience.com%2Fwos%2Fwoscc%2Ffull-record%2FWOS:001098576000009","View Full Record in Web of Science")</f>
        <v>View Full Record in Web of Science</v>
      </c>
    </row>
    <row r="291" spans="1:72" x14ac:dyDescent="0.15">
      <c r="A291" t="s">
        <v>72</v>
      </c>
      <c r="B291" t="s">
        <v>6045</v>
      </c>
      <c r="C291" t="s">
        <v>74</v>
      </c>
      <c r="D291" t="s">
        <v>74</v>
      </c>
      <c r="E291" t="s">
        <v>74</v>
      </c>
      <c r="F291" t="s">
        <v>6046</v>
      </c>
      <c r="G291" t="s">
        <v>74</v>
      </c>
      <c r="H291" t="s">
        <v>74</v>
      </c>
      <c r="I291" t="s">
        <v>6047</v>
      </c>
      <c r="J291" t="s">
        <v>5974</v>
      </c>
      <c r="K291" t="s">
        <v>74</v>
      </c>
      <c r="L291" t="s">
        <v>74</v>
      </c>
      <c r="M291" t="s">
        <v>78</v>
      </c>
      <c r="N291" t="s">
        <v>79</v>
      </c>
      <c r="O291" t="s">
        <v>74</v>
      </c>
      <c r="P291" t="s">
        <v>74</v>
      </c>
      <c r="Q291" t="s">
        <v>74</v>
      </c>
      <c r="R291" t="s">
        <v>74</v>
      </c>
      <c r="S291" t="s">
        <v>74</v>
      </c>
      <c r="T291" t="s">
        <v>6048</v>
      </c>
      <c r="U291" t="s">
        <v>74</v>
      </c>
      <c r="V291" t="s">
        <v>6049</v>
      </c>
      <c r="W291" t="s">
        <v>6050</v>
      </c>
      <c r="X291" t="s">
        <v>74</v>
      </c>
      <c r="Y291" t="s">
        <v>6051</v>
      </c>
      <c r="Z291" t="s">
        <v>6052</v>
      </c>
      <c r="AA291" t="s">
        <v>74</v>
      </c>
      <c r="AB291" t="s">
        <v>74</v>
      </c>
      <c r="AC291" t="s">
        <v>74</v>
      </c>
      <c r="AD291" t="s">
        <v>74</v>
      </c>
      <c r="AE291" t="s">
        <v>74</v>
      </c>
      <c r="AF291" t="s">
        <v>74</v>
      </c>
      <c r="AG291">
        <v>12</v>
      </c>
      <c r="AH291">
        <v>0</v>
      </c>
      <c r="AI291">
        <v>0</v>
      </c>
      <c r="AJ291">
        <v>1</v>
      </c>
      <c r="AK291">
        <v>1</v>
      </c>
      <c r="AL291" t="s">
        <v>3135</v>
      </c>
      <c r="AM291" t="s">
        <v>3136</v>
      </c>
      <c r="AN291" t="s">
        <v>3137</v>
      </c>
      <c r="AO291" t="s">
        <v>5982</v>
      </c>
      <c r="AP291" t="s">
        <v>5983</v>
      </c>
      <c r="AQ291" t="s">
        <v>74</v>
      </c>
      <c r="AR291" t="s">
        <v>5984</v>
      </c>
      <c r="AS291" t="s">
        <v>5985</v>
      </c>
      <c r="AT291" t="s">
        <v>3140</v>
      </c>
      <c r="AU291">
        <v>2021</v>
      </c>
      <c r="AV291">
        <v>11</v>
      </c>
      <c r="AW291">
        <v>2</v>
      </c>
      <c r="AX291" t="s">
        <v>74</v>
      </c>
      <c r="AY291" t="s">
        <v>74</v>
      </c>
      <c r="AZ291" t="s">
        <v>431</v>
      </c>
      <c r="BA291" t="s">
        <v>74</v>
      </c>
      <c r="BB291">
        <v>441</v>
      </c>
      <c r="BC291">
        <v>468</v>
      </c>
      <c r="BD291" t="s">
        <v>74</v>
      </c>
      <c r="BE291" t="s">
        <v>6053</v>
      </c>
      <c r="BF291" t="str">
        <f>HYPERLINK("http://dx.doi.org/10.1080/2154896X.2021.1978233","http://dx.doi.org/10.1080/2154896X.2021.1978233")</f>
        <v>http://dx.doi.org/10.1080/2154896X.2021.1978233</v>
      </c>
      <c r="BG291" t="s">
        <v>74</v>
      </c>
      <c r="BH291" t="s">
        <v>74</v>
      </c>
      <c r="BI291">
        <v>28</v>
      </c>
      <c r="BJ291" t="s">
        <v>5987</v>
      </c>
      <c r="BK291" t="s">
        <v>1819</v>
      </c>
      <c r="BL291" t="s">
        <v>5988</v>
      </c>
      <c r="BM291" t="s">
        <v>5989</v>
      </c>
      <c r="BN291" t="s">
        <v>74</v>
      </c>
      <c r="BO291" t="s">
        <v>74</v>
      </c>
      <c r="BP291" t="s">
        <v>74</v>
      </c>
      <c r="BQ291" t="s">
        <v>74</v>
      </c>
      <c r="BR291" t="s">
        <v>102</v>
      </c>
      <c r="BS291" t="s">
        <v>6054</v>
      </c>
      <c r="BT291" t="str">
        <f>HYPERLINK("https%3A%2F%2Fwww.webofscience.com%2Fwos%2Fwoscc%2Ffull-record%2FWOS:001098576000014","View Full Record in Web of Science")</f>
        <v>View Full Record in Web of Science</v>
      </c>
    </row>
    <row r="292" spans="1:72" x14ac:dyDescent="0.15">
      <c r="A292" t="s">
        <v>72</v>
      </c>
      <c r="B292" t="s">
        <v>6055</v>
      </c>
      <c r="C292" t="s">
        <v>74</v>
      </c>
      <c r="D292" t="s">
        <v>74</v>
      </c>
      <c r="E292" t="s">
        <v>74</v>
      </c>
      <c r="F292" t="s">
        <v>6056</v>
      </c>
      <c r="G292" t="s">
        <v>74</v>
      </c>
      <c r="H292" t="s">
        <v>74</v>
      </c>
      <c r="I292" t="s">
        <v>6057</v>
      </c>
      <c r="J292" t="s">
        <v>5974</v>
      </c>
      <c r="K292" t="s">
        <v>74</v>
      </c>
      <c r="L292" t="s">
        <v>74</v>
      </c>
      <c r="M292" t="s">
        <v>78</v>
      </c>
      <c r="N292" t="s">
        <v>6058</v>
      </c>
      <c r="O292" t="s">
        <v>74</v>
      </c>
      <c r="P292" t="s">
        <v>74</v>
      </c>
      <c r="Q292" t="s">
        <v>74</v>
      </c>
      <c r="R292" t="s">
        <v>74</v>
      </c>
      <c r="S292" t="s">
        <v>74</v>
      </c>
      <c r="T292" t="s">
        <v>74</v>
      </c>
      <c r="U292" t="s">
        <v>74</v>
      </c>
      <c r="V292" t="s">
        <v>74</v>
      </c>
      <c r="W292" t="s">
        <v>6059</v>
      </c>
      <c r="X292" t="s">
        <v>2640</v>
      </c>
      <c r="Y292" t="s">
        <v>6060</v>
      </c>
      <c r="Z292" t="s">
        <v>6061</v>
      </c>
      <c r="AA292" t="s">
        <v>74</v>
      </c>
      <c r="AB292" t="s">
        <v>74</v>
      </c>
      <c r="AC292" t="s">
        <v>74</v>
      </c>
      <c r="AD292" t="s">
        <v>74</v>
      </c>
      <c r="AE292" t="s">
        <v>74</v>
      </c>
      <c r="AF292" t="s">
        <v>74</v>
      </c>
      <c r="AG292">
        <v>1</v>
      </c>
      <c r="AH292">
        <v>0</v>
      </c>
      <c r="AI292">
        <v>0</v>
      </c>
      <c r="AJ292">
        <v>0</v>
      </c>
      <c r="AK292">
        <v>0</v>
      </c>
      <c r="AL292" t="s">
        <v>3135</v>
      </c>
      <c r="AM292" t="s">
        <v>3136</v>
      </c>
      <c r="AN292" t="s">
        <v>3137</v>
      </c>
      <c r="AO292" t="s">
        <v>5982</v>
      </c>
      <c r="AP292" t="s">
        <v>5983</v>
      </c>
      <c r="AQ292" t="s">
        <v>74</v>
      </c>
      <c r="AR292" t="s">
        <v>5984</v>
      </c>
      <c r="AS292" t="s">
        <v>5985</v>
      </c>
      <c r="AT292" t="s">
        <v>3140</v>
      </c>
      <c r="AU292">
        <v>2021</v>
      </c>
      <c r="AV292">
        <v>11</v>
      </c>
      <c r="AW292">
        <v>2</v>
      </c>
      <c r="AX292" t="s">
        <v>74</v>
      </c>
      <c r="AY292" t="s">
        <v>74</v>
      </c>
      <c r="AZ292" t="s">
        <v>431</v>
      </c>
      <c r="BA292" t="s">
        <v>74</v>
      </c>
      <c r="BB292">
        <v>477</v>
      </c>
      <c r="BC292">
        <v>479</v>
      </c>
      <c r="BD292" t="s">
        <v>74</v>
      </c>
      <c r="BE292" t="s">
        <v>6062</v>
      </c>
      <c r="BF292" t="str">
        <f>HYPERLINK("http://dx.doi.org/10.1080/2154896X.2021.1978995","http://dx.doi.org/10.1080/2154896X.2021.1978995")</f>
        <v>http://dx.doi.org/10.1080/2154896X.2021.1978995</v>
      </c>
      <c r="BG292" t="s">
        <v>74</v>
      </c>
      <c r="BH292" t="s">
        <v>74</v>
      </c>
      <c r="BI292">
        <v>3</v>
      </c>
      <c r="BJ292" t="s">
        <v>5987</v>
      </c>
      <c r="BK292" t="s">
        <v>1819</v>
      </c>
      <c r="BL292" t="s">
        <v>5988</v>
      </c>
      <c r="BM292" t="s">
        <v>5989</v>
      </c>
      <c r="BN292" t="s">
        <v>74</v>
      </c>
      <c r="BO292" t="s">
        <v>74</v>
      </c>
      <c r="BP292" t="s">
        <v>74</v>
      </c>
      <c r="BQ292" t="s">
        <v>74</v>
      </c>
      <c r="BR292" t="s">
        <v>102</v>
      </c>
      <c r="BS292" t="s">
        <v>6063</v>
      </c>
      <c r="BT292" t="str">
        <f>HYPERLINK("https%3A%2F%2Fwww.webofscience.com%2Fwos%2Fwoscc%2Ffull-record%2FWOS:001098576000018","View Full Record in Web of Science")</f>
        <v>View Full Record in Web of Science</v>
      </c>
    </row>
    <row r="293" spans="1:72" x14ac:dyDescent="0.15">
      <c r="A293" t="s">
        <v>72</v>
      </c>
      <c r="B293" t="s">
        <v>6064</v>
      </c>
      <c r="C293" t="s">
        <v>74</v>
      </c>
      <c r="D293" t="s">
        <v>74</v>
      </c>
      <c r="E293" t="s">
        <v>74</v>
      </c>
      <c r="F293" t="s">
        <v>6065</v>
      </c>
      <c r="G293" t="s">
        <v>74</v>
      </c>
      <c r="H293" t="s">
        <v>74</v>
      </c>
      <c r="I293" t="s">
        <v>6066</v>
      </c>
      <c r="J293" t="s">
        <v>6067</v>
      </c>
      <c r="K293" t="s">
        <v>74</v>
      </c>
      <c r="L293" t="s">
        <v>74</v>
      </c>
      <c r="M293" t="s">
        <v>78</v>
      </c>
      <c r="N293" t="s">
        <v>79</v>
      </c>
      <c r="O293" t="s">
        <v>74</v>
      </c>
      <c r="P293" t="s">
        <v>74</v>
      </c>
      <c r="Q293" t="s">
        <v>74</v>
      </c>
      <c r="R293" t="s">
        <v>74</v>
      </c>
      <c r="S293" t="s">
        <v>74</v>
      </c>
      <c r="T293" t="s">
        <v>6068</v>
      </c>
      <c r="U293" t="s">
        <v>6069</v>
      </c>
      <c r="V293" t="s">
        <v>6070</v>
      </c>
      <c r="W293" t="s">
        <v>6071</v>
      </c>
      <c r="X293" t="s">
        <v>6072</v>
      </c>
      <c r="Y293" t="s">
        <v>6073</v>
      </c>
      <c r="Z293" t="s">
        <v>6074</v>
      </c>
      <c r="AA293" t="s">
        <v>6075</v>
      </c>
      <c r="AB293" t="s">
        <v>6076</v>
      </c>
      <c r="AC293" t="s">
        <v>6077</v>
      </c>
      <c r="AD293" t="s">
        <v>6078</v>
      </c>
      <c r="AE293" t="s">
        <v>6079</v>
      </c>
      <c r="AF293" t="s">
        <v>74</v>
      </c>
      <c r="AG293">
        <v>52</v>
      </c>
      <c r="AH293">
        <v>3</v>
      </c>
      <c r="AI293">
        <v>3</v>
      </c>
      <c r="AJ293">
        <v>3</v>
      </c>
      <c r="AK293">
        <v>14</v>
      </c>
      <c r="AL293" t="s">
        <v>227</v>
      </c>
      <c r="AM293" t="s">
        <v>228</v>
      </c>
      <c r="AN293" t="s">
        <v>229</v>
      </c>
      <c r="AO293" t="s">
        <v>6080</v>
      </c>
      <c r="AP293" t="s">
        <v>6081</v>
      </c>
      <c r="AQ293" t="s">
        <v>74</v>
      </c>
      <c r="AR293" t="s">
        <v>6082</v>
      </c>
      <c r="AS293" t="s">
        <v>6083</v>
      </c>
      <c r="AT293" t="s">
        <v>204</v>
      </c>
      <c r="AU293">
        <v>2021</v>
      </c>
      <c r="AV293">
        <v>53</v>
      </c>
      <c r="AW293" t="s">
        <v>74</v>
      </c>
      <c r="AX293" t="s">
        <v>74</v>
      </c>
      <c r="AY293" t="s">
        <v>74</v>
      </c>
      <c r="AZ293" t="s">
        <v>74</v>
      </c>
      <c r="BA293" t="s">
        <v>74</v>
      </c>
      <c r="BB293" t="s">
        <v>74</v>
      </c>
      <c r="BC293" t="s">
        <v>74</v>
      </c>
      <c r="BD293">
        <v>101092</v>
      </c>
      <c r="BE293" t="s">
        <v>6084</v>
      </c>
      <c r="BF293" t="str">
        <f>HYPERLINK("http://dx.doi.org/10.1016/j.funeco.2021.101092","http://dx.doi.org/10.1016/j.funeco.2021.101092")</f>
        <v>http://dx.doi.org/10.1016/j.funeco.2021.101092</v>
      </c>
      <c r="BG293" t="s">
        <v>74</v>
      </c>
      <c r="BH293" t="s">
        <v>2323</v>
      </c>
      <c r="BI293">
        <v>8</v>
      </c>
      <c r="BJ293" t="s">
        <v>6085</v>
      </c>
      <c r="BK293" t="s">
        <v>128</v>
      </c>
      <c r="BL293" t="s">
        <v>6086</v>
      </c>
      <c r="BM293" t="s">
        <v>6087</v>
      </c>
      <c r="BN293" t="s">
        <v>74</v>
      </c>
      <c r="BO293" t="s">
        <v>74</v>
      </c>
      <c r="BP293" t="s">
        <v>74</v>
      </c>
      <c r="BQ293" t="s">
        <v>74</v>
      </c>
      <c r="BR293" t="s">
        <v>102</v>
      </c>
      <c r="BS293" t="s">
        <v>6088</v>
      </c>
      <c r="BT293" t="str">
        <f>HYPERLINK("https%3A%2F%2Fwww.webofscience.com%2Fwos%2Fwoscc%2Ffull-record%2FWOS:000686132100002","View Full Record in Web of Science")</f>
        <v>View Full Record in Web of Science</v>
      </c>
    </row>
    <row r="294" spans="1:72" x14ac:dyDescent="0.15">
      <c r="A294" t="s">
        <v>72</v>
      </c>
      <c r="B294" t="s">
        <v>6089</v>
      </c>
      <c r="C294" t="s">
        <v>74</v>
      </c>
      <c r="D294" t="s">
        <v>74</v>
      </c>
      <c r="E294" t="s">
        <v>74</v>
      </c>
      <c r="F294" t="s">
        <v>6090</v>
      </c>
      <c r="G294" t="s">
        <v>74</v>
      </c>
      <c r="H294" t="s">
        <v>74</v>
      </c>
      <c r="I294" t="s">
        <v>6091</v>
      </c>
      <c r="J294" t="s">
        <v>243</v>
      </c>
      <c r="K294" t="s">
        <v>74</v>
      </c>
      <c r="L294" t="s">
        <v>74</v>
      </c>
      <c r="M294" t="s">
        <v>78</v>
      </c>
      <c r="N294" t="s">
        <v>79</v>
      </c>
      <c r="O294" t="s">
        <v>74</v>
      </c>
      <c r="P294" t="s">
        <v>74</v>
      </c>
      <c r="Q294" t="s">
        <v>74</v>
      </c>
      <c r="R294" t="s">
        <v>74</v>
      </c>
      <c r="S294" t="s">
        <v>74</v>
      </c>
      <c r="T294" t="s">
        <v>6092</v>
      </c>
      <c r="U294" t="s">
        <v>6093</v>
      </c>
      <c r="V294" t="s">
        <v>6094</v>
      </c>
      <c r="W294" t="s">
        <v>6095</v>
      </c>
      <c r="X294" t="s">
        <v>6096</v>
      </c>
      <c r="Y294" t="s">
        <v>6097</v>
      </c>
      <c r="Z294" t="s">
        <v>6098</v>
      </c>
      <c r="AA294" t="s">
        <v>6099</v>
      </c>
      <c r="AB294" t="s">
        <v>6100</v>
      </c>
      <c r="AC294" t="s">
        <v>6101</v>
      </c>
      <c r="AD294" t="s">
        <v>3525</v>
      </c>
      <c r="AE294" t="s">
        <v>6102</v>
      </c>
      <c r="AF294" t="s">
        <v>74</v>
      </c>
      <c r="AG294">
        <v>61</v>
      </c>
      <c r="AH294">
        <v>7</v>
      </c>
      <c r="AI294">
        <v>8</v>
      </c>
      <c r="AJ294">
        <v>1</v>
      </c>
      <c r="AK294">
        <v>13</v>
      </c>
      <c r="AL294" t="s">
        <v>89</v>
      </c>
      <c r="AM294" t="s">
        <v>90</v>
      </c>
      <c r="AN294" t="s">
        <v>91</v>
      </c>
      <c r="AO294" t="s">
        <v>256</v>
      </c>
      <c r="AP294" t="s">
        <v>257</v>
      </c>
      <c r="AQ294" t="s">
        <v>74</v>
      </c>
      <c r="AR294" t="s">
        <v>258</v>
      </c>
      <c r="AS294" t="s">
        <v>259</v>
      </c>
      <c r="AT294" t="s">
        <v>6103</v>
      </c>
      <c r="AU294">
        <v>2021</v>
      </c>
      <c r="AV294">
        <v>794</v>
      </c>
      <c r="AW294" t="s">
        <v>74</v>
      </c>
      <c r="AX294" t="s">
        <v>74</v>
      </c>
      <c r="AY294" t="s">
        <v>74</v>
      </c>
      <c r="AZ294" t="s">
        <v>74</v>
      </c>
      <c r="BA294" t="s">
        <v>74</v>
      </c>
      <c r="BB294" t="s">
        <v>74</v>
      </c>
      <c r="BC294" t="s">
        <v>74</v>
      </c>
      <c r="BD294">
        <v>148594</v>
      </c>
      <c r="BE294" t="s">
        <v>6104</v>
      </c>
      <c r="BF294" t="str">
        <f>HYPERLINK("http://dx.doi.org/10.1016/j.scitotenv.2021.148594","http://dx.doi.org/10.1016/j.scitotenv.2021.148594")</f>
        <v>http://dx.doi.org/10.1016/j.scitotenv.2021.148594</v>
      </c>
      <c r="BG294" t="s">
        <v>74</v>
      </c>
      <c r="BH294" t="s">
        <v>2323</v>
      </c>
      <c r="BI294">
        <v>9</v>
      </c>
      <c r="BJ294" t="s">
        <v>262</v>
      </c>
      <c r="BK294" t="s">
        <v>128</v>
      </c>
      <c r="BL294" t="s">
        <v>263</v>
      </c>
      <c r="BM294" t="s">
        <v>6105</v>
      </c>
      <c r="BN294">
        <v>34225140</v>
      </c>
      <c r="BO294" t="s">
        <v>338</v>
      </c>
      <c r="BP294" t="s">
        <v>74</v>
      </c>
      <c r="BQ294" t="s">
        <v>74</v>
      </c>
      <c r="BR294" t="s">
        <v>102</v>
      </c>
      <c r="BS294" t="s">
        <v>6106</v>
      </c>
      <c r="BT294" t="str">
        <f>HYPERLINK("https%3A%2F%2Fwww.webofscience.com%2Fwos%2Fwoscc%2Ffull-record%2FWOS:000691672900005","View Full Record in Web of Science")</f>
        <v>View Full Record in Web of Science</v>
      </c>
    </row>
    <row r="295" spans="1:72" x14ac:dyDescent="0.15">
      <c r="A295" t="s">
        <v>72</v>
      </c>
      <c r="B295" t="s">
        <v>6107</v>
      </c>
      <c r="C295" t="s">
        <v>74</v>
      </c>
      <c r="D295" t="s">
        <v>74</v>
      </c>
      <c r="E295" t="s">
        <v>74</v>
      </c>
      <c r="F295" t="s">
        <v>6108</v>
      </c>
      <c r="G295" t="s">
        <v>74</v>
      </c>
      <c r="H295" t="s">
        <v>74</v>
      </c>
      <c r="I295" t="s">
        <v>6109</v>
      </c>
      <c r="J295" t="s">
        <v>269</v>
      </c>
      <c r="K295" t="s">
        <v>74</v>
      </c>
      <c r="L295" t="s">
        <v>74</v>
      </c>
      <c r="M295" t="s">
        <v>78</v>
      </c>
      <c r="N295" t="s">
        <v>79</v>
      </c>
      <c r="O295" t="s">
        <v>74</v>
      </c>
      <c r="P295" t="s">
        <v>74</v>
      </c>
      <c r="Q295" t="s">
        <v>74</v>
      </c>
      <c r="R295" t="s">
        <v>74</v>
      </c>
      <c r="S295" t="s">
        <v>74</v>
      </c>
      <c r="T295" t="s">
        <v>6110</v>
      </c>
      <c r="U295" t="s">
        <v>6111</v>
      </c>
      <c r="V295" t="s">
        <v>6112</v>
      </c>
      <c r="W295" t="s">
        <v>6113</v>
      </c>
      <c r="X295" t="s">
        <v>6114</v>
      </c>
      <c r="Y295" t="s">
        <v>6115</v>
      </c>
      <c r="Z295" t="s">
        <v>992</v>
      </c>
      <c r="AA295" t="s">
        <v>6116</v>
      </c>
      <c r="AB295" t="s">
        <v>6117</v>
      </c>
      <c r="AC295" t="s">
        <v>6118</v>
      </c>
      <c r="AD295" t="s">
        <v>6119</v>
      </c>
      <c r="AE295" t="s">
        <v>6120</v>
      </c>
      <c r="AF295" t="s">
        <v>74</v>
      </c>
      <c r="AG295">
        <v>56</v>
      </c>
      <c r="AH295">
        <v>4</v>
      </c>
      <c r="AI295">
        <v>4</v>
      </c>
      <c r="AJ295">
        <v>1</v>
      </c>
      <c r="AK295">
        <v>5</v>
      </c>
      <c r="AL295" t="s">
        <v>281</v>
      </c>
      <c r="AM295" t="s">
        <v>228</v>
      </c>
      <c r="AN295" t="s">
        <v>282</v>
      </c>
      <c r="AO295" t="s">
        <v>283</v>
      </c>
      <c r="AP295" t="s">
        <v>284</v>
      </c>
      <c r="AQ295" t="s">
        <v>74</v>
      </c>
      <c r="AR295" t="s">
        <v>285</v>
      </c>
      <c r="AS295" t="s">
        <v>286</v>
      </c>
      <c r="AT295" t="s">
        <v>2387</v>
      </c>
      <c r="AU295">
        <v>2021</v>
      </c>
      <c r="AV295">
        <v>309</v>
      </c>
      <c r="AW295" t="s">
        <v>74</v>
      </c>
      <c r="AX295" t="s">
        <v>74</v>
      </c>
      <c r="AY295" t="s">
        <v>74</v>
      </c>
      <c r="AZ295" t="s">
        <v>74</v>
      </c>
      <c r="BA295" t="s">
        <v>74</v>
      </c>
      <c r="BB295">
        <v>31</v>
      </c>
      <c r="BC295">
        <v>44</v>
      </c>
      <c r="BD295" t="s">
        <v>74</v>
      </c>
      <c r="BE295" t="s">
        <v>6121</v>
      </c>
      <c r="BF295" t="str">
        <f>HYPERLINK("http://dx.doi.org/10.1016/j.gca.2021.06.013","http://dx.doi.org/10.1016/j.gca.2021.06.013")</f>
        <v>http://dx.doi.org/10.1016/j.gca.2021.06.013</v>
      </c>
      <c r="BG295" t="s">
        <v>74</v>
      </c>
      <c r="BH295" t="s">
        <v>2323</v>
      </c>
      <c r="BI295">
        <v>14</v>
      </c>
      <c r="BJ295" t="s">
        <v>289</v>
      </c>
      <c r="BK295" t="s">
        <v>128</v>
      </c>
      <c r="BL295" t="s">
        <v>289</v>
      </c>
      <c r="BM295" t="s">
        <v>6122</v>
      </c>
      <c r="BN295" t="s">
        <v>74</v>
      </c>
      <c r="BO295" t="s">
        <v>749</v>
      </c>
      <c r="BP295" t="s">
        <v>74</v>
      </c>
      <c r="BQ295" t="s">
        <v>74</v>
      </c>
      <c r="BR295" t="s">
        <v>102</v>
      </c>
      <c r="BS295" t="s">
        <v>6123</v>
      </c>
      <c r="BT295" t="str">
        <f>HYPERLINK("https%3A%2F%2Fwww.webofscience.com%2Fwos%2Fwoscc%2Ffull-record%2FWOS:000682950000003","View Full Record in Web of Science")</f>
        <v>View Full Record in Web of Science</v>
      </c>
    </row>
    <row r="296" spans="1:72" x14ac:dyDescent="0.15">
      <c r="A296" t="s">
        <v>72</v>
      </c>
      <c r="B296" t="s">
        <v>6124</v>
      </c>
      <c r="C296" t="s">
        <v>74</v>
      </c>
      <c r="D296" t="s">
        <v>74</v>
      </c>
      <c r="E296" t="s">
        <v>74</v>
      </c>
      <c r="F296" t="s">
        <v>6125</v>
      </c>
      <c r="G296" t="s">
        <v>74</v>
      </c>
      <c r="H296" t="s">
        <v>74</v>
      </c>
      <c r="I296" t="s">
        <v>6126</v>
      </c>
      <c r="J296" t="s">
        <v>3753</v>
      </c>
      <c r="K296" t="s">
        <v>74</v>
      </c>
      <c r="L296" t="s">
        <v>74</v>
      </c>
      <c r="M296" t="s">
        <v>78</v>
      </c>
      <c r="N296" t="s">
        <v>79</v>
      </c>
      <c r="O296" t="s">
        <v>74</v>
      </c>
      <c r="P296" t="s">
        <v>74</v>
      </c>
      <c r="Q296" t="s">
        <v>74</v>
      </c>
      <c r="R296" t="s">
        <v>74</v>
      </c>
      <c r="S296" t="s">
        <v>74</v>
      </c>
      <c r="T296" t="s">
        <v>6127</v>
      </c>
      <c r="U296" t="s">
        <v>6128</v>
      </c>
      <c r="V296" t="s">
        <v>6129</v>
      </c>
      <c r="W296" t="s">
        <v>6130</v>
      </c>
      <c r="X296" t="s">
        <v>6131</v>
      </c>
      <c r="Y296" t="s">
        <v>6132</v>
      </c>
      <c r="Z296" t="s">
        <v>6133</v>
      </c>
      <c r="AA296" t="s">
        <v>6134</v>
      </c>
      <c r="AB296" t="s">
        <v>6135</v>
      </c>
      <c r="AC296" t="s">
        <v>6136</v>
      </c>
      <c r="AD296" t="s">
        <v>6136</v>
      </c>
      <c r="AE296" t="s">
        <v>6137</v>
      </c>
      <c r="AF296" t="s">
        <v>74</v>
      </c>
      <c r="AG296">
        <v>98</v>
      </c>
      <c r="AH296">
        <v>16</v>
      </c>
      <c r="AI296">
        <v>16</v>
      </c>
      <c r="AJ296">
        <v>0</v>
      </c>
      <c r="AK296">
        <v>10</v>
      </c>
      <c r="AL296" t="s">
        <v>89</v>
      </c>
      <c r="AM296" t="s">
        <v>90</v>
      </c>
      <c r="AN296" t="s">
        <v>91</v>
      </c>
      <c r="AO296" t="s">
        <v>3764</v>
      </c>
      <c r="AP296" t="s">
        <v>3765</v>
      </c>
      <c r="AQ296" t="s">
        <v>74</v>
      </c>
      <c r="AR296" t="s">
        <v>3766</v>
      </c>
      <c r="AS296" t="s">
        <v>3767</v>
      </c>
      <c r="AT296" t="s">
        <v>402</v>
      </c>
      <c r="AU296">
        <v>2021</v>
      </c>
      <c r="AV296">
        <v>439</v>
      </c>
      <c r="AW296" t="s">
        <v>74</v>
      </c>
      <c r="AX296" t="s">
        <v>74</v>
      </c>
      <c r="AY296" t="s">
        <v>74</v>
      </c>
      <c r="AZ296" t="s">
        <v>74</v>
      </c>
      <c r="BA296" t="s">
        <v>74</v>
      </c>
      <c r="BB296" t="s">
        <v>74</v>
      </c>
      <c r="BC296" t="s">
        <v>74</v>
      </c>
      <c r="BD296">
        <v>106539</v>
      </c>
      <c r="BE296" t="s">
        <v>6138</v>
      </c>
      <c r="BF296" t="str">
        <f>HYPERLINK("http://dx.doi.org/10.1016/j.margeo.2021.106539","http://dx.doi.org/10.1016/j.margeo.2021.106539")</f>
        <v>http://dx.doi.org/10.1016/j.margeo.2021.106539</v>
      </c>
      <c r="BG296" t="s">
        <v>74</v>
      </c>
      <c r="BH296" t="s">
        <v>2323</v>
      </c>
      <c r="BI296">
        <v>19</v>
      </c>
      <c r="BJ296" t="s">
        <v>3769</v>
      </c>
      <c r="BK296" t="s">
        <v>128</v>
      </c>
      <c r="BL296" t="s">
        <v>3770</v>
      </c>
      <c r="BM296" t="s">
        <v>3771</v>
      </c>
      <c r="BN296" t="s">
        <v>74</v>
      </c>
      <c r="BO296" t="s">
        <v>408</v>
      </c>
      <c r="BP296" t="s">
        <v>74</v>
      </c>
      <c r="BQ296" t="s">
        <v>74</v>
      </c>
      <c r="BR296" t="s">
        <v>102</v>
      </c>
      <c r="BS296" t="s">
        <v>6139</v>
      </c>
      <c r="BT296" t="str">
        <f>HYPERLINK("https%3A%2F%2Fwww.webofscience.com%2Fwos%2Fwoscc%2Ffull-record%2FWOS:000680656200001","View Full Record in Web of Science")</f>
        <v>View Full Record in Web of Science</v>
      </c>
    </row>
    <row r="297" spans="1:72" x14ac:dyDescent="0.15">
      <c r="A297" t="s">
        <v>72</v>
      </c>
      <c r="B297" t="s">
        <v>6140</v>
      </c>
      <c r="C297" t="s">
        <v>74</v>
      </c>
      <c r="D297" t="s">
        <v>74</v>
      </c>
      <c r="E297" t="s">
        <v>74</v>
      </c>
      <c r="F297" t="s">
        <v>6141</v>
      </c>
      <c r="G297" t="s">
        <v>74</v>
      </c>
      <c r="H297" t="s">
        <v>74</v>
      </c>
      <c r="I297" t="s">
        <v>6142</v>
      </c>
      <c r="J297" t="s">
        <v>4399</v>
      </c>
      <c r="K297" t="s">
        <v>74</v>
      </c>
      <c r="L297" t="s">
        <v>74</v>
      </c>
      <c r="M297" t="s">
        <v>78</v>
      </c>
      <c r="N297" t="s">
        <v>79</v>
      </c>
      <c r="O297" t="s">
        <v>74</v>
      </c>
      <c r="P297" t="s">
        <v>74</v>
      </c>
      <c r="Q297" t="s">
        <v>74</v>
      </c>
      <c r="R297" t="s">
        <v>74</v>
      </c>
      <c r="S297" t="s">
        <v>74</v>
      </c>
      <c r="T297" t="s">
        <v>6143</v>
      </c>
      <c r="U297" t="s">
        <v>6144</v>
      </c>
      <c r="V297" t="s">
        <v>6145</v>
      </c>
      <c r="W297" t="s">
        <v>6146</v>
      </c>
      <c r="X297" t="s">
        <v>6147</v>
      </c>
      <c r="Y297" t="s">
        <v>6148</v>
      </c>
      <c r="Z297" t="s">
        <v>6149</v>
      </c>
      <c r="AA297" t="s">
        <v>6150</v>
      </c>
      <c r="AB297" t="s">
        <v>6151</v>
      </c>
      <c r="AC297" t="s">
        <v>6152</v>
      </c>
      <c r="AD297" t="s">
        <v>6153</v>
      </c>
      <c r="AE297" t="s">
        <v>6154</v>
      </c>
      <c r="AF297" t="s">
        <v>74</v>
      </c>
      <c r="AG297">
        <v>102</v>
      </c>
      <c r="AH297">
        <v>0</v>
      </c>
      <c r="AI297">
        <v>0</v>
      </c>
      <c r="AJ297">
        <v>1</v>
      </c>
      <c r="AK297">
        <v>19</v>
      </c>
      <c r="AL297" t="s">
        <v>119</v>
      </c>
      <c r="AM297" t="s">
        <v>120</v>
      </c>
      <c r="AN297" t="s">
        <v>121</v>
      </c>
      <c r="AO297" t="s">
        <v>74</v>
      </c>
      <c r="AP297" t="s">
        <v>4412</v>
      </c>
      <c r="AQ297" t="s">
        <v>74</v>
      </c>
      <c r="AR297" t="s">
        <v>4413</v>
      </c>
      <c r="AS297" t="s">
        <v>4414</v>
      </c>
      <c r="AT297" t="s">
        <v>6155</v>
      </c>
      <c r="AU297">
        <v>2021</v>
      </c>
      <c r="AV297">
        <v>12</v>
      </c>
      <c r="AW297" t="s">
        <v>74</v>
      </c>
      <c r="AX297" t="s">
        <v>74</v>
      </c>
      <c r="AY297" t="s">
        <v>74</v>
      </c>
      <c r="AZ297" t="s">
        <v>74</v>
      </c>
      <c r="BA297" t="s">
        <v>74</v>
      </c>
      <c r="BB297" t="s">
        <v>74</v>
      </c>
      <c r="BC297" t="s">
        <v>74</v>
      </c>
      <c r="BD297">
        <v>670982</v>
      </c>
      <c r="BE297" t="s">
        <v>6156</v>
      </c>
      <c r="BF297" t="str">
        <f>HYPERLINK("http://dx.doi.org/10.3389/fmicb.2021.670982","http://dx.doi.org/10.3389/fmicb.2021.670982")</f>
        <v>http://dx.doi.org/10.3389/fmicb.2021.670982</v>
      </c>
      <c r="BG297" t="s">
        <v>74</v>
      </c>
      <c r="BH297" t="s">
        <v>74</v>
      </c>
      <c r="BI297">
        <v>19</v>
      </c>
      <c r="BJ297" t="s">
        <v>1499</v>
      </c>
      <c r="BK297" t="s">
        <v>128</v>
      </c>
      <c r="BL297" t="s">
        <v>1499</v>
      </c>
      <c r="BM297" t="s">
        <v>6157</v>
      </c>
      <c r="BN297">
        <v>34276605</v>
      </c>
      <c r="BO297" t="s">
        <v>1377</v>
      </c>
      <c r="BP297" t="s">
        <v>74</v>
      </c>
      <c r="BQ297" t="s">
        <v>74</v>
      </c>
      <c r="BR297" t="s">
        <v>102</v>
      </c>
      <c r="BS297" t="s">
        <v>6158</v>
      </c>
      <c r="BT297" t="str">
        <f>HYPERLINK("https%3A%2F%2Fwww.webofscience.com%2Fwos%2Fwoscc%2Ffull-record%2FWOS:000674035700001","View Full Record in Web of Science")</f>
        <v>View Full Record in Web of Science</v>
      </c>
    </row>
    <row r="298" spans="1:72" x14ac:dyDescent="0.15">
      <c r="A298" t="s">
        <v>72</v>
      </c>
      <c r="B298" t="s">
        <v>6159</v>
      </c>
      <c r="C298" t="s">
        <v>74</v>
      </c>
      <c r="D298" t="s">
        <v>74</v>
      </c>
      <c r="E298" t="s">
        <v>74</v>
      </c>
      <c r="F298" t="s">
        <v>6160</v>
      </c>
      <c r="G298" t="s">
        <v>74</v>
      </c>
      <c r="H298" t="s">
        <v>74</v>
      </c>
      <c r="I298" t="s">
        <v>6161</v>
      </c>
      <c r="J298" t="s">
        <v>2396</v>
      </c>
      <c r="K298" t="s">
        <v>74</v>
      </c>
      <c r="L298" t="s">
        <v>74</v>
      </c>
      <c r="M298" t="s">
        <v>78</v>
      </c>
      <c r="N298" t="s">
        <v>79</v>
      </c>
      <c r="O298" t="s">
        <v>74</v>
      </c>
      <c r="P298" t="s">
        <v>74</v>
      </c>
      <c r="Q298" t="s">
        <v>74</v>
      </c>
      <c r="R298" t="s">
        <v>74</v>
      </c>
      <c r="S298" t="s">
        <v>74</v>
      </c>
      <c r="T298" t="s">
        <v>74</v>
      </c>
      <c r="U298" t="s">
        <v>6162</v>
      </c>
      <c r="V298" t="s">
        <v>6163</v>
      </c>
      <c r="W298" t="s">
        <v>6164</v>
      </c>
      <c r="X298" t="s">
        <v>6165</v>
      </c>
      <c r="Y298" t="s">
        <v>6166</v>
      </c>
      <c r="Z298" t="s">
        <v>6167</v>
      </c>
      <c r="AA298" t="s">
        <v>6168</v>
      </c>
      <c r="AB298" t="s">
        <v>6169</v>
      </c>
      <c r="AC298" t="s">
        <v>6170</v>
      </c>
      <c r="AD298" t="s">
        <v>6171</v>
      </c>
      <c r="AE298" t="s">
        <v>6172</v>
      </c>
      <c r="AF298" t="s">
        <v>74</v>
      </c>
      <c r="AG298">
        <v>115</v>
      </c>
      <c r="AH298">
        <v>13</v>
      </c>
      <c r="AI298">
        <v>13</v>
      </c>
      <c r="AJ298">
        <v>0</v>
      </c>
      <c r="AK298">
        <v>11</v>
      </c>
      <c r="AL298" t="s">
        <v>143</v>
      </c>
      <c r="AM298" t="s">
        <v>144</v>
      </c>
      <c r="AN298" t="s">
        <v>145</v>
      </c>
      <c r="AO298" t="s">
        <v>2408</v>
      </c>
      <c r="AP298" t="s">
        <v>2409</v>
      </c>
      <c r="AQ298" t="s">
        <v>74</v>
      </c>
      <c r="AR298" t="s">
        <v>2396</v>
      </c>
      <c r="AS298" t="s">
        <v>2410</v>
      </c>
      <c r="AT298" t="s">
        <v>6155</v>
      </c>
      <c r="AU298">
        <v>2021</v>
      </c>
      <c r="AV298">
        <v>15</v>
      </c>
      <c r="AW298">
        <v>6</v>
      </c>
      <c r="AX298" t="s">
        <v>74</v>
      </c>
      <c r="AY298" t="s">
        <v>74</v>
      </c>
      <c r="AZ298" t="s">
        <v>74</v>
      </c>
      <c r="BA298" t="s">
        <v>74</v>
      </c>
      <c r="BB298">
        <v>3035</v>
      </c>
      <c r="BC298">
        <v>3057</v>
      </c>
      <c r="BD298" t="s">
        <v>74</v>
      </c>
      <c r="BE298" t="s">
        <v>6173</v>
      </c>
      <c r="BF298" t="str">
        <f>HYPERLINK("http://dx.doi.org/10.5194/tc-15-3035-2021","http://dx.doi.org/10.5194/tc-15-3035-2021")</f>
        <v>http://dx.doi.org/10.5194/tc-15-3035-2021</v>
      </c>
      <c r="BG298" t="s">
        <v>74</v>
      </c>
      <c r="BH298" t="s">
        <v>74</v>
      </c>
      <c r="BI298">
        <v>23</v>
      </c>
      <c r="BJ298" t="s">
        <v>151</v>
      </c>
      <c r="BK298" t="s">
        <v>128</v>
      </c>
      <c r="BL298" t="s">
        <v>152</v>
      </c>
      <c r="BM298" t="s">
        <v>6174</v>
      </c>
      <c r="BN298" t="s">
        <v>74</v>
      </c>
      <c r="BO298" t="s">
        <v>353</v>
      </c>
      <c r="BP298" t="s">
        <v>74</v>
      </c>
      <c r="BQ298" t="s">
        <v>74</v>
      </c>
      <c r="BR298" t="s">
        <v>102</v>
      </c>
      <c r="BS298" t="s">
        <v>6175</v>
      </c>
      <c r="BT298" t="str">
        <f>HYPERLINK("https%3A%2F%2Fwww.webofscience.com%2Fwos%2Fwoscc%2Ffull-record%2FWOS:000670629600001","View Full Record in Web of Science")</f>
        <v>View Full Record in Web of Science</v>
      </c>
    </row>
    <row r="299" spans="1:72" x14ac:dyDescent="0.15">
      <c r="A299" t="s">
        <v>72</v>
      </c>
      <c r="B299" t="s">
        <v>6176</v>
      </c>
      <c r="C299" t="s">
        <v>74</v>
      </c>
      <c r="D299" t="s">
        <v>74</v>
      </c>
      <c r="E299" t="s">
        <v>74</v>
      </c>
      <c r="F299" t="s">
        <v>6177</v>
      </c>
      <c r="G299" t="s">
        <v>74</v>
      </c>
      <c r="H299" t="s">
        <v>74</v>
      </c>
      <c r="I299" t="s">
        <v>6178</v>
      </c>
      <c r="J299" t="s">
        <v>6179</v>
      </c>
      <c r="K299" t="s">
        <v>74</v>
      </c>
      <c r="L299" t="s">
        <v>74</v>
      </c>
      <c r="M299" t="s">
        <v>78</v>
      </c>
      <c r="N299" t="s">
        <v>79</v>
      </c>
      <c r="O299" t="s">
        <v>74</v>
      </c>
      <c r="P299" t="s">
        <v>74</v>
      </c>
      <c r="Q299" t="s">
        <v>74</v>
      </c>
      <c r="R299" t="s">
        <v>74</v>
      </c>
      <c r="S299" t="s">
        <v>74</v>
      </c>
      <c r="T299" t="s">
        <v>74</v>
      </c>
      <c r="U299" t="s">
        <v>6180</v>
      </c>
      <c r="V299" t="s">
        <v>6181</v>
      </c>
      <c r="W299" t="s">
        <v>6182</v>
      </c>
      <c r="X299" t="s">
        <v>6183</v>
      </c>
      <c r="Y299" t="s">
        <v>6184</v>
      </c>
      <c r="Z299" t="s">
        <v>6185</v>
      </c>
      <c r="AA299" t="s">
        <v>6186</v>
      </c>
      <c r="AB299" t="s">
        <v>6187</v>
      </c>
      <c r="AC299" t="s">
        <v>6188</v>
      </c>
      <c r="AD299" t="s">
        <v>6189</v>
      </c>
      <c r="AE299" t="s">
        <v>6190</v>
      </c>
      <c r="AF299" t="s">
        <v>74</v>
      </c>
      <c r="AG299">
        <v>46</v>
      </c>
      <c r="AH299">
        <v>4</v>
      </c>
      <c r="AI299">
        <v>4</v>
      </c>
      <c r="AJ299">
        <v>2</v>
      </c>
      <c r="AK299">
        <v>7</v>
      </c>
      <c r="AL299" t="s">
        <v>143</v>
      </c>
      <c r="AM299" t="s">
        <v>144</v>
      </c>
      <c r="AN299" t="s">
        <v>145</v>
      </c>
      <c r="AO299" t="s">
        <v>6191</v>
      </c>
      <c r="AP299" t="s">
        <v>6192</v>
      </c>
      <c r="AQ299" t="s">
        <v>74</v>
      </c>
      <c r="AR299" t="s">
        <v>6193</v>
      </c>
      <c r="AS299" t="s">
        <v>6194</v>
      </c>
      <c r="AT299" t="s">
        <v>6155</v>
      </c>
      <c r="AU299">
        <v>2021</v>
      </c>
      <c r="AV299">
        <v>13</v>
      </c>
      <c r="AW299">
        <v>7</v>
      </c>
      <c r="AX299" t="s">
        <v>74</v>
      </c>
      <c r="AY299" t="s">
        <v>74</v>
      </c>
      <c r="AZ299" t="s">
        <v>74</v>
      </c>
      <c r="BA299" t="s">
        <v>74</v>
      </c>
      <c r="BB299">
        <v>3103</v>
      </c>
      <c r="BC299">
        <v>3114</v>
      </c>
      <c r="BD299" t="s">
        <v>74</v>
      </c>
      <c r="BE299" t="s">
        <v>6195</v>
      </c>
      <c r="BF299" t="str">
        <f>HYPERLINK("http://dx.doi.org/10.5194/essd-13-3103-2021","http://dx.doi.org/10.5194/essd-13-3103-2021")</f>
        <v>http://dx.doi.org/10.5194/essd-13-3103-2021</v>
      </c>
      <c r="BG299" t="s">
        <v>74</v>
      </c>
      <c r="BH299" t="s">
        <v>74</v>
      </c>
      <c r="BI299">
        <v>12</v>
      </c>
      <c r="BJ299" t="s">
        <v>176</v>
      </c>
      <c r="BK299" t="s">
        <v>128</v>
      </c>
      <c r="BL299" t="s">
        <v>177</v>
      </c>
      <c r="BM299" t="s">
        <v>6196</v>
      </c>
      <c r="BN299" t="s">
        <v>74</v>
      </c>
      <c r="BO299" t="s">
        <v>3248</v>
      </c>
      <c r="BP299" t="s">
        <v>74</v>
      </c>
      <c r="BQ299" t="s">
        <v>74</v>
      </c>
      <c r="BR299" t="s">
        <v>102</v>
      </c>
      <c r="BS299" t="s">
        <v>6197</v>
      </c>
      <c r="BT299" t="str">
        <f>HYPERLINK("https%3A%2F%2Fwww.webofscience.com%2Fwos%2Fwoscc%2Ffull-record%2FWOS:000670623800001","View Full Record in Web of Science")</f>
        <v>View Full Record in Web of Science</v>
      </c>
    </row>
    <row r="300" spans="1:72" x14ac:dyDescent="0.15">
      <c r="A300" t="s">
        <v>72</v>
      </c>
      <c r="B300" t="s">
        <v>6198</v>
      </c>
      <c r="C300" t="s">
        <v>74</v>
      </c>
      <c r="D300" t="s">
        <v>74</v>
      </c>
      <c r="E300" t="s">
        <v>74</v>
      </c>
      <c r="F300" t="s">
        <v>6199</v>
      </c>
      <c r="G300" t="s">
        <v>74</v>
      </c>
      <c r="H300" t="s">
        <v>74</v>
      </c>
      <c r="I300" t="s">
        <v>6200</v>
      </c>
      <c r="J300" t="s">
        <v>6201</v>
      </c>
      <c r="K300" t="s">
        <v>74</v>
      </c>
      <c r="L300" t="s">
        <v>74</v>
      </c>
      <c r="M300" t="s">
        <v>78</v>
      </c>
      <c r="N300" t="s">
        <v>79</v>
      </c>
      <c r="O300" t="s">
        <v>74</v>
      </c>
      <c r="P300" t="s">
        <v>74</v>
      </c>
      <c r="Q300" t="s">
        <v>74</v>
      </c>
      <c r="R300" t="s">
        <v>74</v>
      </c>
      <c r="S300" t="s">
        <v>74</v>
      </c>
      <c r="T300" t="s">
        <v>6202</v>
      </c>
      <c r="U300" t="s">
        <v>6203</v>
      </c>
      <c r="V300" t="s">
        <v>6204</v>
      </c>
      <c r="W300" t="s">
        <v>6205</v>
      </c>
      <c r="X300" t="s">
        <v>6206</v>
      </c>
      <c r="Y300" t="s">
        <v>6207</v>
      </c>
      <c r="Z300" t="s">
        <v>6208</v>
      </c>
      <c r="AA300" t="s">
        <v>74</v>
      </c>
      <c r="AB300" t="s">
        <v>6209</v>
      </c>
      <c r="AC300" t="s">
        <v>6210</v>
      </c>
      <c r="AD300" t="s">
        <v>6211</v>
      </c>
      <c r="AE300" t="s">
        <v>6212</v>
      </c>
      <c r="AF300" t="s">
        <v>74</v>
      </c>
      <c r="AG300">
        <v>99</v>
      </c>
      <c r="AH300">
        <v>14</v>
      </c>
      <c r="AI300">
        <v>16</v>
      </c>
      <c r="AJ300">
        <v>2</v>
      </c>
      <c r="AK300">
        <v>27</v>
      </c>
      <c r="AL300" t="s">
        <v>367</v>
      </c>
      <c r="AM300" t="s">
        <v>368</v>
      </c>
      <c r="AN300" t="s">
        <v>369</v>
      </c>
      <c r="AO300" t="s">
        <v>6213</v>
      </c>
      <c r="AP300" t="s">
        <v>6214</v>
      </c>
      <c r="AQ300" t="s">
        <v>74</v>
      </c>
      <c r="AR300" t="s">
        <v>6215</v>
      </c>
      <c r="AS300" t="s">
        <v>6216</v>
      </c>
      <c r="AT300" t="s">
        <v>204</v>
      </c>
      <c r="AU300">
        <v>2021</v>
      </c>
      <c r="AV300">
        <v>51</v>
      </c>
      <c r="AW300">
        <v>5</v>
      </c>
      <c r="AX300" t="s">
        <v>74</v>
      </c>
      <c r="AY300" t="s">
        <v>74</v>
      </c>
      <c r="AZ300" t="s">
        <v>74</v>
      </c>
      <c r="BA300" t="s">
        <v>74</v>
      </c>
      <c r="BB300">
        <v>780</v>
      </c>
      <c r="BC300">
        <v>796</v>
      </c>
      <c r="BD300">
        <v>3063127211027662</v>
      </c>
      <c r="BE300" t="s">
        <v>6217</v>
      </c>
      <c r="BF300" t="str">
        <f>HYPERLINK("http://dx.doi.org/10.1177/03063127211027662","http://dx.doi.org/10.1177/03063127211027662")</f>
        <v>http://dx.doi.org/10.1177/03063127211027662</v>
      </c>
      <c r="BG300" t="s">
        <v>74</v>
      </c>
      <c r="BH300" t="s">
        <v>2323</v>
      </c>
      <c r="BI300">
        <v>17</v>
      </c>
      <c r="BJ300" t="s">
        <v>6218</v>
      </c>
      <c r="BK300" t="s">
        <v>6219</v>
      </c>
      <c r="BL300" t="s">
        <v>6220</v>
      </c>
      <c r="BM300" t="s">
        <v>6221</v>
      </c>
      <c r="BN300">
        <v>34213373</v>
      </c>
      <c r="BO300" t="s">
        <v>74</v>
      </c>
      <c r="BP300" t="s">
        <v>74</v>
      </c>
      <c r="BQ300" t="s">
        <v>74</v>
      </c>
      <c r="BR300" t="s">
        <v>102</v>
      </c>
      <c r="BS300" t="s">
        <v>6222</v>
      </c>
      <c r="BT300" t="str">
        <f>HYPERLINK("https%3A%2F%2Fwww.webofscience.com%2Fwos%2Fwoscc%2Ffull-record%2FWOS:000671425700001","View Full Record in Web of Science")</f>
        <v>View Full Record in Web of Science</v>
      </c>
    </row>
    <row r="301" spans="1:72" x14ac:dyDescent="0.15">
      <c r="A301" t="s">
        <v>72</v>
      </c>
      <c r="B301" t="s">
        <v>6223</v>
      </c>
      <c r="C301" t="s">
        <v>74</v>
      </c>
      <c r="D301" t="s">
        <v>74</v>
      </c>
      <c r="E301" t="s">
        <v>74</v>
      </c>
      <c r="F301" t="s">
        <v>6224</v>
      </c>
      <c r="G301" t="s">
        <v>74</v>
      </c>
      <c r="H301" t="s">
        <v>74</v>
      </c>
      <c r="I301" t="s">
        <v>6225</v>
      </c>
      <c r="J301" t="s">
        <v>159</v>
      </c>
      <c r="K301" t="s">
        <v>74</v>
      </c>
      <c r="L301" t="s">
        <v>74</v>
      </c>
      <c r="M301" t="s">
        <v>78</v>
      </c>
      <c r="N301" t="s">
        <v>79</v>
      </c>
      <c r="O301" t="s">
        <v>74</v>
      </c>
      <c r="P301" t="s">
        <v>74</v>
      </c>
      <c r="Q301" t="s">
        <v>74</v>
      </c>
      <c r="R301" t="s">
        <v>74</v>
      </c>
      <c r="S301" t="s">
        <v>74</v>
      </c>
      <c r="T301" t="s">
        <v>74</v>
      </c>
      <c r="U301" t="s">
        <v>6226</v>
      </c>
      <c r="V301" t="s">
        <v>6227</v>
      </c>
      <c r="W301" t="s">
        <v>6228</v>
      </c>
      <c r="X301" t="s">
        <v>6229</v>
      </c>
      <c r="Y301" t="s">
        <v>6230</v>
      </c>
      <c r="Z301" t="s">
        <v>6231</v>
      </c>
      <c r="AA301" t="s">
        <v>6232</v>
      </c>
      <c r="AB301" t="s">
        <v>6233</v>
      </c>
      <c r="AC301" t="s">
        <v>6234</v>
      </c>
      <c r="AD301" t="s">
        <v>6235</v>
      </c>
      <c r="AE301" t="s">
        <v>6236</v>
      </c>
      <c r="AF301" t="s">
        <v>74</v>
      </c>
      <c r="AG301">
        <v>99</v>
      </c>
      <c r="AH301">
        <v>8</v>
      </c>
      <c r="AI301">
        <v>8</v>
      </c>
      <c r="AJ301">
        <v>0</v>
      </c>
      <c r="AK301">
        <v>6</v>
      </c>
      <c r="AL301" t="s">
        <v>143</v>
      </c>
      <c r="AM301" t="s">
        <v>144</v>
      </c>
      <c r="AN301" t="s">
        <v>145</v>
      </c>
      <c r="AO301" t="s">
        <v>171</v>
      </c>
      <c r="AP301" t="s">
        <v>172</v>
      </c>
      <c r="AQ301" t="s">
        <v>74</v>
      </c>
      <c r="AR301" t="s">
        <v>173</v>
      </c>
      <c r="AS301" t="s">
        <v>174</v>
      </c>
      <c r="AT301" t="s">
        <v>6155</v>
      </c>
      <c r="AU301">
        <v>2021</v>
      </c>
      <c r="AV301">
        <v>17</v>
      </c>
      <c r="AW301">
        <v>3</v>
      </c>
      <c r="AX301" t="s">
        <v>74</v>
      </c>
      <c r="AY301" t="s">
        <v>74</v>
      </c>
      <c r="AZ301" t="s">
        <v>74</v>
      </c>
      <c r="BA301" t="s">
        <v>74</v>
      </c>
      <c r="BB301">
        <v>1423</v>
      </c>
      <c r="BC301">
        <v>1442</v>
      </c>
      <c r="BD301" t="s">
        <v>74</v>
      </c>
      <c r="BE301" t="s">
        <v>6237</v>
      </c>
      <c r="BF301" t="str">
        <f>HYPERLINK("http://dx.doi.org/10.5194/cp-17-1423-2021","http://dx.doi.org/10.5194/cp-17-1423-2021")</f>
        <v>http://dx.doi.org/10.5194/cp-17-1423-2021</v>
      </c>
      <c r="BG301" t="s">
        <v>74</v>
      </c>
      <c r="BH301" t="s">
        <v>74</v>
      </c>
      <c r="BI301">
        <v>20</v>
      </c>
      <c r="BJ301" t="s">
        <v>176</v>
      </c>
      <c r="BK301" t="s">
        <v>128</v>
      </c>
      <c r="BL301" t="s">
        <v>177</v>
      </c>
      <c r="BM301" t="s">
        <v>6238</v>
      </c>
      <c r="BN301" t="s">
        <v>74</v>
      </c>
      <c r="BO301" t="s">
        <v>5809</v>
      </c>
      <c r="BP301" t="s">
        <v>74</v>
      </c>
      <c r="BQ301" t="s">
        <v>74</v>
      </c>
      <c r="BR301" t="s">
        <v>102</v>
      </c>
      <c r="BS301" t="s">
        <v>6239</v>
      </c>
      <c r="BT301" t="str">
        <f>HYPERLINK("https%3A%2F%2Fwww.webofscience.com%2Fwos%2Fwoscc%2Ffull-record%2FWOS:000670623500001","View Full Record in Web of Science")</f>
        <v>View Full Record in Web of Science</v>
      </c>
    </row>
    <row r="302" spans="1:72" x14ac:dyDescent="0.15">
      <c r="A302" t="s">
        <v>72</v>
      </c>
      <c r="B302" t="s">
        <v>6240</v>
      </c>
      <c r="C302" t="s">
        <v>74</v>
      </c>
      <c r="D302" t="s">
        <v>74</v>
      </c>
      <c r="E302" t="s">
        <v>74</v>
      </c>
      <c r="F302" t="s">
        <v>6241</v>
      </c>
      <c r="G302" t="s">
        <v>74</v>
      </c>
      <c r="H302" t="s">
        <v>74</v>
      </c>
      <c r="I302" t="s">
        <v>6242</v>
      </c>
      <c r="J302" t="s">
        <v>6243</v>
      </c>
      <c r="K302" t="s">
        <v>74</v>
      </c>
      <c r="L302" t="s">
        <v>74</v>
      </c>
      <c r="M302" t="s">
        <v>78</v>
      </c>
      <c r="N302" t="s">
        <v>79</v>
      </c>
      <c r="O302" t="s">
        <v>74</v>
      </c>
      <c r="P302" t="s">
        <v>74</v>
      </c>
      <c r="Q302" t="s">
        <v>74</v>
      </c>
      <c r="R302" t="s">
        <v>74</v>
      </c>
      <c r="S302" t="s">
        <v>74</v>
      </c>
      <c r="T302" t="s">
        <v>74</v>
      </c>
      <c r="U302" t="s">
        <v>6244</v>
      </c>
      <c r="V302" t="s">
        <v>6245</v>
      </c>
      <c r="W302" t="s">
        <v>6246</v>
      </c>
      <c r="X302" t="s">
        <v>6247</v>
      </c>
      <c r="Y302" t="s">
        <v>6248</v>
      </c>
      <c r="Z302" t="s">
        <v>6249</v>
      </c>
      <c r="AA302" t="s">
        <v>6250</v>
      </c>
      <c r="AB302" t="s">
        <v>6251</v>
      </c>
      <c r="AC302" t="s">
        <v>6252</v>
      </c>
      <c r="AD302" t="s">
        <v>6253</v>
      </c>
      <c r="AE302" t="s">
        <v>6254</v>
      </c>
      <c r="AF302" t="s">
        <v>74</v>
      </c>
      <c r="AG302">
        <v>31</v>
      </c>
      <c r="AH302">
        <v>2</v>
      </c>
      <c r="AI302">
        <v>2</v>
      </c>
      <c r="AJ302">
        <v>0</v>
      </c>
      <c r="AK302">
        <v>13</v>
      </c>
      <c r="AL302" t="s">
        <v>197</v>
      </c>
      <c r="AM302" t="s">
        <v>198</v>
      </c>
      <c r="AN302" t="s">
        <v>199</v>
      </c>
      <c r="AO302" t="s">
        <v>74</v>
      </c>
      <c r="AP302" t="s">
        <v>6255</v>
      </c>
      <c r="AQ302" t="s">
        <v>74</v>
      </c>
      <c r="AR302" t="s">
        <v>6256</v>
      </c>
      <c r="AS302" t="s">
        <v>6257</v>
      </c>
      <c r="AT302" t="s">
        <v>374</v>
      </c>
      <c r="AU302">
        <v>2021</v>
      </c>
      <c r="AV302">
        <v>6</v>
      </c>
      <c r="AW302">
        <v>6</v>
      </c>
      <c r="AX302" t="s">
        <v>74</v>
      </c>
      <c r="AY302" t="s">
        <v>74</v>
      </c>
      <c r="AZ302" t="s">
        <v>74</v>
      </c>
      <c r="BA302" t="s">
        <v>74</v>
      </c>
      <c r="BB302">
        <v>379</v>
      </c>
      <c r="BC302">
        <v>387</v>
      </c>
      <c r="BD302" t="s">
        <v>74</v>
      </c>
      <c r="BE302" t="s">
        <v>6258</v>
      </c>
      <c r="BF302" t="str">
        <f>HYPERLINK("http://dx.doi.org/10.1002/lol2.10200","http://dx.doi.org/10.1002/lol2.10200")</f>
        <v>http://dx.doi.org/10.1002/lol2.10200</v>
      </c>
      <c r="BG302" t="s">
        <v>74</v>
      </c>
      <c r="BH302" t="s">
        <v>2323</v>
      </c>
      <c r="BI302">
        <v>9</v>
      </c>
      <c r="BJ302" t="s">
        <v>6259</v>
      </c>
      <c r="BK302" t="s">
        <v>128</v>
      </c>
      <c r="BL302" t="s">
        <v>3436</v>
      </c>
      <c r="BM302" t="s">
        <v>6260</v>
      </c>
      <c r="BN302" t="s">
        <v>74</v>
      </c>
      <c r="BO302" t="s">
        <v>238</v>
      </c>
      <c r="BP302" t="s">
        <v>74</v>
      </c>
      <c r="BQ302" t="s">
        <v>74</v>
      </c>
      <c r="BR302" t="s">
        <v>102</v>
      </c>
      <c r="BS302" t="s">
        <v>6261</v>
      </c>
      <c r="BT302" t="str">
        <f>HYPERLINK("https%3A%2F%2Fwww.webofscience.com%2Fwos%2Fwoscc%2Ffull-record%2FWOS:000668942600001","View Full Record in Web of Science")</f>
        <v>View Full Record in Web of Science</v>
      </c>
    </row>
    <row r="303" spans="1:72" x14ac:dyDescent="0.15">
      <c r="A303" t="s">
        <v>72</v>
      </c>
      <c r="B303" t="s">
        <v>6262</v>
      </c>
      <c r="C303" t="s">
        <v>74</v>
      </c>
      <c r="D303" t="s">
        <v>74</v>
      </c>
      <c r="E303" t="s">
        <v>74</v>
      </c>
      <c r="F303" t="s">
        <v>6263</v>
      </c>
      <c r="G303" t="s">
        <v>74</v>
      </c>
      <c r="H303" t="s">
        <v>74</v>
      </c>
      <c r="I303" t="s">
        <v>6264</v>
      </c>
      <c r="J303" t="s">
        <v>6265</v>
      </c>
      <c r="K303" t="s">
        <v>74</v>
      </c>
      <c r="L303" t="s">
        <v>74</v>
      </c>
      <c r="M303" t="s">
        <v>78</v>
      </c>
      <c r="N303" t="s">
        <v>700</v>
      </c>
      <c r="O303" t="s">
        <v>74</v>
      </c>
      <c r="P303" t="s">
        <v>74</v>
      </c>
      <c r="Q303" t="s">
        <v>74</v>
      </c>
      <c r="R303" t="s">
        <v>74</v>
      </c>
      <c r="S303" t="s">
        <v>74</v>
      </c>
      <c r="T303" t="s">
        <v>6266</v>
      </c>
      <c r="U303" t="s">
        <v>6267</v>
      </c>
      <c r="V303" t="s">
        <v>6268</v>
      </c>
      <c r="W303" t="s">
        <v>6269</v>
      </c>
      <c r="X303" t="s">
        <v>6270</v>
      </c>
      <c r="Y303" t="s">
        <v>6271</v>
      </c>
      <c r="Z303" t="s">
        <v>6272</v>
      </c>
      <c r="AA303" t="s">
        <v>6273</v>
      </c>
      <c r="AB303" t="s">
        <v>6274</v>
      </c>
      <c r="AC303" t="s">
        <v>6275</v>
      </c>
      <c r="AD303" t="s">
        <v>6276</v>
      </c>
      <c r="AE303" t="s">
        <v>6277</v>
      </c>
      <c r="AF303" t="s">
        <v>74</v>
      </c>
      <c r="AG303">
        <v>74</v>
      </c>
      <c r="AH303">
        <v>7</v>
      </c>
      <c r="AI303">
        <v>9</v>
      </c>
      <c r="AJ303">
        <v>3</v>
      </c>
      <c r="AK303">
        <v>7</v>
      </c>
      <c r="AL303" t="s">
        <v>197</v>
      </c>
      <c r="AM303" t="s">
        <v>198</v>
      </c>
      <c r="AN303" t="s">
        <v>199</v>
      </c>
      <c r="AO303" t="s">
        <v>74</v>
      </c>
      <c r="AP303" t="s">
        <v>6278</v>
      </c>
      <c r="AQ303" t="s">
        <v>74</v>
      </c>
      <c r="AR303" t="s">
        <v>6279</v>
      </c>
      <c r="AS303" t="s">
        <v>6280</v>
      </c>
      <c r="AT303" t="s">
        <v>430</v>
      </c>
      <c r="AU303">
        <v>2021</v>
      </c>
      <c r="AV303">
        <v>2</v>
      </c>
      <c r="AW303">
        <v>3</v>
      </c>
      <c r="AX303" t="s">
        <v>74</v>
      </c>
      <c r="AY303" t="s">
        <v>74</v>
      </c>
      <c r="AZ303" t="s">
        <v>74</v>
      </c>
      <c r="BA303" t="s">
        <v>74</v>
      </c>
      <c r="BB303" t="s">
        <v>74</v>
      </c>
      <c r="BC303" t="s">
        <v>74</v>
      </c>
      <c r="BD303" t="s">
        <v>6281</v>
      </c>
      <c r="BE303" t="s">
        <v>6282</v>
      </c>
      <c r="BF303" t="str">
        <f>HYPERLINK("http://dx.doi.org/10.1002/2688-8319.12077","http://dx.doi.org/10.1002/2688-8319.12077")</f>
        <v>http://dx.doi.org/10.1002/2688-8319.12077</v>
      </c>
      <c r="BG303" t="s">
        <v>74</v>
      </c>
      <c r="BH303" t="s">
        <v>74</v>
      </c>
      <c r="BI303">
        <v>13</v>
      </c>
      <c r="BJ303" t="s">
        <v>1462</v>
      </c>
      <c r="BK303" t="s">
        <v>1819</v>
      </c>
      <c r="BL303" t="s">
        <v>263</v>
      </c>
      <c r="BM303" t="s">
        <v>6283</v>
      </c>
      <c r="BN303" t="s">
        <v>74</v>
      </c>
      <c r="BO303" t="s">
        <v>5809</v>
      </c>
      <c r="BP303" t="s">
        <v>74</v>
      </c>
      <c r="BQ303" t="s">
        <v>74</v>
      </c>
      <c r="BR303" t="s">
        <v>102</v>
      </c>
      <c r="BS303" t="s">
        <v>6284</v>
      </c>
      <c r="BT303" t="str">
        <f>HYPERLINK("https%3A%2F%2Fwww.webofscience.com%2Fwos%2Fwoscc%2Ffull-record%2FWOS:000798745300015","View Full Record in Web of Science")</f>
        <v>View Full Record in Web of Science</v>
      </c>
    </row>
    <row r="304" spans="1:72" x14ac:dyDescent="0.15">
      <c r="A304" t="s">
        <v>72</v>
      </c>
      <c r="B304" t="s">
        <v>6285</v>
      </c>
      <c r="C304" t="s">
        <v>74</v>
      </c>
      <c r="D304" t="s">
        <v>74</v>
      </c>
      <c r="E304" t="s">
        <v>74</v>
      </c>
      <c r="F304" t="s">
        <v>6286</v>
      </c>
      <c r="G304" t="s">
        <v>74</v>
      </c>
      <c r="H304" t="s">
        <v>74</v>
      </c>
      <c r="I304" t="s">
        <v>6287</v>
      </c>
      <c r="J304" t="s">
        <v>6265</v>
      </c>
      <c r="K304" t="s">
        <v>74</v>
      </c>
      <c r="L304" t="s">
        <v>74</v>
      </c>
      <c r="M304" t="s">
        <v>78</v>
      </c>
      <c r="N304" t="s">
        <v>79</v>
      </c>
      <c r="O304" t="s">
        <v>74</v>
      </c>
      <c r="P304" t="s">
        <v>74</v>
      </c>
      <c r="Q304" t="s">
        <v>74</v>
      </c>
      <c r="R304" t="s">
        <v>74</v>
      </c>
      <c r="S304" t="s">
        <v>74</v>
      </c>
      <c r="T304" t="s">
        <v>6288</v>
      </c>
      <c r="U304" t="s">
        <v>6289</v>
      </c>
      <c r="V304" t="s">
        <v>6290</v>
      </c>
      <c r="W304" t="s">
        <v>6291</v>
      </c>
      <c r="X304" t="s">
        <v>6292</v>
      </c>
      <c r="Y304" t="s">
        <v>6293</v>
      </c>
      <c r="Z304" t="s">
        <v>6294</v>
      </c>
      <c r="AA304" t="s">
        <v>6295</v>
      </c>
      <c r="AB304" t="s">
        <v>6296</v>
      </c>
      <c r="AC304" t="s">
        <v>6297</v>
      </c>
      <c r="AD304" t="s">
        <v>6298</v>
      </c>
      <c r="AE304" t="s">
        <v>6297</v>
      </c>
      <c r="AF304" t="s">
        <v>74</v>
      </c>
      <c r="AG304">
        <v>59</v>
      </c>
      <c r="AH304">
        <v>4</v>
      </c>
      <c r="AI304">
        <v>4</v>
      </c>
      <c r="AJ304">
        <v>1</v>
      </c>
      <c r="AK304">
        <v>2</v>
      </c>
      <c r="AL304" t="s">
        <v>197</v>
      </c>
      <c r="AM304" t="s">
        <v>198</v>
      </c>
      <c r="AN304" t="s">
        <v>199</v>
      </c>
      <c r="AO304" t="s">
        <v>74</v>
      </c>
      <c r="AP304" t="s">
        <v>6278</v>
      </c>
      <c r="AQ304" t="s">
        <v>74</v>
      </c>
      <c r="AR304" t="s">
        <v>6279</v>
      </c>
      <c r="AS304" t="s">
        <v>6280</v>
      </c>
      <c r="AT304" t="s">
        <v>430</v>
      </c>
      <c r="AU304">
        <v>2021</v>
      </c>
      <c r="AV304">
        <v>2</v>
      </c>
      <c r="AW304">
        <v>3</v>
      </c>
      <c r="AX304" t="s">
        <v>74</v>
      </c>
      <c r="AY304" t="s">
        <v>74</v>
      </c>
      <c r="AZ304" t="s">
        <v>74</v>
      </c>
      <c r="BA304" t="s">
        <v>74</v>
      </c>
      <c r="BB304" t="s">
        <v>74</v>
      </c>
      <c r="BC304" t="s">
        <v>74</v>
      </c>
      <c r="BD304" t="s">
        <v>6299</v>
      </c>
      <c r="BE304" t="s">
        <v>6300</v>
      </c>
      <c r="BF304" t="str">
        <f>HYPERLINK("http://dx.doi.org/10.1002/2688-8319.12082","http://dx.doi.org/10.1002/2688-8319.12082")</f>
        <v>http://dx.doi.org/10.1002/2688-8319.12082</v>
      </c>
      <c r="BG304" t="s">
        <v>74</v>
      </c>
      <c r="BH304" t="s">
        <v>74</v>
      </c>
      <c r="BI304">
        <v>12</v>
      </c>
      <c r="BJ304" t="s">
        <v>1462</v>
      </c>
      <c r="BK304" t="s">
        <v>1819</v>
      </c>
      <c r="BL304" t="s">
        <v>263</v>
      </c>
      <c r="BM304" t="s">
        <v>6283</v>
      </c>
      <c r="BN304" t="s">
        <v>74</v>
      </c>
      <c r="BO304" t="s">
        <v>74</v>
      </c>
      <c r="BP304" t="s">
        <v>74</v>
      </c>
      <c r="BQ304" t="s">
        <v>74</v>
      </c>
      <c r="BR304" t="s">
        <v>102</v>
      </c>
      <c r="BS304" t="s">
        <v>6301</v>
      </c>
      <c r="BT304" t="str">
        <f>HYPERLINK("https%3A%2F%2Fwww.webofscience.com%2Fwos%2Fwoscc%2Ffull-record%2FWOS:000798745300001","View Full Record in Web of Science")</f>
        <v>View Full Record in Web of Science</v>
      </c>
    </row>
    <row r="305" spans="1:72" x14ac:dyDescent="0.15">
      <c r="A305" t="s">
        <v>72</v>
      </c>
      <c r="B305" t="s">
        <v>6302</v>
      </c>
      <c r="C305" t="s">
        <v>74</v>
      </c>
      <c r="D305" t="s">
        <v>74</v>
      </c>
      <c r="E305" t="s">
        <v>74</v>
      </c>
      <c r="F305" t="s">
        <v>6303</v>
      </c>
      <c r="G305" t="s">
        <v>74</v>
      </c>
      <c r="H305" t="s">
        <v>74</v>
      </c>
      <c r="I305" t="s">
        <v>6304</v>
      </c>
      <c r="J305" t="s">
        <v>2013</v>
      </c>
      <c r="K305" t="s">
        <v>74</v>
      </c>
      <c r="L305" t="s">
        <v>74</v>
      </c>
      <c r="M305" t="s">
        <v>78</v>
      </c>
      <c r="N305" t="s">
        <v>79</v>
      </c>
      <c r="O305" t="s">
        <v>74</v>
      </c>
      <c r="P305" t="s">
        <v>74</v>
      </c>
      <c r="Q305" t="s">
        <v>74</v>
      </c>
      <c r="R305" t="s">
        <v>74</v>
      </c>
      <c r="S305" t="s">
        <v>74</v>
      </c>
      <c r="T305" t="s">
        <v>6305</v>
      </c>
      <c r="U305" t="s">
        <v>6306</v>
      </c>
      <c r="V305" t="s">
        <v>6307</v>
      </c>
      <c r="W305" t="s">
        <v>6308</v>
      </c>
      <c r="X305" t="s">
        <v>6309</v>
      </c>
      <c r="Y305" t="s">
        <v>6310</v>
      </c>
      <c r="Z305" t="s">
        <v>6311</v>
      </c>
      <c r="AA305" t="s">
        <v>6312</v>
      </c>
      <c r="AB305" t="s">
        <v>6313</v>
      </c>
      <c r="AC305" t="s">
        <v>74</v>
      </c>
      <c r="AD305" t="s">
        <v>74</v>
      </c>
      <c r="AE305" t="s">
        <v>74</v>
      </c>
      <c r="AF305" t="s">
        <v>74</v>
      </c>
      <c r="AG305">
        <v>86</v>
      </c>
      <c r="AH305">
        <v>5</v>
      </c>
      <c r="AI305">
        <v>5</v>
      </c>
      <c r="AJ305">
        <v>0</v>
      </c>
      <c r="AK305">
        <v>2</v>
      </c>
      <c r="AL305" t="s">
        <v>557</v>
      </c>
      <c r="AM305" t="s">
        <v>558</v>
      </c>
      <c r="AN305" t="s">
        <v>584</v>
      </c>
      <c r="AO305" t="s">
        <v>2023</v>
      </c>
      <c r="AP305" t="s">
        <v>2024</v>
      </c>
      <c r="AQ305" t="s">
        <v>74</v>
      </c>
      <c r="AR305" t="s">
        <v>2025</v>
      </c>
      <c r="AS305" t="s">
        <v>2026</v>
      </c>
      <c r="AT305" t="s">
        <v>430</v>
      </c>
      <c r="AU305">
        <v>2021</v>
      </c>
      <c r="AV305">
        <v>34</v>
      </c>
      <c r="AW305">
        <v>13</v>
      </c>
      <c r="AX305" t="s">
        <v>74</v>
      </c>
      <c r="AY305" t="s">
        <v>74</v>
      </c>
      <c r="AZ305" t="s">
        <v>74</v>
      </c>
      <c r="BA305" t="s">
        <v>74</v>
      </c>
      <c r="BB305">
        <v>5171</v>
      </c>
      <c r="BC305">
        <v>5194</v>
      </c>
      <c r="BD305" t="s">
        <v>74</v>
      </c>
      <c r="BE305" t="s">
        <v>6314</v>
      </c>
      <c r="BF305" t="str">
        <f>HYPERLINK("http://dx.doi.org/10.1175/JCLI-D-20-0518.1","http://dx.doi.org/10.1175/JCLI-D-20-0518.1")</f>
        <v>http://dx.doi.org/10.1175/JCLI-D-20-0518.1</v>
      </c>
      <c r="BG305" t="s">
        <v>74</v>
      </c>
      <c r="BH305" t="s">
        <v>74</v>
      </c>
      <c r="BI305">
        <v>24</v>
      </c>
      <c r="BJ305" t="s">
        <v>567</v>
      </c>
      <c r="BK305" t="s">
        <v>128</v>
      </c>
      <c r="BL305" t="s">
        <v>567</v>
      </c>
      <c r="BM305" t="s">
        <v>6315</v>
      </c>
      <c r="BN305" t="s">
        <v>74</v>
      </c>
      <c r="BO305" t="s">
        <v>661</v>
      </c>
      <c r="BP305" t="s">
        <v>74</v>
      </c>
      <c r="BQ305" t="s">
        <v>74</v>
      </c>
      <c r="BR305" t="s">
        <v>102</v>
      </c>
      <c r="BS305" t="s">
        <v>6316</v>
      </c>
      <c r="BT305" t="str">
        <f>HYPERLINK("https%3A%2F%2Fwww.webofscience.com%2Fwos%2Fwoscc%2Ffull-record%2FWOS:000775651000002","View Full Record in Web of Science")</f>
        <v>View Full Record in Web of Science</v>
      </c>
    </row>
    <row r="306" spans="1:72" x14ac:dyDescent="0.15">
      <c r="A306" t="s">
        <v>72</v>
      </c>
      <c r="B306" t="s">
        <v>6317</v>
      </c>
      <c r="C306" t="s">
        <v>74</v>
      </c>
      <c r="D306" t="s">
        <v>74</v>
      </c>
      <c r="E306" t="s">
        <v>74</v>
      </c>
      <c r="F306" t="s">
        <v>6318</v>
      </c>
      <c r="G306" t="s">
        <v>74</v>
      </c>
      <c r="H306" t="s">
        <v>74</v>
      </c>
      <c r="I306" t="s">
        <v>6319</v>
      </c>
      <c r="J306" t="s">
        <v>2013</v>
      </c>
      <c r="K306" t="s">
        <v>74</v>
      </c>
      <c r="L306" t="s">
        <v>74</v>
      </c>
      <c r="M306" t="s">
        <v>78</v>
      </c>
      <c r="N306" t="s">
        <v>79</v>
      </c>
      <c r="O306" t="s">
        <v>74</v>
      </c>
      <c r="P306" t="s">
        <v>74</v>
      </c>
      <c r="Q306" t="s">
        <v>74</v>
      </c>
      <c r="R306" t="s">
        <v>74</v>
      </c>
      <c r="S306" t="s">
        <v>74</v>
      </c>
      <c r="T306" t="s">
        <v>6320</v>
      </c>
      <c r="U306" t="s">
        <v>6321</v>
      </c>
      <c r="V306" t="s">
        <v>6322</v>
      </c>
      <c r="W306" t="s">
        <v>6323</v>
      </c>
      <c r="X306" t="s">
        <v>6324</v>
      </c>
      <c r="Y306" t="s">
        <v>6325</v>
      </c>
      <c r="Z306" t="s">
        <v>6326</v>
      </c>
      <c r="AA306" t="s">
        <v>6327</v>
      </c>
      <c r="AB306" t="s">
        <v>6328</v>
      </c>
      <c r="AC306" t="s">
        <v>6329</v>
      </c>
      <c r="AD306" t="s">
        <v>3525</v>
      </c>
      <c r="AE306" t="s">
        <v>74</v>
      </c>
      <c r="AF306" t="s">
        <v>74</v>
      </c>
      <c r="AG306">
        <v>61</v>
      </c>
      <c r="AH306">
        <v>27</v>
      </c>
      <c r="AI306">
        <v>27</v>
      </c>
      <c r="AJ306">
        <v>2</v>
      </c>
      <c r="AK306">
        <v>6</v>
      </c>
      <c r="AL306" t="s">
        <v>557</v>
      </c>
      <c r="AM306" t="s">
        <v>558</v>
      </c>
      <c r="AN306" t="s">
        <v>559</v>
      </c>
      <c r="AO306" t="s">
        <v>2023</v>
      </c>
      <c r="AP306" t="s">
        <v>2024</v>
      </c>
      <c r="AQ306" t="s">
        <v>74</v>
      </c>
      <c r="AR306" t="s">
        <v>2025</v>
      </c>
      <c r="AS306" t="s">
        <v>2026</v>
      </c>
      <c r="AT306" t="s">
        <v>430</v>
      </c>
      <c r="AU306">
        <v>2021</v>
      </c>
      <c r="AV306">
        <v>34</v>
      </c>
      <c r="AW306">
        <v>13</v>
      </c>
      <c r="AX306" t="s">
        <v>74</v>
      </c>
      <c r="AY306" t="s">
        <v>74</v>
      </c>
      <c r="AZ306" t="s">
        <v>74</v>
      </c>
      <c r="BA306" t="s">
        <v>74</v>
      </c>
      <c r="BB306">
        <v>5257</v>
      </c>
      <c r="BC306">
        <v>5283</v>
      </c>
      <c r="BD306" t="s">
        <v>74</v>
      </c>
      <c r="BE306" t="s">
        <v>6330</v>
      </c>
      <c r="BF306" t="str">
        <f>HYPERLINK("http://dx.doi.org/10.1175/JCLI-D-20-0793.1","http://dx.doi.org/10.1175/JCLI-D-20-0793.1")</f>
        <v>http://dx.doi.org/10.1175/JCLI-D-20-0793.1</v>
      </c>
      <c r="BG306" t="s">
        <v>74</v>
      </c>
      <c r="BH306" t="s">
        <v>74</v>
      </c>
      <c r="BI306">
        <v>27</v>
      </c>
      <c r="BJ306" t="s">
        <v>567</v>
      </c>
      <c r="BK306" t="s">
        <v>128</v>
      </c>
      <c r="BL306" t="s">
        <v>567</v>
      </c>
      <c r="BM306" t="s">
        <v>6315</v>
      </c>
      <c r="BN306" t="s">
        <v>74</v>
      </c>
      <c r="BO306" t="s">
        <v>6331</v>
      </c>
      <c r="BP306" t="s">
        <v>74</v>
      </c>
      <c r="BQ306" t="s">
        <v>74</v>
      </c>
      <c r="BR306" t="s">
        <v>102</v>
      </c>
      <c r="BS306" t="s">
        <v>6332</v>
      </c>
      <c r="BT306" t="str">
        <f>HYPERLINK("https%3A%2F%2Fwww.webofscience.com%2Fwos%2Fwoscc%2Ffull-record%2FWOS:000775651000007","View Full Record in Web of Science")</f>
        <v>View Full Record in Web of Science</v>
      </c>
    </row>
    <row r="307" spans="1:72" x14ac:dyDescent="0.15">
      <c r="A307" t="s">
        <v>72</v>
      </c>
      <c r="B307" t="s">
        <v>6333</v>
      </c>
      <c r="C307" t="s">
        <v>74</v>
      </c>
      <c r="D307" t="s">
        <v>74</v>
      </c>
      <c r="E307" t="s">
        <v>74</v>
      </c>
      <c r="F307" t="s">
        <v>6334</v>
      </c>
      <c r="G307" t="s">
        <v>74</v>
      </c>
      <c r="H307" t="s">
        <v>74</v>
      </c>
      <c r="I307" t="s">
        <v>6335</v>
      </c>
      <c r="J307" t="s">
        <v>2013</v>
      </c>
      <c r="K307" t="s">
        <v>74</v>
      </c>
      <c r="L307" t="s">
        <v>74</v>
      </c>
      <c r="M307" t="s">
        <v>78</v>
      </c>
      <c r="N307" t="s">
        <v>79</v>
      </c>
      <c r="O307" t="s">
        <v>74</v>
      </c>
      <c r="P307" t="s">
        <v>74</v>
      </c>
      <c r="Q307" t="s">
        <v>74</v>
      </c>
      <c r="R307" t="s">
        <v>74</v>
      </c>
      <c r="S307" t="s">
        <v>74</v>
      </c>
      <c r="T307" t="s">
        <v>6336</v>
      </c>
      <c r="U307" t="s">
        <v>6337</v>
      </c>
      <c r="V307" t="s">
        <v>6338</v>
      </c>
      <c r="W307" t="s">
        <v>6339</v>
      </c>
      <c r="X307" t="s">
        <v>6340</v>
      </c>
      <c r="Y307" t="s">
        <v>6341</v>
      </c>
      <c r="Z307" t="s">
        <v>6342</v>
      </c>
      <c r="AA307" t="s">
        <v>6343</v>
      </c>
      <c r="AB307" t="s">
        <v>6344</v>
      </c>
      <c r="AC307" t="s">
        <v>74</v>
      </c>
      <c r="AD307" t="s">
        <v>74</v>
      </c>
      <c r="AE307" t="s">
        <v>74</v>
      </c>
      <c r="AF307" t="s">
        <v>74</v>
      </c>
      <c r="AG307">
        <v>97</v>
      </c>
      <c r="AH307">
        <v>5</v>
      </c>
      <c r="AI307">
        <v>5</v>
      </c>
      <c r="AJ307">
        <v>1</v>
      </c>
      <c r="AK307">
        <v>6</v>
      </c>
      <c r="AL307" t="s">
        <v>557</v>
      </c>
      <c r="AM307" t="s">
        <v>558</v>
      </c>
      <c r="AN307" t="s">
        <v>559</v>
      </c>
      <c r="AO307" t="s">
        <v>2023</v>
      </c>
      <c r="AP307" t="s">
        <v>2024</v>
      </c>
      <c r="AQ307" t="s">
        <v>74</v>
      </c>
      <c r="AR307" t="s">
        <v>2025</v>
      </c>
      <c r="AS307" t="s">
        <v>2026</v>
      </c>
      <c r="AT307" t="s">
        <v>430</v>
      </c>
      <c r="AU307">
        <v>2021</v>
      </c>
      <c r="AV307">
        <v>34</v>
      </c>
      <c r="AW307">
        <v>13</v>
      </c>
      <c r="AX307" t="s">
        <v>74</v>
      </c>
      <c r="AY307" t="s">
        <v>74</v>
      </c>
      <c r="AZ307" t="s">
        <v>74</v>
      </c>
      <c r="BA307" t="s">
        <v>74</v>
      </c>
      <c r="BB307">
        <v>5477</v>
      </c>
      <c r="BC307">
        <v>5496</v>
      </c>
      <c r="BD307" t="s">
        <v>74</v>
      </c>
      <c r="BE307" t="s">
        <v>6345</v>
      </c>
      <c r="BF307" t="str">
        <f>HYPERLINK("http://dx.doi.org/10.1175/JCLI-D-20-0981.1","http://dx.doi.org/10.1175/JCLI-D-20-0981.1")</f>
        <v>http://dx.doi.org/10.1175/JCLI-D-20-0981.1</v>
      </c>
      <c r="BG307" t="s">
        <v>74</v>
      </c>
      <c r="BH307" t="s">
        <v>74</v>
      </c>
      <c r="BI307">
        <v>20</v>
      </c>
      <c r="BJ307" t="s">
        <v>567</v>
      </c>
      <c r="BK307" t="s">
        <v>128</v>
      </c>
      <c r="BL307" t="s">
        <v>567</v>
      </c>
      <c r="BM307" t="s">
        <v>6315</v>
      </c>
      <c r="BN307" t="s">
        <v>74</v>
      </c>
      <c r="BO307" t="s">
        <v>612</v>
      </c>
      <c r="BP307" t="s">
        <v>74</v>
      </c>
      <c r="BQ307" t="s">
        <v>74</v>
      </c>
      <c r="BR307" t="s">
        <v>102</v>
      </c>
      <c r="BS307" t="s">
        <v>6346</v>
      </c>
      <c r="BT307" t="str">
        <f>HYPERLINK("https%3A%2F%2Fwww.webofscience.com%2Fwos%2Fwoscc%2Ffull-record%2FWOS:000775651000019","View Full Record in Web of Science")</f>
        <v>View Full Record in Web of Science</v>
      </c>
    </row>
    <row r="308" spans="1:72" x14ac:dyDescent="0.15">
      <c r="A308" t="s">
        <v>72</v>
      </c>
      <c r="B308" t="s">
        <v>6347</v>
      </c>
      <c r="C308" t="s">
        <v>74</v>
      </c>
      <c r="D308" t="s">
        <v>74</v>
      </c>
      <c r="E308" t="s">
        <v>74</v>
      </c>
      <c r="F308" t="s">
        <v>6348</v>
      </c>
      <c r="G308" t="s">
        <v>74</v>
      </c>
      <c r="H308" t="s">
        <v>74</v>
      </c>
      <c r="I308" t="s">
        <v>6349</v>
      </c>
      <c r="J308" t="s">
        <v>6350</v>
      </c>
      <c r="K308" t="s">
        <v>74</v>
      </c>
      <c r="L308" t="s">
        <v>74</v>
      </c>
      <c r="M308" t="s">
        <v>78</v>
      </c>
      <c r="N308" t="s">
        <v>79</v>
      </c>
      <c r="O308" t="s">
        <v>74</v>
      </c>
      <c r="P308" t="s">
        <v>74</v>
      </c>
      <c r="Q308" t="s">
        <v>74</v>
      </c>
      <c r="R308" t="s">
        <v>74</v>
      </c>
      <c r="S308" t="s">
        <v>74</v>
      </c>
      <c r="T308" t="s">
        <v>6351</v>
      </c>
      <c r="U308" t="s">
        <v>6352</v>
      </c>
      <c r="V308" t="s">
        <v>6353</v>
      </c>
      <c r="W308" t="s">
        <v>6354</v>
      </c>
      <c r="X308" t="s">
        <v>6355</v>
      </c>
      <c r="Y308" t="s">
        <v>6356</v>
      </c>
      <c r="Z308" t="s">
        <v>5518</v>
      </c>
      <c r="AA308" t="s">
        <v>6357</v>
      </c>
      <c r="AB308" t="s">
        <v>6358</v>
      </c>
      <c r="AC308" t="s">
        <v>6359</v>
      </c>
      <c r="AD308" t="s">
        <v>6360</v>
      </c>
      <c r="AE308" t="s">
        <v>6361</v>
      </c>
      <c r="AF308" t="s">
        <v>74</v>
      </c>
      <c r="AG308">
        <v>83</v>
      </c>
      <c r="AH308">
        <v>1</v>
      </c>
      <c r="AI308">
        <v>2</v>
      </c>
      <c r="AJ308">
        <v>4</v>
      </c>
      <c r="AK308">
        <v>16</v>
      </c>
      <c r="AL308" t="s">
        <v>6362</v>
      </c>
      <c r="AM308" t="s">
        <v>865</v>
      </c>
      <c r="AN308" t="s">
        <v>6363</v>
      </c>
      <c r="AO308" t="s">
        <v>74</v>
      </c>
      <c r="AP308" t="s">
        <v>6364</v>
      </c>
      <c r="AQ308" t="s">
        <v>74</v>
      </c>
      <c r="AR308" t="s">
        <v>6350</v>
      </c>
      <c r="AS308" t="s">
        <v>6365</v>
      </c>
      <c r="AT308" t="s">
        <v>3434</v>
      </c>
      <c r="AU308">
        <v>2021</v>
      </c>
      <c r="AV308">
        <v>6</v>
      </c>
      <c r="AW308">
        <v>4</v>
      </c>
      <c r="AX308" t="s">
        <v>74</v>
      </c>
      <c r="AY308" t="s">
        <v>74</v>
      </c>
      <c r="AZ308" t="s">
        <v>74</v>
      </c>
      <c r="BA308" t="s">
        <v>74</v>
      </c>
      <c r="BB308" t="s">
        <v>74</v>
      </c>
      <c r="BC308" t="s">
        <v>74</v>
      </c>
      <c r="BD308" t="s">
        <v>6366</v>
      </c>
      <c r="BE308" t="s">
        <v>6367</v>
      </c>
      <c r="BF308" t="str">
        <f>HYPERLINK("http://dx.doi.org/10.1128/mSphere.00525-21","http://dx.doi.org/10.1128/mSphere.00525-21")</f>
        <v>http://dx.doi.org/10.1128/mSphere.00525-21</v>
      </c>
      <c r="BG308" t="s">
        <v>74</v>
      </c>
      <c r="BH308" t="s">
        <v>74</v>
      </c>
      <c r="BI308">
        <v>17</v>
      </c>
      <c r="BJ308" t="s">
        <v>1499</v>
      </c>
      <c r="BK308" t="s">
        <v>128</v>
      </c>
      <c r="BL308" t="s">
        <v>1499</v>
      </c>
      <c r="BM308" t="s">
        <v>6368</v>
      </c>
      <c r="BN308">
        <v>34406852</v>
      </c>
      <c r="BO308" t="s">
        <v>1377</v>
      </c>
      <c r="BP308" t="s">
        <v>74</v>
      </c>
      <c r="BQ308" t="s">
        <v>74</v>
      </c>
      <c r="BR308" t="s">
        <v>102</v>
      </c>
      <c r="BS308" t="s">
        <v>6369</v>
      </c>
      <c r="BT308" t="str">
        <f>HYPERLINK("https%3A%2F%2Fwww.webofscience.com%2Fwos%2Fwoscc%2Ffull-record%2FWOS:000753900100005","View Full Record in Web of Science")</f>
        <v>View Full Record in Web of Science</v>
      </c>
    </row>
    <row r="309" spans="1:72" x14ac:dyDescent="0.15">
      <c r="A309" t="s">
        <v>72</v>
      </c>
      <c r="B309" t="s">
        <v>6370</v>
      </c>
      <c r="C309" t="s">
        <v>74</v>
      </c>
      <c r="D309" t="s">
        <v>74</v>
      </c>
      <c r="E309" t="s">
        <v>74</v>
      </c>
      <c r="F309" t="s">
        <v>6371</v>
      </c>
      <c r="G309" t="s">
        <v>74</v>
      </c>
      <c r="H309" t="s">
        <v>74</v>
      </c>
      <c r="I309" t="s">
        <v>6372</v>
      </c>
      <c r="J309" t="s">
        <v>6373</v>
      </c>
      <c r="K309" t="s">
        <v>74</v>
      </c>
      <c r="L309" t="s">
        <v>74</v>
      </c>
      <c r="M309" t="s">
        <v>78</v>
      </c>
      <c r="N309" t="s">
        <v>79</v>
      </c>
      <c r="O309" t="s">
        <v>74</v>
      </c>
      <c r="P309" t="s">
        <v>74</v>
      </c>
      <c r="Q309" t="s">
        <v>74</v>
      </c>
      <c r="R309" t="s">
        <v>74</v>
      </c>
      <c r="S309" t="s">
        <v>74</v>
      </c>
      <c r="T309" t="s">
        <v>6374</v>
      </c>
      <c r="U309" t="s">
        <v>6375</v>
      </c>
      <c r="V309" t="s">
        <v>6376</v>
      </c>
      <c r="W309" t="s">
        <v>6377</v>
      </c>
      <c r="X309" t="s">
        <v>6378</v>
      </c>
      <c r="Y309" t="s">
        <v>6379</v>
      </c>
      <c r="Z309" t="s">
        <v>6380</v>
      </c>
      <c r="AA309" t="s">
        <v>6381</v>
      </c>
      <c r="AB309" t="s">
        <v>6382</v>
      </c>
      <c r="AC309" t="s">
        <v>2640</v>
      </c>
      <c r="AD309" t="s">
        <v>2640</v>
      </c>
      <c r="AE309" t="s">
        <v>6383</v>
      </c>
      <c r="AF309" t="s">
        <v>74</v>
      </c>
      <c r="AG309">
        <v>54</v>
      </c>
      <c r="AH309">
        <v>3</v>
      </c>
      <c r="AI309">
        <v>3</v>
      </c>
      <c r="AJ309">
        <v>0</v>
      </c>
      <c r="AK309">
        <v>14</v>
      </c>
      <c r="AL309" t="s">
        <v>1101</v>
      </c>
      <c r="AM309" t="s">
        <v>1102</v>
      </c>
      <c r="AN309" t="s">
        <v>1103</v>
      </c>
      <c r="AO309" t="s">
        <v>6384</v>
      </c>
      <c r="AP309" t="s">
        <v>74</v>
      </c>
      <c r="AQ309" t="s">
        <v>74</v>
      </c>
      <c r="AR309" t="s">
        <v>6385</v>
      </c>
      <c r="AS309" t="s">
        <v>6386</v>
      </c>
      <c r="AT309" t="s">
        <v>430</v>
      </c>
      <c r="AU309">
        <v>2021</v>
      </c>
      <c r="AV309">
        <v>11</v>
      </c>
      <c r="AW309">
        <v>7</v>
      </c>
      <c r="AX309" t="s">
        <v>74</v>
      </c>
      <c r="AY309" t="s">
        <v>74</v>
      </c>
      <c r="AZ309" t="s">
        <v>74</v>
      </c>
      <c r="BA309" t="s">
        <v>74</v>
      </c>
      <c r="BB309" t="s">
        <v>74</v>
      </c>
      <c r="BC309" t="s">
        <v>74</v>
      </c>
      <c r="BD309">
        <v>1889</v>
      </c>
      <c r="BE309" t="s">
        <v>6387</v>
      </c>
      <c r="BF309" t="str">
        <f>HYPERLINK("http://dx.doi.org/10.3390/ani11071889","http://dx.doi.org/10.3390/ani11071889")</f>
        <v>http://dx.doi.org/10.3390/ani11071889</v>
      </c>
      <c r="BG309" t="s">
        <v>74</v>
      </c>
      <c r="BH309" t="s">
        <v>74</v>
      </c>
      <c r="BI309">
        <v>13</v>
      </c>
      <c r="BJ309" t="s">
        <v>6388</v>
      </c>
      <c r="BK309" t="s">
        <v>128</v>
      </c>
      <c r="BL309" t="s">
        <v>6389</v>
      </c>
      <c r="BM309" t="s">
        <v>6390</v>
      </c>
      <c r="BN309">
        <v>34201988</v>
      </c>
      <c r="BO309" t="s">
        <v>311</v>
      </c>
      <c r="BP309" t="s">
        <v>74</v>
      </c>
      <c r="BQ309" t="s">
        <v>74</v>
      </c>
      <c r="BR309" t="s">
        <v>102</v>
      </c>
      <c r="BS309" t="s">
        <v>6391</v>
      </c>
      <c r="BT309" t="str">
        <f>HYPERLINK("https%3A%2F%2Fwww.webofscience.com%2Fwos%2Fwoscc%2Ffull-record%2FWOS:000686150500001","View Full Record in Web of Science")</f>
        <v>View Full Record in Web of Science</v>
      </c>
    </row>
    <row r="310" spans="1:72" x14ac:dyDescent="0.15">
      <c r="A310" t="s">
        <v>72</v>
      </c>
      <c r="B310" t="s">
        <v>6392</v>
      </c>
      <c r="C310" t="s">
        <v>74</v>
      </c>
      <c r="D310" t="s">
        <v>74</v>
      </c>
      <c r="E310" t="s">
        <v>74</v>
      </c>
      <c r="F310" t="s">
        <v>6393</v>
      </c>
      <c r="G310" t="s">
        <v>74</v>
      </c>
      <c r="H310" t="s">
        <v>74</v>
      </c>
      <c r="I310" t="s">
        <v>6394</v>
      </c>
      <c r="J310" t="s">
        <v>1335</v>
      </c>
      <c r="K310" t="s">
        <v>74</v>
      </c>
      <c r="L310" t="s">
        <v>74</v>
      </c>
      <c r="M310" t="s">
        <v>78</v>
      </c>
      <c r="N310" t="s">
        <v>79</v>
      </c>
      <c r="O310" t="s">
        <v>74</v>
      </c>
      <c r="P310" t="s">
        <v>74</v>
      </c>
      <c r="Q310" t="s">
        <v>74</v>
      </c>
      <c r="R310" t="s">
        <v>74</v>
      </c>
      <c r="S310" t="s">
        <v>74</v>
      </c>
      <c r="T310" t="s">
        <v>6395</v>
      </c>
      <c r="U310" t="s">
        <v>6396</v>
      </c>
      <c r="V310" t="s">
        <v>6397</v>
      </c>
      <c r="W310" t="s">
        <v>6398</v>
      </c>
      <c r="X310" t="s">
        <v>6399</v>
      </c>
      <c r="Y310" t="s">
        <v>6400</v>
      </c>
      <c r="Z310" t="s">
        <v>6401</v>
      </c>
      <c r="AA310" t="s">
        <v>6402</v>
      </c>
      <c r="AB310" t="s">
        <v>6403</v>
      </c>
      <c r="AC310" t="s">
        <v>6404</v>
      </c>
      <c r="AD310" t="s">
        <v>6405</v>
      </c>
      <c r="AE310" t="s">
        <v>6406</v>
      </c>
      <c r="AF310" t="s">
        <v>74</v>
      </c>
      <c r="AG310">
        <v>68</v>
      </c>
      <c r="AH310">
        <v>3</v>
      </c>
      <c r="AI310">
        <v>3</v>
      </c>
      <c r="AJ310">
        <v>5</v>
      </c>
      <c r="AK310">
        <v>20</v>
      </c>
      <c r="AL310" t="s">
        <v>1101</v>
      </c>
      <c r="AM310" t="s">
        <v>1102</v>
      </c>
      <c r="AN310" t="s">
        <v>1103</v>
      </c>
      <c r="AO310" t="s">
        <v>74</v>
      </c>
      <c r="AP310" t="s">
        <v>1348</v>
      </c>
      <c r="AQ310" t="s">
        <v>74</v>
      </c>
      <c r="AR310" t="s">
        <v>1349</v>
      </c>
      <c r="AS310" t="s">
        <v>1350</v>
      </c>
      <c r="AT310" t="s">
        <v>430</v>
      </c>
      <c r="AU310">
        <v>2021</v>
      </c>
      <c r="AV310">
        <v>12</v>
      </c>
      <c r="AW310">
        <v>7</v>
      </c>
      <c r="AX310" t="s">
        <v>74</v>
      </c>
      <c r="AY310" t="s">
        <v>74</v>
      </c>
      <c r="AZ310" t="s">
        <v>74</v>
      </c>
      <c r="BA310" t="s">
        <v>74</v>
      </c>
      <c r="BB310" t="s">
        <v>74</v>
      </c>
      <c r="BC310" t="s">
        <v>74</v>
      </c>
      <c r="BD310">
        <v>909</v>
      </c>
      <c r="BE310" t="s">
        <v>6407</v>
      </c>
      <c r="BF310" t="str">
        <f>HYPERLINK("http://dx.doi.org/10.3390/atmos12070909","http://dx.doi.org/10.3390/atmos12070909")</f>
        <v>http://dx.doi.org/10.3390/atmos12070909</v>
      </c>
      <c r="BG310" t="s">
        <v>74</v>
      </c>
      <c r="BH310" t="s">
        <v>74</v>
      </c>
      <c r="BI310">
        <v>16</v>
      </c>
      <c r="BJ310" t="s">
        <v>635</v>
      </c>
      <c r="BK310" t="s">
        <v>128</v>
      </c>
      <c r="BL310" t="s">
        <v>636</v>
      </c>
      <c r="BM310" t="s">
        <v>6408</v>
      </c>
      <c r="BN310" t="s">
        <v>74</v>
      </c>
      <c r="BO310" t="s">
        <v>1377</v>
      </c>
      <c r="BP310" t="s">
        <v>74</v>
      </c>
      <c r="BQ310" t="s">
        <v>74</v>
      </c>
      <c r="BR310" t="s">
        <v>102</v>
      </c>
      <c r="BS310" t="s">
        <v>6409</v>
      </c>
      <c r="BT310" t="str">
        <f>HYPERLINK("https%3A%2F%2Fwww.webofscience.com%2Fwos%2Fwoscc%2Ffull-record%2FWOS:000686188900001","View Full Record in Web of Science")</f>
        <v>View Full Record in Web of Science</v>
      </c>
    </row>
    <row r="311" spans="1:72" x14ac:dyDescent="0.15">
      <c r="A311" t="s">
        <v>72</v>
      </c>
      <c r="B311" t="s">
        <v>6410</v>
      </c>
      <c r="C311" t="s">
        <v>74</v>
      </c>
      <c r="D311" t="s">
        <v>74</v>
      </c>
      <c r="E311" t="s">
        <v>74</v>
      </c>
      <c r="F311" t="s">
        <v>6411</v>
      </c>
      <c r="G311" t="s">
        <v>74</v>
      </c>
      <c r="H311" t="s">
        <v>74</v>
      </c>
      <c r="I311" t="s">
        <v>6412</v>
      </c>
      <c r="J311" t="s">
        <v>6413</v>
      </c>
      <c r="K311" t="s">
        <v>74</v>
      </c>
      <c r="L311" t="s">
        <v>74</v>
      </c>
      <c r="M311" t="s">
        <v>6414</v>
      </c>
      <c r="N311" t="s">
        <v>79</v>
      </c>
      <c r="O311" t="s">
        <v>74</v>
      </c>
      <c r="P311" t="s">
        <v>74</v>
      </c>
      <c r="Q311" t="s">
        <v>74</v>
      </c>
      <c r="R311" t="s">
        <v>74</v>
      </c>
      <c r="S311" t="s">
        <v>74</v>
      </c>
      <c r="T311" t="s">
        <v>6415</v>
      </c>
      <c r="U311" t="s">
        <v>74</v>
      </c>
      <c r="V311" t="s">
        <v>6416</v>
      </c>
      <c r="W311" t="s">
        <v>6417</v>
      </c>
      <c r="X311" t="s">
        <v>6418</v>
      </c>
      <c r="Y311" t="s">
        <v>6419</v>
      </c>
      <c r="Z311" t="s">
        <v>6420</v>
      </c>
      <c r="AA311" t="s">
        <v>74</v>
      </c>
      <c r="AB311" t="s">
        <v>74</v>
      </c>
      <c r="AC311" t="s">
        <v>74</v>
      </c>
      <c r="AD311" t="s">
        <v>74</v>
      </c>
      <c r="AE311" t="s">
        <v>74</v>
      </c>
      <c r="AF311" t="s">
        <v>74</v>
      </c>
      <c r="AG311">
        <v>46</v>
      </c>
      <c r="AH311">
        <v>0</v>
      </c>
      <c r="AI311">
        <v>0</v>
      </c>
      <c r="AJ311">
        <v>1</v>
      </c>
      <c r="AK311">
        <v>14</v>
      </c>
      <c r="AL311" t="s">
        <v>6421</v>
      </c>
      <c r="AM311" t="s">
        <v>6422</v>
      </c>
      <c r="AN311" t="s">
        <v>6423</v>
      </c>
      <c r="AO311" t="s">
        <v>6424</v>
      </c>
      <c r="AP311" t="s">
        <v>6425</v>
      </c>
      <c r="AQ311" t="s">
        <v>74</v>
      </c>
      <c r="AR311" t="s">
        <v>6426</v>
      </c>
      <c r="AS311" t="s">
        <v>6427</v>
      </c>
      <c r="AT311" t="s">
        <v>6428</v>
      </c>
      <c r="AU311">
        <v>2021</v>
      </c>
      <c r="AV311">
        <v>30</v>
      </c>
      <c r="AW311">
        <v>61</v>
      </c>
      <c r="AX311" t="s">
        <v>74</v>
      </c>
      <c r="AY311" t="s">
        <v>74</v>
      </c>
      <c r="AZ311" t="s">
        <v>74</v>
      </c>
      <c r="BA311" t="s">
        <v>74</v>
      </c>
      <c r="BB311" t="s">
        <v>74</v>
      </c>
      <c r="BC311" t="s">
        <v>74</v>
      </c>
      <c r="BD311">
        <v>139</v>
      </c>
      <c r="BE311" t="s">
        <v>6429</v>
      </c>
      <c r="BF311" t="str">
        <f>HYPERLINK("http://dx.doi.org/10.24215/23142766e139","http://dx.doi.org/10.24215/23142766e139")</f>
        <v>http://dx.doi.org/10.24215/23142766e139</v>
      </c>
      <c r="BG311" t="s">
        <v>74</v>
      </c>
      <c r="BH311" t="s">
        <v>74</v>
      </c>
      <c r="BI311">
        <v>13</v>
      </c>
      <c r="BJ311" t="s">
        <v>376</v>
      </c>
      <c r="BK311" t="s">
        <v>1819</v>
      </c>
      <c r="BL311" t="s">
        <v>376</v>
      </c>
      <c r="BM311" t="s">
        <v>6430</v>
      </c>
      <c r="BN311" t="s">
        <v>74</v>
      </c>
      <c r="BO311" t="s">
        <v>1377</v>
      </c>
      <c r="BP311" t="s">
        <v>74</v>
      </c>
      <c r="BQ311" t="s">
        <v>74</v>
      </c>
      <c r="BR311" t="s">
        <v>102</v>
      </c>
      <c r="BS311" t="s">
        <v>6431</v>
      </c>
      <c r="BT311" t="str">
        <f>HYPERLINK("https%3A%2F%2Fwww.webofscience.com%2Fwos%2Fwoscc%2Ffull-record%2FWOS:000736946700004","View Full Record in Web of Science")</f>
        <v>View Full Record in Web of Science</v>
      </c>
    </row>
    <row r="312" spans="1:72" x14ac:dyDescent="0.15">
      <c r="A312" t="s">
        <v>72</v>
      </c>
      <c r="B312" t="s">
        <v>6432</v>
      </c>
      <c r="C312" t="s">
        <v>74</v>
      </c>
      <c r="D312" t="s">
        <v>74</v>
      </c>
      <c r="E312" t="s">
        <v>74</v>
      </c>
      <c r="F312" t="s">
        <v>6433</v>
      </c>
      <c r="G312" t="s">
        <v>74</v>
      </c>
      <c r="H312" t="s">
        <v>74</v>
      </c>
      <c r="I312" t="s">
        <v>6434</v>
      </c>
      <c r="J312" t="s">
        <v>6435</v>
      </c>
      <c r="K312" t="s">
        <v>74</v>
      </c>
      <c r="L312" t="s">
        <v>74</v>
      </c>
      <c r="M312" t="s">
        <v>6436</v>
      </c>
      <c r="N312" t="s">
        <v>79</v>
      </c>
      <c r="O312" t="s">
        <v>74</v>
      </c>
      <c r="P312" t="s">
        <v>74</v>
      </c>
      <c r="Q312" t="s">
        <v>74</v>
      </c>
      <c r="R312" t="s">
        <v>74</v>
      </c>
      <c r="S312" t="s">
        <v>74</v>
      </c>
      <c r="T312" t="s">
        <v>6437</v>
      </c>
      <c r="U312" t="s">
        <v>74</v>
      </c>
      <c r="V312" t="s">
        <v>6438</v>
      </c>
      <c r="W312" t="s">
        <v>6439</v>
      </c>
      <c r="X312" t="s">
        <v>6440</v>
      </c>
      <c r="Y312" t="s">
        <v>6441</v>
      </c>
      <c r="Z312" t="s">
        <v>6442</v>
      </c>
      <c r="AA312" t="s">
        <v>74</v>
      </c>
      <c r="AB312" t="s">
        <v>74</v>
      </c>
      <c r="AC312" t="s">
        <v>74</v>
      </c>
      <c r="AD312" t="s">
        <v>74</v>
      </c>
      <c r="AE312" t="s">
        <v>74</v>
      </c>
      <c r="AF312" t="s">
        <v>74</v>
      </c>
      <c r="AG312">
        <v>15</v>
      </c>
      <c r="AH312">
        <v>0</v>
      </c>
      <c r="AI312">
        <v>1</v>
      </c>
      <c r="AJ312">
        <v>1</v>
      </c>
      <c r="AK312">
        <v>15</v>
      </c>
      <c r="AL312" t="s">
        <v>628</v>
      </c>
      <c r="AM312" t="s">
        <v>629</v>
      </c>
      <c r="AN312" t="s">
        <v>1933</v>
      </c>
      <c r="AO312" t="s">
        <v>6443</v>
      </c>
      <c r="AP312" t="s">
        <v>74</v>
      </c>
      <c r="AQ312" t="s">
        <v>74</v>
      </c>
      <c r="AR312" t="s">
        <v>6444</v>
      </c>
      <c r="AS312" t="s">
        <v>6445</v>
      </c>
      <c r="AT312" t="s">
        <v>430</v>
      </c>
      <c r="AU312">
        <v>2021</v>
      </c>
      <c r="AV312">
        <v>64</v>
      </c>
      <c r="AW312">
        <v>7</v>
      </c>
      <c r="AX312" t="s">
        <v>74</v>
      </c>
      <c r="AY312" t="s">
        <v>74</v>
      </c>
      <c r="AZ312" t="s">
        <v>74</v>
      </c>
      <c r="BA312" t="s">
        <v>74</v>
      </c>
      <c r="BB312">
        <v>2417</v>
      </c>
      <c r="BC312">
        <v>2425</v>
      </c>
      <c r="BD312" t="s">
        <v>74</v>
      </c>
      <c r="BE312" t="s">
        <v>6446</v>
      </c>
      <c r="BF312" t="str">
        <f>HYPERLINK("http://dx.doi.org/10.6038/cjg2021O0161","http://dx.doi.org/10.6038/cjg2021O0161")</f>
        <v>http://dx.doi.org/10.6038/cjg2021O0161</v>
      </c>
      <c r="BG312" t="s">
        <v>74</v>
      </c>
      <c r="BH312" t="s">
        <v>74</v>
      </c>
      <c r="BI312">
        <v>9</v>
      </c>
      <c r="BJ312" t="s">
        <v>289</v>
      </c>
      <c r="BK312" t="s">
        <v>128</v>
      </c>
      <c r="BL312" t="s">
        <v>289</v>
      </c>
      <c r="BM312" t="s">
        <v>6447</v>
      </c>
      <c r="BN312" t="s">
        <v>74</v>
      </c>
      <c r="BO312" t="s">
        <v>74</v>
      </c>
      <c r="BP312" t="s">
        <v>74</v>
      </c>
      <c r="BQ312" t="s">
        <v>74</v>
      </c>
      <c r="BR312" t="s">
        <v>102</v>
      </c>
      <c r="BS312" t="s">
        <v>6448</v>
      </c>
      <c r="BT312" t="str">
        <f>HYPERLINK("https%3A%2F%2Fwww.webofscience.com%2Fwos%2Fwoscc%2Ffull-record%2FWOS:000718142400015","View Full Record in Web of Science")</f>
        <v>View Full Record in Web of Science</v>
      </c>
    </row>
    <row r="313" spans="1:72" x14ac:dyDescent="0.15">
      <c r="A313" t="s">
        <v>72</v>
      </c>
      <c r="B313" t="s">
        <v>6449</v>
      </c>
      <c r="C313" t="s">
        <v>74</v>
      </c>
      <c r="D313" t="s">
        <v>74</v>
      </c>
      <c r="E313" t="s">
        <v>74</v>
      </c>
      <c r="F313" t="s">
        <v>6450</v>
      </c>
      <c r="G313" t="s">
        <v>74</v>
      </c>
      <c r="H313" t="s">
        <v>74</v>
      </c>
      <c r="I313" t="s">
        <v>6451</v>
      </c>
      <c r="J313" t="s">
        <v>6452</v>
      </c>
      <c r="K313" t="s">
        <v>74</v>
      </c>
      <c r="L313" t="s">
        <v>74</v>
      </c>
      <c r="M313" t="s">
        <v>6414</v>
      </c>
      <c r="N313" t="s">
        <v>79</v>
      </c>
      <c r="O313" t="s">
        <v>74</v>
      </c>
      <c r="P313" t="s">
        <v>74</v>
      </c>
      <c r="Q313" t="s">
        <v>74</v>
      </c>
      <c r="R313" t="s">
        <v>74</v>
      </c>
      <c r="S313" t="s">
        <v>74</v>
      </c>
      <c r="T313" t="s">
        <v>6453</v>
      </c>
      <c r="U313" t="s">
        <v>74</v>
      </c>
      <c r="V313" t="s">
        <v>6454</v>
      </c>
      <c r="W313" t="s">
        <v>6455</v>
      </c>
      <c r="X313" t="s">
        <v>74</v>
      </c>
      <c r="Y313" t="s">
        <v>6456</v>
      </c>
      <c r="Z313" t="s">
        <v>6457</v>
      </c>
      <c r="AA313" t="s">
        <v>74</v>
      </c>
      <c r="AB313" t="s">
        <v>74</v>
      </c>
      <c r="AC313" t="s">
        <v>74</v>
      </c>
      <c r="AD313" t="s">
        <v>74</v>
      </c>
      <c r="AE313" t="s">
        <v>74</v>
      </c>
      <c r="AF313" t="s">
        <v>74</v>
      </c>
      <c r="AG313">
        <v>40</v>
      </c>
      <c r="AH313">
        <v>0</v>
      </c>
      <c r="AI313">
        <v>0</v>
      </c>
      <c r="AJ313">
        <v>0</v>
      </c>
      <c r="AK313">
        <v>0</v>
      </c>
      <c r="AL313" t="s">
        <v>6458</v>
      </c>
      <c r="AM313" t="s">
        <v>6459</v>
      </c>
      <c r="AN313" t="s">
        <v>6460</v>
      </c>
      <c r="AO313" t="s">
        <v>6461</v>
      </c>
      <c r="AP313" t="s">
        <v>74</v>
      </c>
      <c r="AQ313" t="s">
        <v>74</v>
      </c>
      <c r="AR313" t="s">
        <v>6462</v>
      </c>
      <c r="AS313" t="s">
        <v>6463</v>
      </c>
      <c r="AT313" t="s">
        <v>6428</v>
      </c>
      <c r="AU313">
        <v>2021</v>
      </c>
      <c r="AV313">
        <v>12</v>
      </c>
      <c r="AW313">
        <v>2</v>
      </c>
      <c r="AX313" t="s">
        <v>74</v>
      </c>
      <c r="AY313" t="s">
        <v>74</v>
      </c>
      <c r="AZ313" t="s">
        <v>74</v>
      </c>
      <c r="BA313" t="s">
        <v>74</v>
      </c>
      <c r="BB313">
        <v>81</v>
      </c>
      <c r="BC313">
        <v>112</v>
      </c>
      <c r="BD313" t="s">
        <v>74</v>
      </c>
      <c r="BE313" t="s">
        <v>74</v>
      </c>
      <c r="BF313" t="s">
        <v>74</v>
      </c>
      <c r="BG313" t="s">
        <v>74</v>
      </c>
      <c r="BH313" t="s">
        <v>74</v>
      </c>
      <c r="BI313">
        <v>32</v>
      </c>
      <c r="BJ313" t="s">
        <v>6464</v>
      </c>
      <c r="BK313" t="s">
        <v>1819</v>
      </c>
      <c r="BL313" t="s">
        <v>6464</v>
      </c>
      <c r="BM313" t="s">
        <v>6465</v>
      </c>
      <c r="BN313" t="s">
        <v>74</v>
      </c>
      <c r="BO313" t="s">
        <v>74</v>
      </c>
      <c r="BP313" t="s">
        <v>74</v>
      </c>
      <c r="BQ313" t="s">
        <v>74</v>
      </c>
      <c r="BR313" t="s">
        <v>102</v>
      </c>
      <c r="BS313" t="s">
        <v>6466</v>
      </c>
      <c r="BT313" t="str">
        <f>HYPERLINK("https%3A%2F%2Fwww.webofscience.com%2Fwos%2Fwoscc%2Ffull-record%2FWOS:000719345900005","View Full Record in Web of Science")</f>
        <v>View Full Record in Web of Science</v>
      </c>
    </row>
    <row r="314" spans="1:72" x14ac:dyDescent="0.15">
      <c r="A314" t="s">
        <v>72</v>
      </c>
      <c r="B314" t="s">
        <v>6467</v>
      </c>
      <c r="C314" t="s">
        <v>74</v>
      </c>
      <c r="D314" t="s">
        <v>74</v>
      </c>
      <c r="E314" t="s">
        <v>74</v>
      </c>
      <c r="F314" t="s">
        <v>6468</v>
      </c>
      <c r="G314" t="s">
        <v>74</v>
      </c>
      <c r="H314" t="s">
        <v>74</v>
      </c>
      <c r="I314" t="s">
        <v>6469</v>
      </c>
      <c r="J314" t="s">
        <v>6452</v>
      </c>
      <c r="K314" t="s">
        <v>74</v>
      </c>
      <c r="L314" t="s">
        <v>74</v>
      </c>
      <c r="M314" t="s">
        <v>6414</v>
      </c>
      <c r="N314" t="s">
        <v>79</v>
      </c>
      <c r="O314" t="s">
        <v>74</v>
      </c>
      <c r="P314" t="s">
        <v>74</v>
      </c>
      <c r="Q314" t="s">
        <v>74</v>
      </c>
      <c r="R314" t="s">
        <v>74</v>
      </c>
      <c r="S314" t="s">
        <v>74</v>
      </c>
      <c r="T314" t="s">
        <v>74</v>
      </c>
      <c r="U314" t="s">
        <v>74</v>
      </c>
      <c r="V314" t="s">
        <v>74</v>
      </c>
      <c r="W314" t="s">
        <v>6470</v>
      </c>
      <c r="X314" t="s">
        <v>74</v>
      </c>
      <c r="Y314" t="s">
        <v>6471</v>
      </c>
      <c r="Z314" t="s">
        <v>6472</v>
      </c>
      <c r="AA314" t="s">
        <v>74</v>
      </c>
      <c r="AB314" t="s">
        <v>74</v>
      </c>
      <c r="AC314" t="s">
        <v>74</v>
      </c>
      <c r="AD314" t="s">
        <v>74</v>
      </c>
      <c r="AE314" t="s">
        <v>74</v>
      </c>
      <c r="AF314" t="s">
        <v>74</v>
      </c>
      <c r="AG314">
        <v>0</v>
      </c>
      <c r="AH314">
        <v>0</v>
      </c>
      <c r="AI314">
        <v>0</v>
      </c>
      <c r="AJ314">
        <v>0</v>
      </c>
      <c r="AK314">
        <v>0</v>
      </c>
      <c r="AL314" t="s">
        <v>6458</v>
      </c>
      <c r="AM314" t="s">
        <v>6459</v>
      </c>
      <c r="AN314" t="s">
        <v>6460</v>
      </c>
      <c r="AO314" t="s">
        <v>6461</v>
      </c>
      <c r="AP314" t="s">
        <v>74</v>
      </c>
      <c r="AQ314" t="s">
        <v>74</v>
      </c>
      <c r="AR314" t="s">
        <v>6462</v>
      </c>
      <c r="AS314" t="s">
        <v>6463</v>
      </c>
      <c r="AT314" t="s">
        <v>6428</v>
      </c>
      <c r="AU314">
        <v>2021</v>
      </c>
      <c r="AV314">
        <v>12</v>
      </c>
      <c r="AW314">
        <v>2</v>
      </c>
      <c r="AX314" t="s">
        <v>74</v>
      </c>
      <c r="AY314" t="s">
        <v>74</v>
      </c>
      <c r="AZ314" t="s">
        <v>74</v>
      </c>
      <c r="BA314" t="s">
        <v>74</v>
      </c>
      <c r="BB314">
        <v>113</v>
      </c>
      <c r="BC314">
        <v>117</v>
      </c>
      <c r="BD314" t="s">
        <v>74</v>
      </c>
      <c r="BE314" t="s">
        <v>74</v>
      </c>
      <c r="BF314" t="s">
        <v>74</v>
      </c>
      <c r="BG314" t="s">
        <v>74</v>
      </c>
      <c r="BH314" t="s">
        <v>74</v>
      </c>
      <c r="BI314">
        <v>5</v>
      </c>
      <c r="BJ314" t="s">
        <v>6464</v>
      </c>
      <c r="BK314" t="s">
        <v>1819</v>
      </c>
      <c r="BL314" t="s">
        <v>6464</v>
      </c>
      <c r="BM314" t="s">
        <v>6473</v>
      </c>
      <c r="BN314" t="s">
        <v>74</v>
      </c>
      <c r="BO314" t="s">
        <v>74</v>
      </c>
      <c r="BP314" t="s">
        <v>74</v>
      </c>
      <c r="BQ314" t="s">
        <v>74</v>
      </c>
      <c r="BR314" t="s">
        <v>102</v>
      </c>
      <c r="BS314" t="s">
        <v>6474</v>
      </c>
      <c r="BT314" t="str">
        <f>HYPERLINK("https%3A%2F%2Fwww.webofscience.com%2Fwos%2Fwoscc%2Ffull-record%2FWOS:000719408900001","View Full Record in Web of Science")</f>
        <v>View Full Record in Web of Science</v>
      </c>
    </row>
    <row r="315" spans="1:72" x14ac:dyDescent="0.15">
      <c r="A315" t="s">
        <v>72</v>
      </c>
      <c r="B315" t="s">
        <v>6475</v>
      </c>
      <c r="C315" t="s">
        <v>74</v>
      </c>
      <c r="D315" t="s">
        <v>74</v>
      </c>
      <c r="E315" t="s">
        <v>74</v>
      </c>
      <c r="F315" t="s">
        <v>6476</v>
      </c>
      <c r="G315" t="s">
        <v>74</v>
      </c>
      <c r="H315" t="s">
        <v>74</v>
      </c>
      <c r="I315" t="s">
        <v>6477</v>
      </c>
      <c r="J315" t="s">
        <v>6452</v>
      </c>
      <c r="K315" t="s">
        <v>74</v>
      </c>
      <c r="L315" t="s">
        <v>74</v>
      </c>
      <c r="M315" t="s">
        <v>6414</v>
      </c>
      <c r="N315" t="s">
        <v>79</v>
      </c>
      <c r="O315" t="s">
        <v>74</v>
      </c>
      <c r="P315" t="s">
        <v>74</v>
      </c>
      <c r="Q315" t="s">
        <v>74</v>
      </c>
      <c r="R315" t="s">
        <v>74</v>
      </c>
      <c r="S315" t="s">
        <v>74</v>
      </c>
      <c r="T315" t="s">
        <v>74</v>
      </c>
      <c r="U315" t="s">
        <v>74</v>
      </c>
      <c r="V315" t="s">
        <v>74</v>
      </c>
      <c r="W315" t="s">
        <v>6478</v>
      </c>
      <c r="X315" t="s">
        <v>6479</v>
      </c>
      <c r="Y315" t="s">
        <v>6480</v>
      </c>
      <c r="Z315" t="s">
        <v>6481</v>
      </c>
      <c r="AA315" t="s">
        <v>74</v>
      </c>
      <c r="AB315" t="s">
        <v>74</v>
      </c>
      <c r="AC315" t="s">
        <v>74</v>
      </c>
      <c r="AD315" t="s">
        <v>74</v>
      </c>
      <c r="AE315" t="s">
        <v>74</v>
      </c>
      <c r="AF315" t="s">
        <v>74</v>
      </c>
      <c r="AG315">
        <v>0</v>
      </c>
      <c r="AH315">
        <v>0</v>
      </c>
      <c r="AI315">
        <v>0</v>
      </c>
      <c r="AJ315">
        <v>0</v>
      </c>
      <c r="AK315">
        <v>0</v>
      </c>
      <c r="AL315" t="s">
        <v>6458</v>
      </c>
      <c r="AM315" t="s">
        <v>6459</v>
      </c>
      <c r="AN315" t="s">
        <v>6460</v>
      </c>
      <c r="AO315" t="s">
        <v>6461</v>
      </c>
      <c r="AP315" t="s">
        <v>74</v>
      </c>
      <c r="AQ315" t="s">
        <v>74</v>
      </c>
      <c r="AR315" t="s">
        <v>6462</v>
      </c>
      <c r="AS315" t="s">
        <v>6463</v>
      </c>
      <c r="AT315" t="s">
        <v>6428</v>
      </c>
      <c r="AU315">
        <v>2021</v>
      </c>
      <c r="AV315">
        <v>12</v>
      </c>
      <c r="AW315">
        <v>2</v>
      </c>
      <c r="AX315" t="s">
        <v>74</v>
      </c>
      <c r="AY315" t="s">
        <v>74</v>
      </c>
      <c r="AZ315" t="s">
        <v>74</v>
      </c>
      <c r="BA315" t="s">
        <v>74</v>
      </c>
      <c r="BB315">
        <v>118</v>
      </c>
      <c r="BC315">
        <v>123</v>
      </c>
      <c r="BD315" t="s">
        <v>74</v>
      </c>
      <c r="BE315" t="s">
        <v>74</v>
      </c>
      <c r="BF315" t="s">
        <v>74</v>
      </c>
      <c r="BG315" t="s">
        <v>74</v>
      </c>
      <c r="BH315" t="s">
        <v>74</v>
      </c>
      <c r="BI315">
        <v>6</v>
      </c>
      <c r="BJ315" t="s">
        <v>6464</v>
      </c>
      <c r="BK315" t="s">
        <v>1819</v>
      </c>
      <c r="BL315" t="s">
        <v>6464</v>
      </c>
      <c r="BM315" t="s">
        <v>6473</v>
      </c>
      <c r="BN315" t="s">
        <v>74</v>
      </c>
      <c r="BO315" t="s">
        <v>74</v>
      </c>
      <c r="BP315" t="s">
        <v>74</v>
      </c>
      <c r="BQ315" t="s">
        <v>74</v>
      </c>
      <c r="BR315" t="s">
        <v>102</v>
      </c>
      <c r="BS315" t="s">
        <v>6482</v>
      </c>
      <c r="BT315" t="str">
        <f>HYPERLINK("https%3A%2F%2Fwww.webofscience.com%2Fwos%2Fwoscc%2Ffull-record%2FWOS:000719408900002","View Full Record in Web of Science")</f>
        <v>View Full Record in Web of Science</v>
      </c>
    </row>
    <row r="316" spans="1:72" x14ac:dyDescent="0.15">
      <c r="A316" t="s">
        <v>72</v>
      </c>
      <c r="B316" t="s">
        <v>6483</v>
      </c>
      <c r="C316" t="s">
        <v>74</v>
      </c>
      <c r="D316" t="s">
        <v>74</v>
      </c>
      <c r="E316" t="s">
        <v>74</v>
      </c>
      <c r="F316" t="s">
        <v>6484</v>
      </c>
      <c r="G316" t="s">
        <v>74</v>
      </c>
      <c r="H316" t="s">
        <v>74</v>
      </c>
      <c r="I316" t="s">
        <v>6485</v>
      </c>
      <c r="J316" t="s">
        <v>6486</v>
      </c>
      <c r="K316" t="s">
        <v>74</v>
      </c>
      <c r="L316" t="s">
        <v>74</v>
      </c>
      <c r="M316" t="s">
        <v>78</v>
      </c>
      <c r="N316" t="s">
        <v>79</v>
      </c>
      <c r="O316" t="s">
        <v>74</v>
      </c>
      <c r="P316" t="s">
        <v>74</v>
      </c>
      <c r="Q316" t="s">
        <v>74</v>
      </c>
      <c r="R316" t="s">
        <v>74</v>
      </c>
      <c r="S316" t="s">
        <v>74</v>
      </c>
      <c r="T316" t="s">
        <v>6487</v>
      </c>
      <c r="U316" t="s">
        <v>6488</v>
      </c>
      <c r="V316" t="s">
        <v>6489</v>
      </c>
      <c r="W316" t="s">
        <v>6490</v>
      </c>
      <c r="X316" t="s">
        <v>6491</v>
      </c>
      <c r="Y316" t="s">
        <v>6492</v>
      </c>
      <c r="Z316" t="s">
        <v>6493</v>
      </c>
      <c r="AA316" t="s">
        <v>6494</v>
      </c>
      <c r="AB316" t="s">
        <v>6495</v>
      </c>
      <c r="AC316" t="s">
        <v>6496</v>
      </c>
      <c r="AD316" t="s">
        <v>6497</v>
      </c>
      <c r="AE316" t="s">
        <v>6498</v>
      </c>
      <c r="AF316" t="s">
        <v>74</v>
      </c>
      <c r="AG316">
        <v>119</v>
      </c>
      <c r="AH316">
        <v>3</v>
      </c>
      <c r="AI316">
        <v>3</v>
      </c>
      <c r="AJ316">
        <v>0</v>
      </c>
      <c r="AK316">
        <v>9</v>
      </c>
      <c r="AL316" t="s">
        <v>6499</v>
      </c>
      <c r="AM316" t="s">
        <v>6500</v>
      </c>
      <c r="AN316" t="s">
        <v>6501</v>
      </c>
      <c r="AO316" t="s">
        <v>6502</v>
      </c>
      <c r="AP316" t="s">
        <v>6503</v>
      </c>
      <c r="AQ316" t="s">
        <v>74</v>
      </c>
      <c r="AR316" t="s">
        <v>6504</v>
      </c>
      <c r="AS316" t="s">
        <v>6505</v>
      </c>
      <c r="AT316" t="s">
        <v>430</v>
      </c>
      <c r="AU316">
        <v>2021</v>
      </c>
      <c r="AV316">
        <v>75</v>
      </c>
      <c r="AW316">
        <v>3</v>
      </c>
      <c r="AX316" t="s">
        <v>74</v>
      </c>
      <c r="AY316" t="s">
        <v>74</v>
      </c>
      <c r="AZ316" t="s">
        <v>74</v>
      </c>
      <c r="BA316" t="s">
        <v>74</v>
      </c>
      <c r="BB316">
        <v>371</v>
      </c>
      <c r="BC316">
        <v>394</v>
      </c>
      <c r="BD316" t="s">
        <v>74</v>
      </c>
      <c r="BE316" t="s">
        <v>6506</v>
      </c>
      <c r="BF316" t="str">
        <f>HYPERLINK("http://dx.doi.org/10.2984/75.3.6","http://dx.doi.org/10.2984/75.3.6")</f>
        <v>http://dx.doi.org/10.2984/75.3.6</v>
      </c>
      <c r="BG316" t="s">
        <v>74</v>
      </c>
      <c r="BH316" t="s">
        <v>74</v>
      </c>
      <c r="BI316">
        <v>24</v>
      </c>
      <c r="BJ316" t="s">
        <v>3582</v>
      </c>
      <c r="BK316" t="s">
        <v>128</v>
      </c>
      <c r="BL316" t="s">
        <v>3582</v>
      </c>
      <c r="BM316" t="s">
        <v>6507</v>
      </c>
      <c r="BN316" t="s">
        <v>74</v>
      </c>
      <c r="BO316" t="s">
        <v>74</v>
      </c>
      <c r="BP316" t="s">
        <v>74</v>
      </c>
      <c r="BQ316" t="s">
        <v>74</v>
      </c>
      <c r="BR316" t="s">
        <v>102</v>
      </c>
      <c r="BS316" t="s">
        <v>6508</v>
      </c>
      <c r="BT316" t="str">
        <f>HYPERLINK("https%3A%2F%2Fwww.webofscience.com%2Fwos%2Fwoscc%2Ffull-record%2FWOS:000718353900006","View Full Record in Web of Science")</f>
        <v>View Full Record in Web of Science</v>
      </c>
    </row>
    <row r="317" spans="1:72" x14ac:dyDescent="0.15">
      <c r="A317" t="s">
        <v>72</v>
      </c>
      <c r="B317" t="s">
        <v>6509</v>
      </c>
      <c r="C317" t="s">
        <v>74</v>
      </c>
      <c r="D317" t="s">
        <v>74</v>
      </c>
      <c r="E317" t="s">
        <v>74</v>
      </c>
      <c r="F317" t="s">
        <v>6510</v>
      </c>
      <c r="G317" t="s">
        <v>74</v>
      </c>
      <c r="H317" t="s">
        <v>74</v>
      </c>
      <c r="I317" t="s">
        <v>6511</v>
      </c>
      <c r="J317" t="s">
        <v>6512</v>
      </c>
      <c r="K317" t="s">
        <v>74</v>
      </c>
      <c r="L317" t="s">
        <v>74</v>
      </c>
      <c r="M317" t="s">
        <v>78</v>
      </c>
      <c r="N317" t="s">
        <v>644</v>
      </c>
      <c r="O317" t="s">
        <v>74</v>
      </c>
      <c r="P317" t="s">
        <v>74</v>
      </c>
      <c r="Q317" t="s">
        <v>74</v>
      </c>
      <c r="R317" t="s">
        <v>74</v>
      </c>
      <c r="S317" t="s">
        <v>74</v>
      </c>
      <c r="T317" t="s">
        <v>74</v>
      </c>
      <c r="U317" t="s">
        <v>6513</v>
      </c>
      <c r="V317" t="s">
        <v>74</v>
      </c>
      <c r="W317" t="s">
        <v>6514</v>
      </c>
      <c r="X317" t="s">
        <v>6515</v>
      </c>
      <c r="Y317" t="s">
        <v>6516</v>
      </c>
      <c r="Z317" t="s">
        <v>6517</v>
      </c>
      <c r="AA317" t="s">
        <v>6518</v>
      </c>
      <c r="AB317" t="s">
        <v>6519</v>
      </c>
      <c r="AC317" t="s">
        <v>74</v>
      </c>
      <c r="AD317" t="s">
        <v>74</v>
      </c>
      <c r="AE317" t="s">
        <v>74</v>
      </c>
      <c r="AF317" t="s">
        <v>74</v>
      </c>
      <c r="AG317">
        <v>31</v>
      </c>
      <c r="AH317">
        <v>1</v>
      </c>
      <c r="AI317">
        <v>1</v>
      </c>
      <c r="AJ317">
        <v>0</v>
      </c>
      <c r="AK317">
        <v>4</v>
      </c>
      <c r="AL317" t="s">
        <v>6520</v>
      </c>
      <c r="AM317" t="s">
        <v>6521</v>
      </c>
      <c r="AN317" t="s">
        <v>6522</v>
      </c>
      <c r="AO317" t="s">
        <v>6523</v>
      </c>
      <c r="AP317" t="s">
        <v>6524</v>
      </c>
      <c r="AQ317" t="s">
        <v>74</v>
      </c>
      <c r="AR317" t="s">
        <v>6525</v>
      </c>
      <c r="AS317" t="s">
        <v>6526</v>
      </c>
      <c r="AT317" t="s">
        <v>6527</v>
      </c>
      <c r="AU317">
        <v>2021</v>
      </c>
      <c r="AV317">
        <v>58</v>
      </c>
      <c r="AW317">
        <v>1</v>
      </c>
      <c r="AX317" t="s">
        <v>74</v>
      </c>
      <c r="AY317" t="s">
        <v>74</v>
      </c>
      <c r="AZ317" t="s">
        <v>74</v>
      </c>
      <c r="BA317" t="s">
        <v>74</v>
      </c>
      <c r="BB317" t="s">
        <v>74</v>
      </c>
      <c r="BC317" t="s">
        <v>74</v>
      </c>
      <c r="BD317">
        <v>2100321</v>
      </c>
      <c r="BE317" t="s">
        <v>6528</v>
      </c>
      <c r="BF317" t="str">
        <f>HYPERLINK("http://dx.doi.org/10.1183/13993003.00321-2021","http://dx.doi.org/10.1183/13993003.00321-2021")</f>
        <v>http://dx.doi.org/10.1183/13993003.00321-2021</v>
      </c>
      <c r="BG317" t="s">
        <v>74</v>
      </c>
      <c r="BH317" t="s">
        <v>74</v>
      </c>
      <c r="BI317">
        <v>5</v>
      </c>
      <c r="BJ317" t="s">
        <v>6529</v>
      </c>
      <c r="BK317" t="s">
        <v>128</v>
      </c>
      <c r="BL317" t="s">
        <v>6529</v>
      </c>
      <c r="BM317" t="s">
        <v>6530</v>
      </c>
      <c r="BN317">
        <v>34326174</v>
      </c>
      <c r="BO317" t="s">
        <v>661</v>
      </c>
      <c r="BP317" t="s">
        <v>74</v>
      </c>
      <c r="BQ317" t="s">
        <v>74</v>
      </c>
      <c r="BR317" t="s">
        <v>102</v>
      </c>
      <c r="BS317" t="s">
        <v>6531</v>
      </c>
      <c r="BT317" t="str">
        <f>HYPERLINK("https%3A%2F%2Fwww.webofscience.com%2Fwos%2Fwoscc%2Ffull-record%2FWOS:000697742000028","View Full Record in Web of Science")</f>
        <v>View Full Record in Web of Science</v>
      </c>
    </row>
    <row r="318" spans="1:72" x14ac:dyDescent="0.15">
      <c r="A318" t="s">
        <v>72</v>
      </c>
      <c r="B318" t="s">
        <v>6532</v>
      </c>
      <c r="C318" t="s">
        <v>74</v>
      </c>
      <c r="D318" t="s">
        <v>74</v>
      </c>
      <c r="E318" t="s">
        <v>74</v>
      </c>
      <c r="F318" t="s">
        <v>6533</v>
      </c>
      <c r="G318" t="s">
        <v>74</v>
      </c>
      <c r="H318" t="s">
        <v>74</v>
      </c>
      <c r="I318" t="s">
        <v>6534</v>
      </c>
      <c r="J318" t="s">
        <v>6535</v>
      </c>
      <c r="K318" t="s">
        <v>74</v>
      </c>
      <c r="L318" t="s">
        <v>74</v>
      </c>
      <c r="M318" t="s">
        <v>78</v>
      </c>
      <c r="N318" t="s">
        <v>79</v>
      </c>
      <c r="O318" t="s">
        <v>74</v>
      </c>
      <c r="P318" t="s">
        <v>74</v>
      </c>
      <c r="Q318" t="s">
        <v>74</v>
      </c>
      <c r="R318" t="s">
        <v>74</v>
      </c>
      <c r="S318" t="s">
        <v>74</v>
      </c>
      <c r="T318" t="s">
        <v>6536</v>
      </c>
      <c r="U318" t="s">
        <v>6537</v>
      </c>
      <c r="V318" t="s">
        <v>6538</v>
      </c>
      <c r="W318" t="s">
        <v>6539</v>
      </c>
      <c r="X318" t="s">
        <v>6540</v>
      </c>
      <c r="Y318" t="s">
        <v>6541</v>
      </c>
      <c r="Z318" t="s">
        <v>6542</v>
      </c>
      <c r="AA318" t="s">
        <v>74</v>
      </c>
      <c r="AB318" t="s">
        <v>74</v>
      </c>
      <c r="AC318" t="s">
        <v>6543</v>
      </c>
      <c r="AD318" t="s">
        <v>6544</v>
      </c>
      <c r="AE318" t="s">
        <v>6545</v>
      </c>
      <c r="AF318" t="s">
        <v>74</v>
      </c>
      <c r="AG318">
        <v>42</v>
      </c>
      <c r="AH318">
        <v>15</v>
      </c>
      <c r="AI318">
        <v>15</v>
      </c>
      <c r="AJ318">
        <v>2</v>
      </c>
      <c r="AK318">
        <v>6</v>
      </c>
      <c r="AL318" t="s">
        <v>6546</v>
      </c>
      <c r="AM318" t="s">
        <v>6422</v>
      </c>
      <c r="AN318" t="s">
        <v>6547</v>
      </c>
      <c r="AO318" t="s">
        <v>6548</v>
      </c>
      <c r="AP318" t="s">
        <v>6549</v>
      </c>
      <c r="AQ318" t="s">
        <v>74</v>
      </c>
      <c r="AR318" t="s">
        <v>6550</v>
      </c>
      <c r="AS318" t="s">
        <v>6551</v>
      </c>
      <c r="AT318" t="s">
        <v>6552</v>
      </c>
      <c r="AU318">
        <v>2021</v>
      </c>
      <c r="AV318">
        <v>53</v>
      </c>
      <c r="AW318">
        <v>3</v>
      </c>
      <c r="AX318" t="s">
        <v>74</v>
      </c>
      <c r="AY318" t="s">
        <v>74</v>
      </c>
      <c r="AZ318" t="s">
        <v>74</v>
      </c>
      <c r="BA318" t="s">
        <v>74</v>
      </c>
      <c r="BB318">
        <v>257</v>
      </c>
      <c r="BC318">
        <v>265</v>
      </c>
      <c r="BD318" t="s">
        <v>74</v>
      </c>
      <c r="BE318" t="s">
        <v>6553</v>
      </c>
      <c r="BF318" t="str">
        <f>HYPERLINK("http://dx.doi.org/10.1016/j.ram.2020.10.004BY","http://dx.doi.org/10.1016/j.ram.2020.10.004BY")</f>
        <v>http://dx.doi.org/10.1016/j.ram.2020.10.004BY</v>
      </c>
      <c r="BG318" t="s">
        <v>74</v>
      </c>
      <c r="BH318" t="s">
        <v>74</v>
      </c>
      <c r="BI318">
        <v>9</v>
      </c>
      <c r="BJ318" t="s">
        <v>1499</v>
      </c>
      <c r="BK318" t="s">
        <v>128</v>
      </c>
      <c r="BL318" t="s">
        <v>1499</v>
      </c>
      <c r="BM318" t="s">
        <v>6554</v>
      </c>
      <c r="BN318">
        <v>33454152</v>
      </c>
      <c r="BO318" t="s">
        <v>74</v>
      </c>
      <c r="BP318" t="s">
        <v>74</v>
      </c>
      <c r="BQ318" t="s">
        <v>74</v>
      </c>
      <c r="BR318" t="s">
        <v>102</v>
      </c>
      <c r="BS318" t="s">
        <v>6555</v>
      </c>
      <c r="BT318" t="str">
        <f>HYPERLINK("https%3A%2F%2Fwww.webofscience.com%2Fwos%2Fwoscc%2Ffull-record%2FWOS:000709614500012","View Full Record in Web of Science")</f>
        <v>View Full Record in Web of Science</v>
      </c>
    </row>
    <row r="319" spans="1:72" x14ac:dyDescent="0.15">
      <c r="A319" t="s">
        <v>72</v>
      </c>
      <c r="B319" t="s">
        <v>6556</v>
      </c>
      <c r="C319" t="s">
        <v>74</v>
      </c>
      <c r="D319" t="s">
        <v>74</v>
      </c>
      <c r="E319" t="s">
        <v>74</v>
      </c>
      <c r="F319" t="s">
        <v>6557</v>
      </c>
      <c r="G319" t="s">
        <v>74</v>
      </c>
      <c r="H319" t="s">
        <v>74</v>
      </c>
      <c r="I319" t="s">
        <v>6558</v>
      </c>
      <c r="J319" t="s">
        <v>6559</v>
      </c>
      <c r="K319" t="s">
        <v>74</v>
      </c>
      <c r="L319" t="s">
        <v>74</v>
      </c>
      <c r="M319" t="s">
        <v>78</v>
      </c>
      <c r="N319" t="s">
        <v>79</v>
      </c>
      <c r="O319" t="s">
        <v>74</v>
      </c>
      <c r="P319" t="s">
        <v>74</v>
      </c>
      <c r="Q319" t="s">
        <v>74</v>
      </c>
      <c r="R319" t="s">
        <v>74</v>
      </c>
      <c r="S319" t="s">
        <v>74</v>
      </c>
      <c r="T319" t="s">
        <v>74</v>
      </c>
      <c r="U319" t="s">
        <v>6560</v>
      </c>
      <c r="V319" t="s">
        <v>6561</v>
      </c>
      <c r="W319" t="s">
        <v>6562</v>
      </c>
      <c r="X319" t="s">
        <v>6563</v>
      </c>
      <c r="Y319" t="s">
        <v>6564</v>
      </c>
      <c r="Z319" t="s">
        <v>6565</v>
      </c>
      <c r="AA319" t="s">
        <v>74</v>
      </c>
      <c r="AB319" t="s">
        <v>6566</v>
      </c>
      <c r="AC319" t="s">
        <v>6567</v>
      </c>
      <c r="AD319" t="s">
        <v>6568</v>
      </c>
      <c r="AE319" t="s">
        <v>6569</v>
      </c>
      <c r="AF319" t="s">
        <v>74</v>
      </c>
      <c r="AG319">
        <v>33</v>
      </c>
      <c r="AH319">
        <v>9</v>
      </c>
      <c r="AI319">
        <v>9</v>
      </c>
      <c r="AJ319">
        <v>1</v>
      </c>
      <c r="AK319">
        <v>12</v>
      </c>
      <c r="AL319" t="s">
        <v>6570</v>
      </c>
      <c r="AM319" t="s">
        <v>368</v>
      </c>
      <c r="AN319" t="s">
        <v>6571</v>
      </c>
      <c r="AO319" t="s">
        <v>6572</v>
      </c>
      <c r="AP319" t="s">
        <v>6573</v>
      </c>
      <c r="AQ319" t="s">
        <v>74</v>
      </c>
      <c r="AR319" t="s">
        <v>6574</v>
      </c>
      <c r="AS319" t="s">
        <v>6575</v>
      </c>
      <c r="AT319" t="s">
        <v>430</v>
      </c>
      <c r="AU319">
        <v>2021</v>
      </c>
      <c r="AV319">
        <v>41</v>
      </c>
      <c r="AW319">
        <v>7</v>
      </c>
      <c r="AX319" t="s">
        <v>74</v>
      </c>
      <c r="AY319" t="s">
        <v>74</v>
      </c>
      <c r="AZ319" t="s">
        <v>74</v>
      </c>
      <c r="BA319" t="s">
        <v>74</v>
      </c>
      <c r="BB319" t="s">
        <v>74</v>
      </c>
      <c r="BC319" t="s">
        <v>74</v>
      </c>
      <c r="BD319" t="s">
        <v>6576</v>
      </c>
      <c r="BE319" t="s">
        <v>6577</v>
      </c>
      <c r="BF319" t="str">
        <f>HYPERLINK("http://dx.doi.org/10.1042/BSR20210824","http://dx.doi.org/10.1042/BSR20210824")</f>
        <v>http://dx.doi.org/10.1042/BSR20210824</v>
      </c>
      <c r="BG319" t="s">
        <v>74</v>
      </c>
      <c r="BH319" t="s">
        <v>74</v>
      </c>
      <c r="BI319">
        <v>7</v>
      </c>
      <c r="BJ319" t="s">
        <v>6578</v>
      </c>
      <c r="BK319" t="s">
        <v>128</v>
      </c>
      <c r="BL319" t="s">
        <v>6578</v>
      </c>
      <c r="BM319" t="s">
        <v>6579</v>
      </c>
      <c r="BN319">
        <v>34223611</v>
      </c>
      <c r="BO319" t="s">
        <v>1377</v>
      </c>
      <c r="BP319" t="s">
        <v>74</v>
      </c>
      <c r="BQ319" t="s">
        <v>74</v>
      </c>
      <c r="BR319" t="s">
        <v>102</v>
      </c>
      <c r="BS319" t="s">
        <v>6580</v>
      </c>
      <c r="BT319" t="str">
        <f>HYPERLINK("https%3A%2F%2Fwww.webofscience.com%2Fwos%2Fwoscc%2Ffull-record%2FWOS:000704005700018","View Full Record in Web of Science")</f>
        <v>View Full Record in Web of Science</v>
      </c>
    </row>
    <row r="320" spans="1:72" x14ac:dyDescent="0.15">
      <c r="A320" t="s">
        <v>72</v>
      </c>
      <c r="B320" t="s">
        <v>6581</v>
      </c>
      <c r="C320" t="s">
        <v>74</v>
      </c>
      <c r="D320" t="s">
        <v>74</v>
      </c>
      <c r="E320" t="s">
        <v>74</v>
      </c>
      <c r="F320" t="s">
        <v>6582</v>
      </c>
      <c r="G320" t="s">
        <v>74</v>
      </c>
      <c r="H320" t="s">
        <v>74</v>
      </c>
      <c r="I320" t="s">
        <v>6583</v>
      </c>
      <c r="J320" t="s">
        <v>6584</v>
      </c>
      <c r="K320" t="s">
        <v>74</v>
      </c>
      <c r="L320" t="s">
        <v>74</v>
      </c>
      <c r="M320" t="s">
        <v>78</v>
      </c>
      <c r="N320" t="s">
        <v>79</v>
      </c>
      <c r="O320" t="s">
        <v>74</v>
      </c>
      <c r="P320" t="s">
        <v>74</v>
      </c>
      <c r="Q320" t="s">
        <v>74</v>
      </c>
      <c r="R320" t="s">
        <v>74</v>
      </c>
      <c r="S320" t="s">
        <v>74</v>
      </c>
      <c r="T320" t="s">
        <v>6585</v>
      </c>
      <c r="U320" t="s">
        <v>6586</v>
      </c>
      <c r="V320" t="s">
        <v>6587</v>
      </c>
      <c r="W320" t="s">
        <v>6588</v>
      </c>
      <c r="X320" t="s">
        <v>6589</v>
      </c>
      <c r="Y320" t="s">
        <v>6590</v>
      </c>
      <c r="Z320" t="s">
        <v>6591</v>
      </c>
      <c r="AA320" t="s">
        <v>74</v>
      </c>
      <c r="AB320" t="s">
        <v>74</v>
      </c>
      <c r="AC320" t="s">
        <v>6592</v>
      </c>
      <c r="AD320" t="s">
        <v>6593</v>
      </c>
      <c r="AE320" t="s">
        <v>6594</v>
      </c>
      <c r="AF320" t="s">
        <v>74</v>
      </c>
      <c r="AG320">
        <v>49</v>
      </c>
      <c r="AH320">
        <v>3</v>
      </c>
      <c r="AI320">
        <v>3</v>
      </c>
      <c r="AJ320">
        <v>2</v>
      </c>
      <c r="AK320">
        <v>8</v>
      </c>
      <c r="AL320" t="s">
        <v>6595</v>
      </c>
      <c r="AM320" t="s">
        <v>6596</v>
      </c>
      <c r="AN320" t="s">
        <v>6597</v>
      </c>
      <c r="AO320" t="s">
        <v>6598</v>
      </c>
      <c r="AP320" t="s">
        <v>74</v>
      </c>
      <c r="AQ320" t="s">
        <v>74</v>
      </c>
      <c r="AR320" t="s">
        <v>6599</v>
      </c>
      <c r="AS320" t="s">
        <v>6600</v>
      </c>
      <c r="AT320" t="s">
        <v>3434</v>
      </c>
      <c r="AU320">
        <v>2021</v>
      </c>
      <c r="AV320">
        <v>21</v>
      </c>
      <c r="AW320">
        <v>4</v>
      </c>
      <c r="AX320" t="s">
        <v>74</v>
      </c>
      <c r="AY320" t="s">
        <v>74</v>
      </c>
      <c r="AZ320" t="s">
        <v>74</v>
      </c>
      <c r="BA320" t="s">
        <v>74</v>
      </c>
      <c r="BB320" t="s">
        <v>74</v>
      </c>
      <c r="BC320" t="s">
        <v>74</v>
      </c>
      <c r="BD320" t="s">
        <v>6601</v>
      </c>
      <c r="BE320" t="s">
        <v>6602</v>
      </c>
      <c r="BF320" t="str">
        <f>HYPERLINK("http://dx.doi.org/10.2205/2021ES000759","http://dx.doi.org/10.2205/2021ES000759")</f>
        <v>http://dx.doi.org/10.2205/2021ES000759</v>
      </c>
      <c r="BG320" t="s">
        <v>74</v>
      </c>
      <c r="BH320" t="s">
        <v>74</v>
      </c>
      <c r="BI320">
        <v>12</v>
      </c>
      <c r="BJ320" t="s">
        <v>405</v>
      </c>
      <c r="BK320" t="s">
        <v>1819</v>
      </c>
      <c r="BL320" t="s">
        <v>406</v>
      </c>
      <c r="BM320" t="s">
        <v>6603</v>
      </c>
      <c r="BN320" t="s">
        <v>74</v>
      </c>
      <c r="BO320" t="s">
        <v>661</v>
      </c>
      <c r="BP320" t="s">
        <v>74</v>
      </c>
      <c r="BQ320" t="s">
        <v>74</v>
      </c>
      <c r="BR320" t="s">
        <v>102</v>
      </c>
      <c r="BS320" t="s">
        <v>6604</v>
      </c>
      <c r="BT320" t="str">
        <f>HYPERLINK("https%3A%2F%2Fwww.webofscience.com%2Fwos%2Fwoscc%2Ffull-record%2FWOS:000701676500003","View Full Record in Web of Science")</f>
        <v>View Full Record in Web of Science</v>
      </c>
    </row>
    <row r="321" spans="1:72" x14ac:dyDescent="0.15">
      <c r="A321" t="s">
        <v>72</v>
      </c>
      <c r="B321" t="s">
        <v>6605</v>
      </c>
      <c r="C321" t="s">
        <v>74</v>
      </c>
      <c r="D321" t="s">
        <v>74</v>
      </c>
      <c r="E321" t="s">
        <v>74</v>
      </c>
      <c r="F321" t="s">
        <v>6606</v>
      </c>
      <c r="G321" t="s">
        <v>74</v>
      </c>
      <c r="H321" t="s">
        <v>74</v>
      </c>
      <c r="I321" t="s">
        <v>6607</v>
      </c>
      <c r="J321" t="s">
        <v>6608</v>
      </c>
      <c r="K321" t="s">
        <v>74</v>
      </c>
      <c r="L321" t="s">
        <v>74</v>
      </c>
      <c r="M321" t="s">
        <v>78</v>
      </c>
      <c r="N321" t="s">
        <v>79</v>
      </c>
      <c r="O321" t="s">
        <v>74</v>
      </c>
      <c r="P321" t="s">
        <v>74</v>
      </c>
      <c r="Q321" t="s">
        <v>74</v>
      </c>
      <c r="R321" t="s">
        <v>74</v>
      </c>
      <c r="S321" t="s">
        <v>74</v>
      </c>
      <c r="T321" t="s">
        <v>6609</v>
      </c>
      <c r="U321" t="s">
        <v>6610</v>
      </c>
      <c r="V321" t="s">
        <v>6611</v>
      </c>
      <c r="W321" t="s">
        <v>6612</v>
      </c>
      <c r="X321" t="s">
        <v>6613</v>
      </c>
      <c r="Y321" t="s">
        <v>6614</v>
      </c>
      <c r="Z321" t="s">
        <v>6615</v>
      </c>
      <c r="AA321" t="s">
        <v>6616</v>
      </c>
      <c r="AB321" t="s">
        <v>6617</v>
      </c>
      <c r="AC321" t="s">
        <v>6618</v>
      </c>
      <c r="AD321" t="s">
        <v>74</v>
      </c>
      <c r="AE321" t="s">
        <v>6619</v>
      </c>
      <c r="AF321" t="s">
        <v>74</v>
      </c>
      <c r="AG321">
        <v>11</v>
      </c>
      <c r="AH321">
        <v>1</v>
      </c>
      <c r="AI321">
        <v>1</v>
      </c>
      <c r="AJ321">
        <v>1</v>
      </c>
      <c r="AK321">
        <v>13</v>
      </c>
      <c r="AL321" t="s">
        <v>6620</v>
      </c>
      <c r="AM321" t="s">
        <v>650</v>
      </c>
      <c r="AN321" t="s">
        <v>6621</v>
      </c>
      <c r="AO321" t="s">
        <v>6622</v>
      </c>
      <c r="AP321" t="s">
        <v>6623</v>
      </c>
      <c r="AQ321" t="s">
        <v>74</v>
      </c>
      <c r="AR321" t="s">
        <v>6624</v>
      </c>
      <c r="AS321" t="s">
        <v>6625</v>
      </c>
      <c r="AT321" t="s">
        <v>430</v>
      </c>
      <c r="AU321">
        <v>2021</v>
      </c>
      <c r="AV321">
        <v>61</v>
      </c>
      <c r="AW321">
        <v>4</v>
      </c>
      <c r="AX321" t="s">
        <v>74</v>
      </c>
      <c r="AY321" t="s">
        <v>74</v>
      </c>
      <c r="AZ321" t="s">
        <v>74</v>
      </c>
      <c r="BA321" t="s">
        <v>74</v>
      </c>
      <c r="BB321">
        <v>469</v>
      </c>
      <c r="BC321">
        <v>471</v>
      </c>
      <c r="BD321" t="s">
        <v>74</v>
      </c>
      <c r="BE321" t="s">
        <v>6626</v>
      </c>
      <c r="BF321" t="str">
        <f>HYPERLINK("http://dx.doi.org/10.1134/S0001437021040135","http://dx.doi.org/10.1134/S0001437021040135")</f>
        <v>http://dx.doi.org/10.1134/S0001437021040135</v>
      </c>
      <c r="BG321" t="s">
        <v>74</v>
      </c>
      <c r="BH321" t="s">
        <v>74</v>
      </c>
      <c r="BI321">
        <v>3</v>
      </c>
      <c r="BJ321" t="s">
        <v>1134</v>
      </c>
      <c r="BK321" t="s">
        <v>128</v>
      </c>
      <c r="BL321" t="s">
        <v>1134</v>
      </c>
      <c r="BM321" t="s">
        <v>6627</v>
      </c>
      <c r="BN321" t="s">
        <v>74</v>
      </c>
      <c r="BO321" t="s">
        <v>74</v>
      </c>
      <c r="BP321" t="s">
        <v>74</v>
      </c>
      <c r="BQ321" t="s">
        <v>74</v>
      </c>
      <c r="BR321" t="s">
        <v>102</v>
      </c>
      <c r="BS321" t="s">
        <v>6628</v>
      </c>
      <c r="BT321" t="str">
        <f>HYPERLINK("https%3A%2F%2Fwww.webofscience.com%2Fwos%2Fwoscc%2Ffull-record%2FWOS:000698664200004","View Full Record in Web of Science")</f>
        <v>View Full Record in Web of Science</v>
      </c>
    </row>
    <row r="322" spans="1:72" x14ac:dyDescent="0.15">
      <c r="A322" t="s">
        <v>72</v>
      </c>
      <c r="B322" t="s">
        <v>6629</v>
      </c>
      <c r="C322" t="s">
        <v>74</v>
      </c>
      <c r="D322" t="s">
        <v>74</v>
      </c>
      <c r="E322" t="s">
        <v>74</v>
      </c>
      <c r="F322" t="s">
        <v>6630</v>
      </c>
      <c r="G322" t="s">
        <v>74</v>
      </c>
      <c r="H322" t="s">
        <v>74</v>
      </c>
      <c r="I322" t="s">
        <v>6631</v>
      </c>
      <c r="J322" t="s">
        <v>6632</v>
      </c>
      <c r="K322" t="s">
        <v>74</v>
      </c>
      <c r="L322" t="s">
        <v>74</v>
      </c>
      <c r="M322" t="s">
        <v>78</v>
      </c>
      <c r="N322" t="s">
        <v>79</v>
      </c>
      <c r="O322" t="s">
        <v>74</v>
      </c>
      <c r="P322" t="s">
        <v>74</v>
      </c>
      <c r="Q322" t="s">
        <v>74</v>
      </c>
      <c r="R322" t="s">
        <v>74</v>
      </c>
      <c r="S322" t="s">
        <v>74</v>
      </c>
      <c r="T322" t="s">
        <v>6633</v>
      </c>
      <c r="U322" t="s">
        <v>6634</v>
      </c>
      <c r="V322" t="s">
        <v>6635</v>
      </c>
      <c r="W322" t="s">
        <v>6636</v>
      </c>
      <c r="X322" t="s">
        <v>6637</v>
      </c>
      <c r="Y322" t="s">
        <v>6638</v>
      </c>
      <c r="Z322" t="s">
        <v>6639</v>
      </c>
      <c r="AA322" t="s">
        <v>6640</v>
      </c>
      <c r="AB322" t="s">
        <v>74</v>
      </c>
      <c r="AC322" t="s">
        <v>6641</v>
      </c>
      <c r="AD322" t="s">
        <v>6642</v>
      </c>
      <c r="AE322" t="s">
        <v>6643</v>
      </c>
      <c r="AF322" t="s">
        <v>74</v>
      </c>
      <c r="AG322">
        <v>41</v>
      </c>
      <c r="AH322">
        <v>2</v>
      </c>
      <c r="AI322">
        <v>4</v>
      </c>
      <c r="AJ322">
        <v>2</v>
      </c>
      <c r="AK322">
        <v>24</v>
      </c>
      <c r="AL322" t="s">
        <v>450</v>
      </c>
      <c r="AM322" t="s">
        <v>650</v>
      </c>
      <c r="AN322" t="s">
        <v>1957</v>
      </c>
      <c r="AO322" t="s">
        <v>6644</v>
      </c>
      <c r="AP322" t="s">
        <v>6645</v>
      </c>
      <c r="AQ322" t="s">
        <v>74</v>
      </c>
      <c r="AR322" t="s">
        <v>6646</v>
      </c>
      <c r="AS322" t="s">
        <v>6647</v>
      </c>
      <c r="AT322" t="s">
        <v>430</v>
      </c>
      <c r="AU322">
        <v>2021</v>
      </c>
      <c r="AV322">
        <v>40</v>
      </c>
      <c r="AW322">
        <v>7</v>
      </c>
      <c r="AX322" t="s">
        <v>74</v>
      </c>
      <c r="AY322" t="s">
        <v>74</v>
      </c>
      <c r="AZ322" t="s">
        <v>74</v>
      </c>
      <c r="BA322" t="s">
        <v>74</v>
      </c>
      <c r="BB322">
        <v>119</v>
      </c>
      <c r="BC322">
        <v>128</v>
      </c>
      <c r="BD322" t="s">
        <v>74</v>
      </c>
      <c r="BE322" t="s">
        <v>6648</v>
      </c>
      <c r="BF322" t="str">
        <f>HYPERLINK("http://dx.doi.org/10.1007/s13131-021-1762-x","http://dx.doi.org/10.1007/s13131-021-1762-x")</f>
        <v>http://dx.doi.org/10.1007/s13131-021-1762-x</v>
      </c>
      <c r="BG322" t="s">
        <v>74</v>
      </c>
      <c r="BH322" t="s">
        <v>74</v>
      </c>
      <c r="BI322">
        <v>10</v>
      </c>
      <c r="BJ322" t="s">
        <v>1134</v>
      </c>
      <c r="BK322" t="s">
        <v>128</v>
      </c>
      <c r="BL322" t="s">
        <v>1134</v>
      </c>
      <c r="BM322" t="s">
        <v>6649</v>
      </c>
      <c r="BN322" t="s">
        <v>74</v>
      </c>
      <c r="BO322" t="s">
        <v>74</v>
      </c>
      <c r="BP322" t="s">
        <v>74</v>
      </c>
      <c r="BQ322" t="s">
        <v>74</v>
      </c>
      <c r="BR322" t="s">
        <v>102</v>
      </c>
      <c r="BS322" t="s">
        <v>6650</v>
      </c>
      <c r="BT322" t="str">
        <f>HYPERLINK("https%3A%2F%2Fwww.webofscience.com%2Fwos%2Fwoscc%2Ffull-record%2FWOS:000693075700010","View Full Record in Web of Science")</f>
        <v>View Full Record in Web of Science</v>
      </c>
    </row>
    <row r="323" spans="1:72" x14ac:dyDescent="0.15">
      <c r="A323" t="s">
        <v>72</v>
      </c>
      <c r="B323" t="s">
        <v>6651</v>
      </c>
      <c r="C323" t="s">
        <v>74</v>
      </c>
      <c r="D323" t="s">
        <v>74</v>
      </c>
      <c r="E323" t="s">
        <v>74</v>
      </c>
      <c r="F323" t="s">
        <v>6652</v>
      </c>
      <c r="G323" t="s">
        <v>74</v>
      </c>
      <c r="H323" t="s">
        <v>74</v>
      </c>
      <c r="I323" t="s">
        <v>6653</v>
      </c>
      <c r="J323" t="s">
        <v>6632</v>
      </c>
      <c r="K323" t="s">
        <v>74</v>
      </c>
      <c r="L323" t="s">
        <v>74</v>
      </c>
      <c r="M323" t="s">
        <v>78</v>
      </c>
      <c r="N323" t="s">
        <v>79</v>
      </c>
      <c r="O323" t="s">
        <v>74</v>
      </c>
      <c r="P323" t="s">
        <v>74</v>
      </c>
      <c r="Q323" t="s">
        <v>74</v>
      </c>
      <c r="R323" t="s">
        <v>74</v>
      </c>
      <c r="S323" t="s">
        <v>74</v>
      </c>
      <c r="T323" t="s">
        <v>6654</v>
      </c>
      <c r="U323" t="s">
        <v>6655</v>
      </c>
      <c r="V323" t="s">
        <v>6656</v>
      </c>
      <c r="W323" t="s">
        <v>6657</v>
      </c>
      <c r="X323" t="s">
        <v>6658</v>
      </c>
      <c r="Y323" t="s">
        <v>6659</v>
      </c>
      <c r="Z323" t="s">
        <v>6660</v>
      </c>
      <c r="AA323" t="s">
        <v>6661</v>
      </c>
      <c r="AB323" t="s">
        <v>6662</v>
      </c>
      <c r="AC323" t="s">
        <v>6663</v>
      </c>
      <c r="AD323" t="s">
        <v>6664</v>
      </c>
      <c r="AE323" t="s">
        <v>6665</v>
      </c>
      <c r="AF323" t="s">
        <v>74</v>
      </c>
      <c r="AG323">
        <v>38</v>
      </c>
      <c r="AH323">
        <v>0</v>
      </c>
      <c r="AI323">
        <v>0</v>
      </c>
      <c r="AJ323">
        <v>2</v>
      </c>
      <c r="AK323">
        <v>12</v>
      </c>
      <c r="AL323" t="s">
        <v>450</v>
      </c>
      <c r="AM323" t="s">
        <v>650</v>
      </c>
      <c r="AN323" t="s">
        <v>1957</v>
      </c>
      <c r="AO323" t="s">
        <v>6644</v>
      </c>
      <c r="AP323" t="s">
        <v>6645</v>
      </c>
      <c r="AQ323" t="s">
        <v>74</v>
      </c>
      <c r="AR323" t="s">
        <v>6646</v>
      </c>
      <c r="AS323" t="s">
        <v>6647</v>
      </c>
      <c r="AT323" t="s">
        <v>430</v>
      </c>
      <c r="AU323">
        <v>2021</v>
      </c>
      <c r="AV323">
        <v>40</v>
      </c>
      <c r="AW323">
        <v>7</v>
      </c>
      <c r="AX323" t="s">
        <v>74</v>
      </c>
      <c r="AY323" t="s">
        <v>74</v>
      </c>
      <c r="AZ323" t="s">
        <v>74</v>
      </c>
      <c r="BA323" t="s">
        <v>74</v>
      </c>
      <c r="BB323">
        <v>159</v>
      </c>
      <c r="BC323">
        <v>169</v>
      </c>
      <c r="BD323" t="s">
        <v>74</v>
      </c>
      <c r="BE323" t="s">
        <v>6666</v>
      </c>
      <c r="BF323" t="str">
        <f>HYPERLINK("http://dx.doi.org/10.1007/s13131-021-1819-x","http://dx.doi.org/10.1007/s13131-021-1819-x")</f>
        <v>http://dx.doi.org/10.1007/s13131-021-1819-x</v>
      </c>
      <c r="BG323" t="s">
        <v>74</v>
      </c>
      <c r="BH323" t="s">
        <v>74</v>
      </c>
      <c r="BI323">
        <v>11</v>
      </c>
      <c r="BJ323" t="s">
        <v>1134</v>
      </c>
      <c r="BK323" t="s">
        <v>128</v>
      </c>
      <c r="BL323" t="s">
        <v>1134</v>
      </c>
      <c r="BM323" t="s">
        <v>6649</v>
      </c>
      <c r="BN323" t="s">
        <v>74</v>
      </c>
      <c r="BO323" t="s">
        <v>74</v>
      </c>
      <c r="BP323" t="s">
        <v>74</v>
      </c>
      <c r="BQ323" t="s">
        <v>74</v>
      </c>
      <c r="BR323" t="s">
        <v>102</v>
      </c>
      <c r="BS323" t="s">
        <v>6667</v>
      </c>
      <c r="BT323" t="str">
        <f>HYPERLINK("https%3A%2F%2Fwww.webofscience.com%2Fwos%2Fwoscc%2Ffull-record%2FWOS:000693075700013","View Full Record in Web of Science")</f>
        <v>View Full Record in Web of Science</v>
      </c>
    </row>
    <row r="324" spans="1:72" x14ac:dyDescent="0.15">
      <c r="A324" t="s">
        <v>72</v>
      </c>
      <c r="B324" t="s">
        <v>6668</v>
      </c>
      <c r="C324" t="s">
        <v>74</v>
      </c>
      <c r="D324" t="s">
        <v>74</v>
      </c>
      <c r="E324" t="s">
        <v>74</v>
      </c>
      <c r="F324" t="s">
        <v>6669</v>
      </c>
      <c r="G324" t="s">
        <v>74</v>
      </c>
      <c r="H324" t="s">
        <v>74</v>
      </c>
      <c r="I324" t="s">
        <v>6670</v>
      </c>
      <c r="J324" t="s">
        <v>6671</v>
      </c>
      <c r="K324" t="s">
        <v>74</v>
      </c>
      <c r="L324" t="s">
        <v>74</v>
      </c>
      <c r="M324" t="s">
        <v>78</v>
      </c>
      <c r="N324" t="s">
        <v>79</v>
      </c>
      <c r="O324" t="s">
        <v>74</v>
      </c>
      <c r="P324" t="s">
        <v>74</v>
      </c>
      <c r="Q324" t="s">
        <v>74</v>
      </c>
      <c r="R324" t="s">
        <v>74</v>
      </c>
      <c r="S324" t="s">
        <v>74</v>
      </c>
      <c r="T324" t="s">
        <v>6672</v>
      </c>
      <c r="U324" t="s">
        <v>6673</v>
      </c>
      <c r="V324" t="s">
        <v>6674</v>
      </c>
      <c r="W324" t="s">
        <v>6675</v>
      </c>
      <c r="X324" t="s">
        <v>6676</v>
      </c>
      <c r="Y324" t="s">
        <v>6677</v>
      </c>
      <c r="Z324" t="s">
        <v>6678</v>
      </c>
      <c r="AA324" t="s">
        <v>6679</v>
      </c>
      <c r="AB324" t="s">
        <v>6680</v>
      </c>
      <c r="AC324" t="s">
        <v>6681</v>
      </c>
      <c r="AD324" t="s">
        <v>6682</v>
      </c>
      <c r="AE324" t="s">
        <v>6683</v>
      </c>
      <c r="AF324" t="s">
        <v>74</v>
      </c>
      <c r="AG324">
        <v>58</v>
      </c>
      <c r="AH324">
        <v>6</v>
      </c>
      <c r="AI324">
        <v>6</v>
      </c>
      <c r="AJ324">
        <v>3</v>
      </c>
      <c r="AK324">
        <v>15</v>
      </c>
      <c r="AL324" t="s">
        <v>197</v>
      </c>
      <c r="AM324" t="s">
        <v>198</v>
      </c>
      <c r="AN324" t="s">
        <v>199</v>
      </c>
      <c r="AO324" t="s">
        <v>6684</v>
      </c>
      <c r="AP324" t="s">
        <v>6685</v>
      </c>
      <c r="AQ324" t="s">
        <v>74</v>
      </c>
      <c r="AR324" t="s">
        <v>6686</v>
      </c>
      <c r="AS324" t="s">
        <v>6687</v>
      </c>
      <c r="AT324" t="s">
        <v>430</v>
      </c>
      <c r="AU324">
        <v>2021</v>
      </c>
      <c r="AV324">
        <v>32</v>
      </c>
      <c r="AW324">
        <v>4</v>
      </c>
      <c r="AX324" t="s">
        <v>74</v>
      </c>
      <c r="AY324" t="s">
        <v>74</v>
      </c>
      <c r="AZ324" t="s">
        <v>74</v>
      </c>
      <c r="BA324" t="s">
        <v>74</v>
      </c>
      <c r="BB324" t="s">
        <v>74</v>
      </c>
      <c r="BC324" t="s">
        <v>74</v>
      </c>
      <c r="BD324" t="s">
        <v>6688</v>
      </c>
      <c r="BE324" t="s">
        <v>6689</v>
      </c>
      <c r="BF324" t="str">
        <f>HYPERLINK("http://dx.doi.org/10.1111/jvs.13057","http://dx.doi.org/10.1111/jvs.13057")</f>
        <v>http://dx.doi.org/10.1111/jvs.13057</v>
      </c>
      <c r="BG324" t="s">
        <v>74</v>
      </c>
      <c r="BH324" t="s">
        <v>74</v>
      </c>
      <c r="BI324">
        <v>13</v>
      </c>
      <c r="BJ324" t="s">
        <v>6690</v>
      </c>
      <c r="BK324" t="s">
        <v>128</v>
      </c>
      <c r="BL324" t="s">
        <v>6691</v>
      </c>
      <c r="BM324" t="s">
        <v>6692</v>
      </c>
      <c r="BN324" t="s">
        <v>74</v>
      </c>
      <c r="BO324" t="s">
        <v>6693</v>
      </c>
      <c r="BP324" t="s">
        <v>74</v>
      </c>
      <c r="BQ324" t="s">
        <v>74</v>
      </c>
      <c r="BR324" t="s">
        <v>102</v>
      </c>
      <c r="BS324" t="s">
        <v>6694</v>
      </c>
      <c r="BT324" t="str">
        <f>HYPERLINK("https%3A%2F%2Fwww.webofscience.com%2Fwos%2Fwoscc%2Ffull-record%2FWOS:000690877500017","View Full Record in Web of Science")</f>
        <v>View Full Record in Web of Science</v>
      </c>
    </row>
    <row r="325" spans="1:72" x14ac:dyDescent="0.15">
      <c r="A325" t="s">
        <v>72</v>
      </c>
      <c r="B325" t="s">
        <v>6695</v>
      </c>
      <c r="C325" t="s">
        <v>74</v>
      </c>
      <c r="D325" t="s">
        <v>74</v>
      </c>
      <c r="E325" t="s">
        <v>74</v>
      </c>
      <c r="F325" t="s">
        <v>6696</v>
      </c>
      <c r="G325" t="s">
        <v>74</v>
      </c>
      <c r="H325" t="s">
        <v>74</v>
      </c>
      <c r="I325" t="s">
        <v>6697</v>
      </c>
      <c r="J325" t="s">
        <v>6698</v>
      </c>
      <c r="K325" t="s">
        <v>74</v>
      </c>
      <c r="L325" t="s">
        <v>74</v>
      </c>
      <c r="M325" t="s">
        <v>78</v>
      </c>
      <c r="N325" t="s">
        <v>79</v>
      </c>
      <c r="O325" t="s">
        <v>74</v>
      </c>
      <c r="P325" t="s">
        <v>74</v>
      </c>
      <c r="Q325" t="s">
        <v>74</v>
      </c>
      <c r="R325" t="s">
        <v>74</v>
      </c>
      <c r="S325" t="s">
        <v>74</v>
      </c>
      <c r="T325" t="s">
        <v>6699</v>
      </c>
      <c r="U325" t="s">
        <v>6700</v>
      </c>
      <c r="V325" t="s">
        <v>6701</v>
      </c>
      <c r="W325" t="s">
        <v>6702</v>
      </c>
      <c r="X325" t="s">
        <v>6703</v>
      </c>
      <c r="Y325" t="s">
        <v>6704</v>
      </c>
      <c r="Z325" t="s">
        <v>6705</v>
      </c>
      <c r="AA325" t="s">
        <v>6706</v>
      </c>
      <c r="AB325" t="s">
        <v>6707</v>
      </c>
      <c r="AC325" t="s">
        <v>6708</v>
      </c>
      <c r="AD325" t="s">
        <v>6709</v>
      </c>
      <c r="AE325" t="s">
        <v>6710</v>
      </c>
      <c r="AF325" t="s">
        <v>74</v>
      </c>
      <c r="AG325">
        <v>84</v>
      </c>
      <c r="AH325">
        <v>23</v>
      </c>
      <c r="AI325">
        <v>23</v>
      </c>
      <c r="AJ325">
        <v>8</v>
      </c>
      <c r="AK325">
        <v>37</v>
      </c>
      <c r="AL325" t="s">
        <v>450</v>
      </c>
      <c r="AM325" t="s">
        <v>451</v>
      </c>
      <c r="AN325" t="s">
        <v>452</v>
      </c>
      <c r="AO325" t="s">
        <v>6711</v>
      </c>
      <c r="AP325" t="s">
        <v>6712</v>
      </c>
      <c r="AQ325" t="s">
        <v>74</v>
      </c>
      <c r="AR325" t="s">
        <v>6698</v>
      </c>
      <c r="AS325" t="s">
        <v>6713</v>
      </c>
      <c r="AT325" t="s">
        <v>430</v>
      </c>
      <c r="AU325">
        <v>2021</v>
      </c>
      <c r="AV325">
        <v>167</v>
      </c>
      <c r="AW325" t="s">
        <v>4114</v>
      </c>
      <c r="AX325" t="s">
        <v>74</v>
      </c>
      <c r="AY325" t="s">
        <v>74</v>
      </c>
      <c r="AZ325" t="s">
        <v>74</v>
      </c>
      <c r="BA325" t="s">
        <v>74</v>
      </c>
      <c r="BB325" t="s">
        <v>74</v>
      </c>
      <c r="BC325" t="s">
        <v>74</v>
      </c>
      <c r="BD325">
        <v>4</v>
      </c>
      <c r="BE325" t="s">
        <v>6714</v>
      </c>
      <c r="BF325" t="str">
        <f>HYPERLINK("http://dx.doi.org/10.1007/s10584-021-03130-z","http://dx.doi.org/10.1007/s10584-021-03130-z")</f>
        <v>http://dx.doi.org/10.1007/s10584-021-03130-z</v>
      </c>
      <c r="BG325" t="s">
        <v>74</v>
      </c>
      <c r="BH325" t="s">
        <v>74</v>
      </c>
      <c r="BI325">
        <v>21</v>
      </c>
      <c r="BJ325" t="s">
        <v>635</v>
      </c>
      <c r="BK325" t="s">
        <v>100</v>
      </c>
      <c r="BL325" t="s">
        <v>636</v>
      </c>
      <c r="BM325" t="s">
        <v>6715</v>
      </c>
      <c r="BN325" t="s">
        <v>74</v>
      </c>
      <c r="BO325" t="s">
        <v>6716</v>
      </c>
      <c r="BP325" t="s">
        <v>74</v>
      </c>
      <c r="BQ325" t="s">
        <v>74</v>
      </c>
      <c r="BR325" t="s">
        <v>102</v>
      </c>
      <c r="BS325" t="s">
        <v>6717</v>
      </c>
      <c r="BT325" t="str">
        <f>HYPERLINK("https%3A%2F%2Fwww.webofscience.com%2Fwos%2Fwoscc%2Ffull-record%2FWOS:000691563600001","View Full Record in Web of Science")</f>
        <v>View Full Record in Web of Science</v>
      </c>
    </row>
    <row r="326" spans="1:72" x14ac:dyDescent="0.15">
      <c r="A326" t="s">
        <v>72</v>
      </c>
      <c r="B326" t="s">
        <v>6718</v>
      </c>
      <c r="C326" t="s">
        <v>74</v>
      </c>
      <c r="D326" t="s">
        <v>74</v>
      </c>
      <c r="E326" t="s">
        <v>74</v>
      </c>
      <c r="F326" t="s">
        <v>6719</v>
      </c>
      <c r="G326" t="s">
        <v>74</v>
      </c>
      <c r="H326" t="s">
        <v>74</v>
      </c>
      <c r="I326" t="s">
        <v>6720</v>
      </c>
      <c r="J326" t="s">
        <v>6698</v>
      </c>
      <c r="K326" t="s">
        <v>74</v>
      </c>
      <c r="L326" t="s">
        <v>74</v>
      </c>
      <c r="M326" t="s">
        <v>78</v>
      </c>
      <c r="N326" t="s">
        <v>3298</v>
      </c>
      <c r="O326" t="s">
        <v>74</v>
      </c>
      <c r="P326" t="s">
        <v>74</v>
      </c>
      <c r="Q326" t="s">
        <v>74</v>
      </c>
      <c r="R326" t="s">
        <v>74</v>
      </c>
      <c r="S326" t="s">
        <v>74</v>
      </c>
      <c r="T326" t="s">
        <v>74</v>
      </c>
      <c r="U326" t="s">
        <v>74</v>
      </c>
      <c r="V326" t="s">
        <v>74</v>
      </c>
      <c r="W326" t="s">
        <v>6721</v>
      </c>
      <c r="X326" t="s">
        <v>6722</v>
      </c>
      <c r="Y326" t="s">
        <v>6723</v>
      </c>
      <c r="Z326" t="s">
        <v>6724</v>
      </c>
      <c r="AA326" t="s">
        <v>6725</v>
      </c>
      <c r="AB326" t="s">
        <v>6726</v>
      </c>
      <c r="AC326" t="s">
        <v>74</v>
      </c>
      <c r="AD326" t="s">
        <v>74</v>
      </c>
      <c r="AE326" t="s">
        <v>74</v>
      </c>
      <c r="AF326" t="s">
        <v>74</v>
      </c>
      <c r="AG326">
        <v>1</v>
      </c>
      <c r="AH326">
        <v>0</v>
      </c>
      <c r="AI326">
        <v>0</v>
      </c>
      <c r="AJ326">
        <v>2</v>
      </c>
      <c r="AK326">
        <v>6</v>
      </c>
      <c r="AL326" t="s">
        <v>450</v>
      </c>
      <c r="AM326" t="s">
        <v>451</v>
      </c>
      <c r="AN326" t="s">
        <v>452</v>
      </c>
      <c r="AO326" t="s">
        <v>6711</v>
      </c>
      <c r="AP326" t="s">
        <v>6712</v>
      </c>
      <c r="AQ326" t="s">
        <v>74</v>
      </c>
      <c r="AR326" t="s">
        <v>6698</v>
      </c>
      <c r="AS326" t="s">
        <v>6713</v>
      </c>
      <c r="AT326" t="s">
        <v>430</v>
      </c>
      <c r="AU326">
        <v>2021</v>
      </c>
      <c r="AV326">
        <v>167</v>
      </c>
      <c r="AW326" t="s">
        <v>4114</v>
      </c>
      <c r="AX326" t="s">
        <v>74</v>
      </c>
      <c r="AY326" t="s">
        <v>74</v>
      </c>
      <c r="AZ326" t="s">
        <v>74</v>
      </c>
      <c r="BA326" t="s">
        <v>74</v>
      </c>
      <c r="BB326" t="s">
        <v>74</v>
      </c>
      <c r="BC326" t="s">
        <v>74</v>
      </c>
      <c r="BD326">
        <v>3</v>
      </c>
      <c r="BE326" t="s">
        <v>6727</v>
      </c>
      <c r="BF326" t="str">
        <f>HYPERLINK("http://dx.doi.org/10.1007/s10584-021-03156-3","http://dx.doi.org/10.1007/s10584-021-03156-3")</f>
        <v>http://dx.doi.org/10.1007/s10584-021-03156-3</v>
      </c>
      <c r="BG326" t="s">
        <v>74</v>
      </c>
      <c r="BH326" t="s">
        <v>74</v>
      </c>
      <c r="BI326">
        <v>2</v>
      </c>
      <c r="BJ326" t="s">
        <v>635</v>
      </c>
      <c r="BK326" t="s">
        <v>128</v>
      </c>
      <c r="BL326" t="s">
        <v>636</v>
      </c>
      <c r="BM326" t="s">
        <v>6715</v>
      </c>
      <c r="BN326" t="s">
        <v>74</v>
      </c>
      <c r="BO326" t="s">
        <v>661</v>
      </c>
      <c r="BP326" t="s">
        <v>74</v>
      </c>
      <c r="BQ326" t="s">
        <v>74</v>
      </c>
      <c r="BR326" t="s">
        <v>102</v>
      </c>
      <c r="BS326" t="s">
        <v>6728</v>
      </c>
      <c r="BT326" t="str">
        <f>HYPERLINK("https%3A%2F%2Fwww.webofscience.com%2Fwos%2Fwoscc%2Ffull-record%2FWOS:000691563600002","View Full Record in Web of Science")</f>
        <v>View Full Record in Web of Science</v>
      </c>
    </row>
    <row r="327" spans="1:72" x14ac:dyDescent="0.15">
      <c r="A327" t="s">
        <v>72</v>
      </c>
      <c r="B327" t="s">
        <v>6729</v>
      </c>
      <c r="C327" t="s">
        <v>74</v>
      </c>
      <c r="D327" t="s">
        <v>74</v>
      </c>
      <c r="E327" t="s">
        <v>74</v>
      </c>
      <c r="F327" t="s">
        <v>6730</v>
      </c>
      <c r="G327" t="s">
        <v>74</v>
      </c>
      <c r="H327" t="s">
        <v>74</v>
      </c>
      <c r="I327" t="s">
        <v>6731</v>
      </c>
      <c r="J327" t="s">
        <v>6732</v>
      </c>
      <c r="K327" t="s">
        <v>74</v>
      </c>
      <c r="L327" t="s">
        <v>74</v>
      </c>
      <c r="M327" t="s">
        <v>78</v>
      </c>
      <c r="N327" t="s">
        <v>79</v>
      </c>
      <c r="O327" t="s">
        <v>74</v>
      </c>
      <c r="P327" t="s">
        <v>74</v>
      </c>
      <c r="Q327" t="s">
        <v>74</v>
      </c>
      <c r="R327" t="s">
        <v>74</v>
      </c>
      <c r="S327" t="s">
        <v>74</v>
      </c>
      <c r="T327" t="s">
        <v>6733</v>
      </c>
      <c r="U327" t="s">
        <v>6734</v>
      </c>
      <c r="V327" t="s">
        <v>6735</v>
      </c>
      <c r="W327" t="s">
        <v>6736</v>
      </c>
      <c r="X327" t="s">
        <v>6737</v>
      </c>
      <c r="Y327" t="s">
        <v>6738</v>
      </c>
      <c r="Z327" t="s">
        <v>6739</v>
      </c>
      <c r="AA327" t="s">
        <v>6740</v>
      </c>
      <c r="AB327" t="s">
        <v>6741</v>
      </c>
      <c r="AC327" t="s">
        <v>6742</v>
      </c>
      <c r="AD327" t="s">
        <v>6743</v>
      </c>
      <c r="AE327" t="s">
        <v>6744</v>
      </c>
      <c r="AF327" t="s">
        <v>74</v>
      </c>
      <c r="AG327">
        <v>44</v>
      </c>
      <c r="AH327">
        <v>4</v>
      </c>
      <c r="AI327">
        <v>5</v>
      </c>
      <c r="AJ327">
        <v>2</v>
      </c>
      <c r="AK327">
        <v>12</v>
      </c>
      <c r="AL327" t="s">
        <v>197</v>
      </c>
      <c r="AM327" t="s">
        <v>198</v>
      </c>
      <c r="AN327" t="s">
        <v>199</v>
      </c>
      <c r="AO327" t="s">
        <v>6745</v>
      </c>
      <c r="AP327" t="s">
        <v>6746</v>
      </c>
      <c r="AQ327" t="s">
        <v>74</v>
      </c>
      <c r="AR327" t="s">
        <v>6747</v>
      </c>
      <c r="AS327" t="s">
        <v>6748</v>
      </c>
      <c r="AT327" t="s">
        <v>430</v>
      </c>
      <c r="AU327">
        <v>2021</v>
      </c>
      <c r="AV327">
        <v>28</v>
      </c>
      <c r="AW327">
        <v>4</v>
      </c>
      <c r="AX327" t="s">
        <v>74</v>
      </c>
      <c r="AY327" t="s">
        <v>74</v>
      </c>
      <c r="AZ327" t="s">
        <v>74</v>
      </c>
      <c r="BA327" t="s">
        <v>74</v>
      </c>
      <c r="BB327" t="s">
        <v>74</v>
      </c>
      <c r="BC327" t="s">
        <v>74</v>
      </c>
      <c r="BD327" t="s">
        <v>6749</v>
      </c>
      <c r="BE327" t="s">
        <v>6750</v>
      </c>
      <c r="BF327" t="str">
        <f>HYPERLINK("http://dx.doi.org/10.1002/met.2011","http://dx.doi.org/10.1002/met.2011")</f>
        <v>http://dx.doi.org/10.1002/met.2011</v>
      </c>
      <c r="BG327" t="s">
        <v>74</v>
      </c>
      <c r="BH327" t="s">
        <v>74</v>
      </c>
      <c r="BI327">
        <v>18</v>
      </c>
      <c r="BJ327" t="s">
        <v>567</v>
      </c>
      <c r="BK327" t="s">
        <v>128</v>
      </c>
      <c r="BL327" t="s">
        <v>567</v>
      </c>
      <c r="BM327" t="s">
        <v>6751</v>
      </c>
      <c r="BN327" t="s">
        <v>74</v>
      </c>
      <c r="BO327" t="s">
        <v>1377</v>
      </c>
      <c r="BP327" t="s">
        <v>74</v>
      </c>
      <c r="BQ327" t="s">
        <v>74</v>
      </c>
      <c r="BR327" t="s">
        <v>102</v>
      </c>
      <c r="BS327" t="s">
        <v>6752</v>
      </c>
      <c r="BT327" t="str">
        <f>HYPERLINK("https%3A%2F%2Fwww.webofscience.com%2Fwos%2Fwoscc%2Ffull-record%2FWOS:000690794400002","View Full Record in Web of Science")</f>
        <v>View Full Record in Web of Science</v>
      </c>
    </row>
    <row r="328" spans="1:72" x14ac:dyDescent="0.15">
      <c r="A328" t="s">
        <v>72</v>
      </c>
      <c r="B328" t="s">
        <v>6753</v>
      </c>
      <c r="C328" t="s">
        <v>74</v>
      </c>
      <c r="D328" t="s">
        <v>74</v>
      </c>
      <c r="E328" t="s">
        <v>74</v>
      </c>
      <c r="F328" t="s">
        <v>6754</v>
      </c>
      <c r="G328" t="s">
        <v>74</v>
      </c>
      <c r="H328" t="s">
        <v>74</v>
      </c>
      <c r="I328" t="s">
        <v>6755</v>
      </c>
      <c r="J328" t="s">
        <v>6373</v>
      </c>
      <c r="K328" t="s">
        <v>74</v>
      </c>
      <c r="L328" t="s">
        <v>74</v>
      </c>
      <c r="M328" t="s">
        <v>78</v>
      </c>
      <c r="N328" t="s">
        <v>79</v>
      </c>
      <c r="O328" t="s">
        <v>74</v>
      </c>
      <c r="P328" t="s">
        <v>74</v>
      </c>
      <c r="Q328" t="s">
        <v>74</v>
      </c>
      <c r="R328" t="s">
        <v>74</v>
      </c>
      <c r="S328" t="s">
        <v>74</v>
      </c>
      <c r="T328" t="s">
        <v>6756</v>
      </c>
      <c r="U328" t="s">
        <v>6757</v>
      </c>
      <c r="V328" t="s">
        <v>6758</v>
      </c>
      <c r="W328" t="s">
        <v>6759</v>
      </c>
      <c r="X328" t="s">
        <v>6563</v>
      </c>
      <c r="Y328" t="s">
        <v>6760</v>
      </c>
      <c r="Z328" t="s">
        <v>6761</v>
      </c>
      <c r="AA328" t="s">
        <v>74</v>
      </c>
      <c r="AB328" t="s">
        <v>6762</v>
      </c>
      <c r="AC328" t="s">
        <v>6763</v>
      </c>
      <c r="AD328" t="s">
        <v>6764</v>
      </c>
      <c r="AE328" t="s">
        <v>6765</v>
      </c>
      <c r="AF328" t="s">
        <v>74</v>
      </c>
      <c r="AG328">
        <v>50</v>
      </c>
      <c r="AH328">
        <v>1</v>
      </c>
      <c r="AI328">
        <v>1</v>
      </c>
      <c r="AJ328">
        <v>0</v>
      </c>
      <c r="AK328">
        <v>9</v>
      </c>
      <c r="AL328" t="s">
        <v>1101</v>
      </c>
      <c r="AM328" t="s">
        <v>1102</v>
      </c>
      <c r="AN328" t="s">
        <v>1103</v>
      </c>
      <c r="AO328" t="s">
        <v>6384</v>
      </c>
      <c r="AP328" t="s">
        <v>74</v>
      </c>
      <c r="AQ328" t="s">
        <v>74</v>
      </c>
      <c r="AR328" t="s">
        <v>6385</v>
      </c>
      <c r="AS328" t="s">
        <v>6386</v>
      </c>
      <c r="AT328" t="s">
        <v>430</v>
      </c>
      <c r="AU328">
        <v>2021</v>
      </c>
      <c r="AV328">
        <v>11</v>
      </c>
      <c r="AW328">
        <v>7</v>
      </c>
      <c r="AX328" t="s">
        <v>74</v>
      </c>
      <c r="AY328" t="s">
        <v>74</v>
      </c>
      <c r="AZ328" t="s">
        <v>74</v>
      </c>
      <c r="BA328" t="s">
        <v>74</v>
      </c>
      <c r="BB328" t="s">
        <v>74</v>
      </c>
      <c r="BC328" t="s">
        <v>74</v>
      </c>
      <c r="BD328">
        <v>2046</v>
      </c>
      <c r="BE328" t="s">
        <v>6766</v>
      </c>
      <c r="BF328" t="str">
        <f>HYPERLINK("http://dx.doi.org/10.3390/ani11072046","http://dx.doi.org/10.3390/ani11072046")</f>
        <v>http://dx.doi.org/10.3390/ani11072046</v>
      </c>
      <c r="BG328" t="s">
        <v>74</v>
      </c>
      <c r="BH328" t="s">
        <v>74</v>
      </c>
      <c r="BI328">
        <v>14</v>
      </c>
      <c r="BJ328" t="s">
        <v>6388</v>
      </c>
      <c r="BK328" t="s">
        <v>128</v>
      </c>
      <c r="BL328" t="s">
        <v>6389</v>
      </c>
      <c r="BM328" t="s">
        <v>6767</v>
      </c>
      <c r="BN328">
        <v>34359174</v>
      </c>
      <c r="BO328" t="s">
        <v>1377</v>
      </c>
      <c r="BP328" t="s">
        <v>74</v>
      </c>
      <c r="BQ328" t="s">
        <v>74</v>
      </c>
      <c r="BR328" t="s">
        <v>102</v>
      </c>
      <c r="BS328" t="s">
        <v>6768</v>
      </c>
      <c r="BT328" t="str">
        <f>HYPERLINK("https%3A%2F%2Fwww.webofscience.com%2Fwos%2Fwoscc%2Ffull-record%2FWOS:000686143400001","View Full Record in Web of Science")</f>
        <v>View Full Record in Web of Science</v>
      </c>
    </row>
    <row r="329" spans="1:72" x14ac:dyDescent="0.15">
      <c r="A329" t="s">
        <v>72</v>
      </c>
      <c r="B329" t="s">
        <v>6769</v>
      </c>
      <c r="C329" t="s">
        <v>74</v>
      </c>
      <c r="D329" t="s">
        <v>74</v>
      </c>
      <c r="E329" t="s">
        <v>74</v>
      </c>
      <c r="F329" t="s">
        <v>6770</v>
      </c>
      <c r="G329" t="s">
        <v>74</v>
      </c>
      <c r="H329" t="s">
        <v>74</v>
      </c>
      <c r="I329" t="s">
        <v>6771</v>
      </c>
      <c r="J329" t="s">
        <v>6772</v>
      </c>
      <c r="K329" t="s">
        <v>74</v>
      </c>
      <c r="L329" t="s">
        <v>74</v>
      </c>
      <c r="M329" t="s">
        <v>78</v>
      </c>
      <c r="N329" t="s">
        <v>52</v>
      </c>
      <c r="O329" t="s">
        <v>74</v>
      </c>
      <c r="P329" t="s">
        <v>74</v>
      </c>
      <c r="Q329" t="s">
        <v>74</v>
      </c>
      <c r="R329" t="s">
        <v>74</v>
      </c>
      <c r="S329" t="s">
        <v>74</v>
      </c>
      <c r="T329" t="s">
        <v>6773</v>
      </c>
      <c r="U329" t="s">
        <v>74</v>
      </c>
      <c r="V329" t="s">
        <v>74</v>
      </c>
      <c r="W329" t="s">
        <v>6774</v>
      </c>
      <c r="X329" t="s">
        <v>6775</v>
      </c>
      <c r="Y329" t="s">
        <v>74</v>
      </c>
      <c r="Z329" t="s">
        <v>6776</v>
      </c>
      <c r="AA329" t="s">
        <v>6777</v>
      </c>
      <c r="AB329" t="s">
        <v>6778</v>
      </c>
      <c r="AC329" t="s">
        <v>74</v>
      </c>
      <c r="AD329" t="s">
        <v>74</v>
      </c>
      <c r="AE329" t="s">
        <v>74</v>
      </c>
      <c r="AF329" t="s">
        <v>74</v>
      </c>
      <c r="AG329">
        <v>0</v>
      </c>
      <c r="AH329">
        <v>0</v>
      </c>
      <c r="AI329">
        <v>0</v>
      </c>
      <c r="AJ329">
        <v>0</v>
      </c>
      <c r="AK329">
        <v>0</v>
      </c>
      <c r="AL329" t="s">
        <v>3135</v>
      </c>
      <c r="AM329" t="s">
        <v>3136</v>
      </c>
      <c r="AN329" t="s">
        <v>3137</v>
      </c>
      <c r="AO329" t="s">
        <v>6779</v>
      </c>
      <c r="AP329" t="s">
        <v>6780</v>
      </c>
      <c r="AQ329" t="s">
        <v>74</v>
      </c>
      <c r="AR329" t="s">
        <v>6772</v>
      </c>
      <c r="AS329" t="s">
        <v>6781</v>
      </c>
      <c r="AT329" t="s">
        <v>6527</v>
      </c>
      <c r="AU329">
        <v>2021</v>
      </c>
      <c r="AV329">
        <v>60</v>
      </c>
      <c r="AW329" t="s">
        <v>74</v>
      </c>
      <c r="AX329" t="s">
        <v>74</v>
      </c>
      <c r="AY329">
        <v>1</v>
      </c>
      <c r="AZ329" t="s">
        <v>431</v>
      </c>
      <c r="BA329" t="s">
        <v>74</v>
      </c>
      <c r="BB329">
        <v>23</v>
      </c>
      <c r="BC329">
        <v>23</v>
      </c>
      <c r="BD329" t="s">
        <v>74</v>
      </c>
      <c r="BE329" t="s">
        <v>74</v>
      </c>
      <c r="BF329" t="s">
        <v>74</v>
      </c>
      <c r="BG329" t="s">
        <v>74</v>
      </c>
      <c r="BH329" t="s">
        <v>74</v>
      </c>
      <c r="BI329">
        <v>1</v>
      </c>
      <c r="BJ329" t="s">
        <v>3393</v>
      </c>
      <c r="BK329" t="s">
        <v>128</v>
      </c>
      <c r="BL329" t="s">
        <v>3393</v>
      </c>
      <c r="BM329" t="s">
        <v>6782</v>
      </c>
      <c r="BN329" t="s">
        <v>74</v>
      </c>
      <c r="BO329" t="s">
        <v>74</v>
      </c>
      <c r="BP329" t="s">
        <v>74</v>
      </c>
      <c r="BQ329" t="s">
        <v>74</v>
      </c>
      <c r="BR329" t="s">
        <v>102</v>
      </c>
      <c r="BS329" t="s">
        <v>6783</v>
      </c>
      <c r="BT329" t="str">
        <f>HYPERLINK("https%3A%2F%2Fwww.webofscience.com%2Fwos%2Fwoscc%2Ffull-record%2FWOS:000682342700053","View Full Record in Web of Science")</f>
        <v>View Full Record in Web of Science</v>
      </c>
    </row>
    <row r="330" spans="1:72" x14ac:dyDescent="0.15">
      <c r="A330" t="s">
        <v>72</v>
      </c>
      <c r="B330" t="s">
        <v>6784</v>
      </c>
      <c r="C330" t="s">
        <v>74</v>
      </c>
      <c r="D330" t="s">
        <v>74</v>
      </c>
      <c r="E330" t="s">
        <v>74</v>
      </c>
      <c r="F330" t="s">
        <v>6785</v>
      </c>
      <c r="G330" t="s">
        <v>74</v>
      </c>
      <c r="H330" t="s">
        <v>74</v>
      </c>
      <c r="I330" t="s">
        <v>6786</v>
      </c>
      <c r="J330" t="s">
        <v>6772</v>
      </c>
      <c r="K330" t="s">
        <v>74</v>
      </c>
      <c r="L330" t="s">
        <v>74</v>
      </c>
      <c r="M330" t="s">
        <v>78</v>
      </c>
      <c r="N330" t="s">
        <v>52</v>
      </c>
      <c r="O330" t="s">
        <v>74</v>
      </c>
      <c r="P330" t="s">
        <v>74</v>
      </c>
      <c r="Q330" t="s">
        <v>74</v>
      </c>
      <c r="R330" t="s">
        <v>74</v>
      </c>
      <c r="S330" t="s">
        <v>74</v>
      </c>
      <c r="T330" t="s">
        <v>6787</v>
      </c>
      <c r="U330" t="s">
        <v>74</v>
      </c>
      <c r="V330" t="s">
        <v>74</v>
      </c>
      <c r="W330" t="s">
        <v>6788</v>
      </c>
      <c r="X330" t="s">
        <v>6789</v>
      </c>
      <c r="Y330" t="s">
        <v>74</v>
      </c>
      <c r="Z330" t="s">
        <v>6790</v>
      </c>
      <c r="AA330" t="s">
        <v>74</v>
      </c>
      <c r="AB330" t="s">
        <v>74</v>
      </c>
      <c r="AC330" t="s">
        <v>74</v>
      </c>
      <c r="AD330" t="s">
        <v>74</v>
      </c>
      <c r="AE330" t="s">
        <v>74</v>
      </c>
      <c r="AF330" t="s">
        <v>74</v>
      </c>
      <c r="AG330">
        <v>0</v>
      </c>
      <c r="AH330">
        <v>0</v>
      </c>
      <c r="AI330">
        <v>0</v>
      </c>
      <c r="AJ330">
        <v>0</v>
      </c>
      <c r="AK330">
        <v>1</v>
      </c>
      <c r="AL330" t="s">
        <v>3135</v>
      </c>
      <c r="AM330" t="s">
        <v>3136</v>
      </c>
      <c r="AN330" t="s">
        <v>3137</v>
      </c>
      <c r="AO330" t="s">
        <v>6779</v>
      </c>
      <c r="AP330" t="s">
        <v>6780</v>
      </c>
      <c r="AQ330" t="s">
        <v>74</v>
      </c>
      <c r="AR330" t="s">
        <v>6772</v>
      </c>
      <c r="AS330" t="s">
        <v>6781</v>
      </c>
      <c r="AT330" t="s">
        <v>6527</v>
      </c>
      <c r="AU330">
        <v>2021</v>
      </c>
      <c r="AV330">
        <v>60</v>
      </c>
      <c r="AW330" t="s">
        <v>74</v>
      </c>
      <c r="AX330" t="s">
        <v>74</v>
      </c>
      <c r="AY330">
        <v>1</v>
      </c>
      <c r="AZ330" t="s">
        <v>431</v>
      </c>
      <c r="BA330" t="s">
        <v>74</v>
      </c>
      <c r="BB330">
        <v>25</v>
      </c>
      <c r="BC330">
        <v>25</v>
      </c>
      <c r="BD330" t="s">
        <v>74</v>
      </c>
      <c r="BE330" t="s">
        <v>74</v>
      </c>
      <c r="BF330" t="s">
        <v>74</v>
      </c>
      <c r="BG330" t="s">
        <v>74</v>
      </c>
      <c r="BH330" t="s">
        <v>74</v>
      </c>
      <c r="BI330">
        <v>1</v>
      </c>
      <c r="BJ330" t="s">
        <v>3393</v>
      </c>
      <c r="BK330" t="s">
        <v>128</v>
      </c>
      <c r="BL330" t="s">
        <v>3393</v>
      </c>
      <c r="BM330" t="s">
        <v>6782</v>
      </c>
      <c r="BN330" t="s">
        <v>74</v>
      </c>
      <c r="BO330" t="s">
        <v>74</v>
      </c>
      <c r="BP330" t="s">
        <v>74</v>
      </c>
      <c r="BQ330" t="s">
        <v>74</v>
      </c>
      <c r="BR330" t="s">
        <v>102</v>
      </c>
      <c r="BS330" t="s">
        <v>6791</v>
      </c>
      <c r="BT330" t="str">
        <f>HYPERLINK("https%3A%2F%2Fwww.webofscience.com%2Fwos%2Fwoscc%2Ffull-record%2FWOS:000682342700057","View Full Record in Web of Science")</f>
        <v>View Full Record in Web of Science</v>
      </c>
    </row>
    <row r="331" spans="1:72" x14ac:dyDescent="0.15">
      <c r="A331" t="s">
        <v>72</v>
      </c>
      <c r="B331" t="s">
        <v>6792</v>
      </c>
      <c r="C331" t="s">
        <v>74</v>
      </c>
      <c r="D331" t="s">
        <v>74</v>
      </c>
      <c r="E331" t="s">
        <v>74</v>
      </c>
      <c r="F331" t="s">
        <v>6793</v>
      </c>
      <c r="G331" t="s">
        <v>74</v>
      </c>
      <c r="H331" t="s">
        <v>74</v>
      </c>
      <c r="I331" t="s">
        <v>6794</v>
      </c>
      <c r="J331" t="s">
        <v>6772</v>
      </c>
      <c r="K331" t="s">
        <v>74</v>
      </c>
      <c r="L331" t="s">
        <v>74</v>
      </c>
      <c r="M331" t="s">
        <v>78</v>
      </c>
      <c r="N331" t="s">
        <v>52</v>
      </c>
      <c r="O331" t="s">
        <v>74</v>
      </c>
      <c r="P331" t="s">
        <v>74</v>
      </c>
      <c r="Q331" t="s">
        <v>74</v>
      </c>
      <c r="R331" t="s">
        <v>74</v>
      </c>
      <c r="S331" t="s">
        <v>74</v>
      </c>
      <c r="T331" t="s">
        <v>6795</v>
      </c>
      <c r="U331" t="s">
        <v>74</v>
      </c>
      <c r="V331" t="s">
        <v>74</v>
      </c>
      <c r="W331" t="s">
        <v>6796</v>
      </c>
      <c r="X331" t="s">
        <v>6797</v>
      </c>
      <c r="Y331" t="s">
        <v>74</v>
      </c>
      <c r="Z331" t="s">
        <v>6798</v>
      </c>
      <c r="AA331" t="s">
        <v>74</v>
      </c>
      <c r="AB331" t="s">
        <v>74</v>
      </c>
      <c r="AC331" t="s">
        <v>6799</v>
      </c>
      <c r="AD331" t="s">
        <v>74</v>
      </c>
      <c r="AE331" t="s">
        <v>6800</v>
      </c>
      <c r="AF331" t="s">
        <v>74</v>
      </c>
      <c r="AG331">
        <v>0</v>
      </c>
      <c r="AH331">
        <v>0</v>
      </c>
      <c r="AI331">
        <v>0</v>
      </c>
      <c r="AJ331">
        <v>0</v>
      </c>
      <c r="AK331">
        <v>1</v>
      </c>
      <c r="AL331" t="s">
        <v>3135</v>
      </c>
      <c r="AM331" t="s">
        <v>3136</v>
      </c>
      <c r="AN331" t="s">
        <v>3137</v>
      </c>
      <c r="AO331" t="s">
        <v>6779</v>
      </c>
      <c r="AP331" t="s">
        <v>6780</v>
      </c>
      <c r="AQ331" t="s">
        <v>74</v>
      </c>
      <c r="AR331" t="s">
        <v>6772</v>
      </c>
      <c r="AS331" t="s">
        <v>6781</v>
      </c>
      <c r="AT331" t="s">
        <v>6527</v>
      </c>
      <c r="AU331">
        <v>2021</v>
      </c>
      <c r="AV331">
        <v>60</v>
      </c>
      <c r="AW331" t="s">
        <v>74</v>
      </c>
      <c r="AX331" t="s">
        <v>74</v>
      </c>
      <c r="AY331">
        <v>1</v>
      </c>
      <c r="AZ331" t="s">
        <v>431</v>
      </c>
      <c r="BA331" t="s">
        <v>74</v>
      </c>
      <c r="BB331">
        <v>26</v>
      </c>
      <c r="BC331">
        <v>26</v>
      </c>
      <c r="BD331" t="s">
        <v>74</v>
      </c>
      <c r="BE331" t="s">
        <v>74</v>
      </c>
      <c r="BF331" t="s">
        <v>74</v>
      </c>
      <c r="BG331" t="s">
        <v>74</v>
      </c>
      <c r="BH331" t="s">
        <v>74</v>
      </c>
      <c r="BI331">
        <v>1</v>
      </c>
      <c r="BJ331" t="s">
        <v>3393</v>
      </c>
      <c r="BK331" t="s">
        <v>128</v>
      </c>
      <c r="BL331" t="s">
        <v>3393</v>
      </c>
      <c r="BM331" t="s">
        <v>6782</v>
      </c>
      <c r="BN331" t="s">
        <v>74</v>
      </c>
      <c r="BO331" t="s">
        <v>74</v>
      </c>
      <c r="BP331" t="s">
        <v>74</v>
      </c>
      <c r="BQ331" t="s">
        <v>74</v>
      </c>
      <c r="BR331" t="s">
        <v>102</v>
      </c>
      <c r="BS331" t="s">
        <v>6801</v>
      </c>
      <c r="BT331" t="str">
        <f>HYPERLINK("https%3A%2F%2Fwww.webofscience.com%2Fwos%2Fwoscc%2Ffull-record%2FWOS:000682342700060","View Full Record in Web of Science")</f>
        <v>View Full Record in Web of Science</v>
      </c>
    </row>
    <row r="332" spans="1:72" x14ac:dyDescent="0.15">
      <c r="A332" t="s">
        <v>72</v>
      </c>
      <c r="B332" t="s">
        <v>6802</v>
      </c>
      <c r="C332" t="s">
        <v>74</v>
      </c>
      <c r="D332" t="s">
        <v>74</v>
      </c>
      <c r="E332" t="s">
        <v>74</v>
      </c>
      <c r="F332" t="s">
        <v>6803</v>
      </c>
      <c r="G332" t="s">
        <v>74</v>
      </c>
      <c r="H332" t="s">
        <v>74</v>
      </c>
      <c r="I332" t="s">
        <v>6804</v>
      </c>
      <c r="J332" t="s">
        <v>6772</v>
      </c>
      <c r="K332" t="s">
        <v>74</v>
      </c>
      <c r="L332" t="s">
        <v>74</v>
      </c>
      <c r="M332" t="s">
        <v>78</v>
      </c>
      <c r="N332" t="s">
        <v>52</v>
      </c>
      <c r="O332" t="s">
        <v>74</v>
      </c>
      <c r="P332" t="s">
        <v>74</v>
      </c>
      <c r="Q332" t="s">
        <v>74</v>
      </c>
      <c r="R332" t="s">
        <v>74</v>
      </c>
      <c r="S332" t="s">
        <v>74</v>
      </c>
      <c r="T332" t="s">
        <v>6805</v>
      </c>
      <c r="U332" t="s">
        <v>74</v>
      </c>
      <c r="V332" t="s">
        <v>74</v>
      </c>
      <c r="W332" t="s">
        <v>6806</v>
      </c>
      <c r="X332" t="s">
        <v>6807</v>
      </c>
      <c r="Y332" t="s">
        <v>74</v>
      </c>
      <c r="Z332" t="s">
        <v>6808</v>
      </c>
      <c r="AA332" t="s">
        <v>6809</v>
      </c>
      <c r="AB332" t="s">
        <v>74</v>
      </c>
      <c r="AC332" t="s">
        <v>6810</v>
      </c>
      <c r="AD332" t="s">
        <v>6811</v>
      </c>
      <c r="AE332" t="s">
        <v>6812</v>
      </c>
      <c r="AF332" t="s">
        <v>74</v>
      </c>
      <c r="AG332">
        <v>0</v>
      </c>
      <c r="AH332">
        <v>0</v>
      </c>
      <c r="AI332">
        <v>0</v>
      </c>
      <c r="AJ332">
        <v>0</v>
      </c>
      <c r="AK332">
        <v>0</v>
      </c>
      <c r="AL332" t="s">
        <v>3135</v>
      </c>
      <c r="AM332" t="s">
        <v>3136</v>
      </c>
      <c r="AN332" t="s">
        <v>3137</v>
      </c>
      <c r="AO332" t="s">
        <v>6779</v>
      </c>
      <c r="AP332" t="s">
        <v>6780</v>
      </c>
      <c r="AQ332" t="s">
        <v>74</v>
      </c>
      <c r="AR332" t="s">
        <v>6772</v>
      </c>
      <c r="AS332" t="s">
        <v>6781</v>
      </c>
      <c r="AT332" t="s">
        <v>6527</v>
      </c>
      <c r="AU332">
        <v>2021</v>
      </c>
      <c r="AV332">
        <v>60</v>
      </c>
      <c r="AW332" t="s">
        <v>74</v>
      </c>
      <c r="AX332" t="s">
        <v>74</v>
      </c>
      <c r="AY332">
        <v>1</v>
      </c>
      <c r="AZ332" t="s">
        <v>431</v>
      </c>
      <c r="BA332" t="s">
        <v>74</v>
      </c>
      <c r="BB332">
        <v>26</v>
      </c>
      <c r="BC332">
        <v>26</v>
      </c>
      <c r="BD332" t="s">
        <v>74</v>
      </c>
      <c r="BE332" t="s">
        <v>74</v>
      </c>
      <c r="BF332" t="s">
        <v>74</v>
      </c>
      <c r="BG332" t="s">
        <v>74</v>
      </c>
      <c r="BH332" t="s">
        <v>74</v>
      </c>
      <c r="BI332">
        <v>1</v>
      </c>
      <c r="BJ332" t="s">
        <v>3393</v>
      </c>
      <c r="BK332" t="s">
        <v>128</v>
      </c>
      <c r="BL332" t="s">
        <v>3393</v>
      </c>
      <c r="BM332" t="s">
        <v>6782</v>
      </c>
      <c r="BN332" t="s">
        <v>74</v>
      </c>
      <c r="BO332" t="s">
        <v>74</v>
      </c>
      <c r="BP332" t="s">
        <v>74</v>
      </c>
      <c r="BQ332" t="s">
        <v>74</v>
      </c>
      <c r="BR332" t="s">
        <v>102</v>
      </c>
      <c r="BS332" t="s">
        <v>6813</v>
      </c>
      <c r="BT332" t="str">
        <f>HYPERLINK("https%3A%2F%2Fwww.webofscience.com%2Fwos%2Fwoscc%2Ffull-record%2FWOS:000682342700059","View Full Record in Web of Science")</f>
        <v>View Full Record in Web of Science</v>
      </c>
    </row>
    <row r="333" spans="1:72" x14ac:dyDescent="0.15">
      <c r="A333" t="s">
        <v>72</v>
      </c>
      <c r="B333" t="s">
        <v>6814</v>
      </c>
      <c r="C333" t="s">
        <v>74</v>
      </c>
      <c r="D333" t="s">
        <v>74</v>
      </c>
      <c r="E333" t="s">
        <v>74</v>
      </c>
      <c r="F333" t="s">
        <v>6815</v>
      </c>
      <c r="G333" t="s">
        <v>74</v>
      </c>
      <c r="H333" t="s">
        <v>74</v>
      </c>
      <c r="I333" t="s">
        <v>6816</v>
      </c>
      <c r="J333" t="s">
        <v>6772</v>
      </c>
      <c r="K333" t="s">
        <v>74</v>
      </c>
      <c r="L333" t="s">
        <v>74</v>
      </c>
      <c r="M333" t="s">
        <v>78</v>
      </c>
      <c r="N333" t="s">
        <v>52</v>
      </c>
      <c r="O333" t="s">
        <v>74</v>
      </c>
      <c r="P333" t="s">
        <v>74</v>
      </c>
      <c r="Q333" t="s">
        <v>74</v>
      </c>
      <c r="R333" t="s">
        <v>74</v>
      </c>
      <c r="S333" t="s">
        <v>74</v>
      </c>
      <c r="T333" t="s">
        <v>6817</v>
      </c>
      <c r="U333" t="s">
        <v>74</v>
      </c>
      <c r="V333" t="s">
        <v>74</v>
      </c>
      <c r="W333" t="s">
        <v>6818</v>
      </c>
      <c r="X333" t="s">
        <v>6819</v>
      </c>
      <c r="Y333" t="s">
        <v>74</v>
      </c>
      <c r="Z333" t="s">
        <v>6820</v>
      </c>
      <c r="AA333" t="s">
        <v>6821</v>
      </c>
      <c r="AB333" t="s">
        <v>6822</v>
      </c>
      <c r="AC333" t="s">
        <v>74</v>
      </c>
      <c r="AD333" t="s">
        <v>74</v>
      </c>
      <c r="AE333" t="s">
        <v>74</v>
      </c>
      <c r="AF333" t="s">
        <v>74</v>
      </c>
      <c r="AG333">
        <v>0</v>
      </c>
      <c r="AH333">
        <v>0</v>
      </c>
      <c r="AI333">
        <v>0</v>
      </c>
      <c r="AJ333">
        <v>0</v>
      </c>
      <c r="AK333">
        <v>4</v>
      </c>
      <c r="AL333" t="s">
        <v>3135</v>
      </c>
      <c r="AM333" t="s">
        <v>3136</v>
      </c>
      <c r="AN333" t="s">
        <v>3137</v>
      </c>
      <c r="AO333" t="s">
        <v>6779</v>
      </c>
      <c r="AP333" t="s">
        <v>6780</v>
      </c>
      <c r="AQ333" t="s">
        <v>74</v>
      </c>
      <c r="AR333" t="s">
        <v>6772</v>
      </c>
      <c r="AS333" t="s">
        <v>6781</v>
      </c>
      <c r="AT333" t="s">
        <v>6527</v>
      </c>
      <c r="AU333">
        <v>2021</v>
      </c>
      <c r="AV333">
        <v>60</v>
      </c>
      <c r="AW333" t="s">
        <v>74</v>
      </c>
      <c r="AX333" t="s">
        <v>74</v>
      </c>
      <c r="AY333">
        <v>1</v>
      </c>
      <c r="AZ333" t="s">
        <v>431</v>
      </c>
      <c r="BA333" t="s">
        <v>74</v>
      </c>
      <c r="BB333">
        <v>57</v>
      </c>
      <c r="BC333">
        <v>57</v>
      </c>
      <c r="BD333" t="s">
        <v>74</v>
      </c>
      <c r="BE333" t="s">
        <v>74</v>
      </c>
      <c r="BF333" t="s">
        <v>74</v>
      </c>
      <c r="BG333" t="s">
        <v>74</v>
      </c>
      <c r="BH333" t="s">
        <v>74</v>
      </c>
      <c r="BI333">
        <v>1</v>
      </c>
      <c r="BJ333" t="s">
        <v>3393</v>
      </c>
      <c r="BK333" t="s">
        <v>128</v>
      </c>
      <c r="BL333" t="s">
        <v>3393</v>
      </c>
      <c r="BM333" t="s">
        <v>6782</v>
      </c>
      <c r="BN333" t="s">
        <v>74</v>
      </c>
      <c r="BO333" t="s">
        <v>74</v>
      </c>
      <c r="BP333" t="s">
        <v>74</v>
      </c>
      <c r="BQ333" t="s">
        <v>74</v>
      </c>
      <c r="BR333" t="s">
        <v>102</v>
      </c>
      <c r="BS333" t="s">
        <v>6823</v>
      </c>
      <c r="BT333" t="str">
        <f>HYPERLINK("https%3A%2F%2Fwww.webofscience.com%2Fwos%2Fwoscc%2Ffull-record%2FWOS:000682342700140","View Full Record in Web of Science")</f>
        <v>View Full Record in Web of Science</v>
      </c>
    </row>
    <row r="334" spans="1:72" x14ac:dyDescent="0.15">
      <c r="A334" t="s">
        <v>72</v>
      </c>
      <c r="B334" t="s">
        <v>6824</v>
      </c>
      <c r="C334" t="s">
        <v>74</v>
      </c>
      <c r="D334" t="s">
        <v>74</v>
      </c>
      <c r="E334" t="s">
        <v>74</v>
      </c>
      <c r="F334" t="s">
        <v>6825</v>
      </c>
      <c r="G334" t="s">
        <v>74</v>
      </c>
      <c r="H334" t="s">
        <v>74</v>
      </c>
      <c r="I334" t="s">
        <v>6826</v>
      </c>
      <c r="J334" t="s">
        <v>6772</v>
      </c>
      <c r="K334" t="s">
        <v>74</v>
      </c>
      <c r="L334" t="s">
        <v>74</v>
      </c>
      <c r="M334" t="s">
        <v>78</v>
      </c>
      <c r="N334" t="s">
        <v>52</v>
      </c>
      <c r="O334" t="s">
        <v>74</v>
      </c>
      <c r="P334" t="s">
        <v>74</v>
      </c>
      <c r="Q334" t="s">
        <v>74</v>
      </c>
      <c r="R334" t="s">
        <v>74</v>
      </c>
      <c r="S334" t="s">
        <v>74</v>
      </c>
      <c r="T334" t="s">
        <v>6827</v>
      </c>
      <c r="U334" t="s">
        <v>74</v>
      </c>
      <c r="V334" t="s">
        <v>74</v>
      </c>
      <c r="W334" t="s">
        <v>6828</v>
      </c>
      <c r="X334" t="s">
        <v>6829</v>
      </c>
      <c r="Y334" t="s">
        <v>74</v>
      </c>
      <c r="Z334" t="s">
        <v>6830</v>
      </c>
      <c r="AA334" t="s">
        <v>6831</v>
      </c>
      <c r="AB334" t="s">
        <v>6832</v>
      </c>
      <c r="AC334" t="s">
        <v>6833</v>
      </c>
      <c r="AD334" t="s">
        <v>6834</v>
      </c>
      <c r="AE334" t="s">
        <v>6835</v>
      </c>
      <c r="AF334" t="s">
        <v>74</v>
      </c>
      <c r="AG334">
        <v>0</v>
      </c>
      <c r="AH334">
        <v>0</v>
      </c>
      <c r="AI334">
        <v>0</v>
      </c>
      <c r="AJ334">
        <v>0</v>
      </c>
      <c r="AK334">
        <v>4</v>
      </c>
      <c r="AL334" t="s">
        <v>3135</v>
      </c>
      <c r="AM334" t="s">
        <v>3136</v>
      </c>
      <c r="AN334" t="s">
        <v>3137</v>
      </c>
      <c r="AO334" t="s">
        <v>6779</v>
      </c>
      <c r="AP334" t="s">
        <v>6780</v>
      </c>
      <c r="AQ334" t="s">
        <v>74</v>
      </c>
      <c r="AR334" t="s">
        <v>6772</v>
      </c>
      <c r="AS334" t="s">
        <v>6781</v>
      </c>
      <c r="AT334" t="s">
        <v>6527</v>
      </c>
      <c r="AU334">
        <v>2021</v>
      </c>
      <c r="AV334">
        <v>60</v>
      </c>
      <c r="AW334" t="s">
        <v>74</v>
      </c>
      <c r="AX334" t="s">
        <v>74</v>
      </c>
      <c r="AY334">
        <v>1</v>
      </c>
      <c r="AZ334" t="s">
        <v>431</v>
      </c>
      <c r="BA334" t="s">
        <v>74</v>
      </c>
      <c r="BB334">
        <v>63</v>
      </c>
      <c r="BC334">
        <v>63</v>
      </c>
      <c r="BD334" t="s">
        <v>74</v>
      </c>
      <c r="BE334" t="s">
        <v>74</v>
      </c>
      <c r="BF334" t="s">
        <v>74</v>
      </c>
      <c r="BG334" t="s">
        <v>74</v>
      </c>
      <c r="BH334" t="s">
        <v>74</v>
      </c>
      <c r="BI334">
        <v>1</v>
      </c>
      <c r="BJ334" t="s">
        <v>3393</v>
      </c>
      <c r="BK334" t="s">
        <v>128</v>
      </c>
      <c r="BL334" t="s">
        <v>3393</v>
      </c>
      <c r="BM334" t="s">
        <v>6782</v>
      </c>
      <c r="BN334" t="s">
        <v>74</v>
      </c>
      <c r="BO334" t="s">
        <v>74</v>
      </c>
      <c r="BP334" t="s">
        <v>74</v>
      </c>
      <c r="BQ334" t="s">
        <v>74</v>
      </c>
      <c r="BR334" t="s">
        <v>102</v>
      </c>
      <c r="BS334" t="s">
        <v>6836</v>
      </c>
      <c r="BT334" t="str">
        <f>HYPERLINK("https%3A%2F%2Fwww.webofscience.com%2Fwos%2Fwoscc%2Ffull-record%2FWOS:000682342700155","View Full Record in Web of Science")</f>
        <v>View Full Record in Web of Science</v>
      </c>
    </row>
    <row r="335" spans="1:72" x14ac:dyDescent="0.15">
      <c r="A335" t="s">
        <v>72</v>
      </c>
      <c r="B335" t="s">
        <v>6837</v>
      </c>
      <c r="C335" t="s">
        <v>74</v>
      </c>
      <c r="D335" t="s">
        <v>74</v>
      </c>
      <c r="E335" t="s">
        <v>74</v>
      </c>
      <c r="F335" t="s">
        <v>6838</v>
      </c>
      <c r="G335" t="s">
        <v>74</v>
      </c>
      <c r="H335" t="s">
        <v>74</v>
      </c>
      <c r="I335" t="s">
        <v>6839</v>
      </c>
      <c r="J335" t="s">
        <v>6772</v>
      </c>
      <c r="K335" t="s">
        <v>74</v>
      </c>
      <c r="L335" t="s">
        <v>74</v>
      </c>
      <c r="M335" t="s">
        <v>78</v>
      </c>
      <c r="N335" t="s">
        <v>52</v>
      </c>
      <c r="O335" t="s">
        <v>74</v>
      </c>
      <c r="P335" t="s">
        <v>74</v>
      </c>
      <c r="Q335" t="s">
        <v>74</v>
      </c>
      <c r="R335" t="s">
        <v>74</v>
      </c>
      <c r="S335" t="s">
        <v>74</v>
      </c>
      <c r="T335" t="s">
        <v>6840</v>
      </c>
      <c r="U335" t="s">
        <v>74</v>
      </c>
      <c r="V335" t="s">
        <v>74</v>
      </c>
      <c r="W335" t="s">
        <v>6841</v>
      </c>
      <c r="X335" t="s">
        <v>6842</v>
      </c>
      <c r="Y335" t="s">
        <v>74</v>
      </c>
      <c r="Z335" t="s">
        <v>6843</v>
      </c>
      <c r="AA335" t="s">
        <v>6844</v>
      </c>
      <c r="AB335" t="s">
        <v>6845</v>
      </c>
      <c r="AC335" t="s">
        <v>6846</v>
      </c>
      <c r="AD335" t="s">
        <v>6847</v>
      </c>
      <c r="AE335" t="s">
        <v>6848</v>
      </c>
      <c r="AF335" t="s">
        <v>74</v>
      </c>
      <c r="AG335">
        <v>0</v>
      </c>
      <c r="AH335">
        <v>0</v>
      </c>
      <c r="AI335">
        <v>0</v>
      </c>
      <c r="AJ335">
        <v>0</v>
      </c>
      <c r="AK335">
        <v>5</v>
      </c>
      <c r="AL335" t="s">
        <v>3135</v>
      </c>
      <c r="AM335" t="s">
        <v>3136</v>
      </c>
      <c r="AN335" t="s">
        <v>3137</v>
      </c>
      <c r="AO335" t="s">
        <v>6779</v>
      </c>
      <c r="AP335" t="s">
        <v>6780</v>
      </c>
      <c r="AQ335" t="s">
        <v>74</v>
      </c>
      <c r="AR335" t="s">
        <v>6772</v>
      </c>
      <c r="AS335" t="s">
        <v>6781</v>
      </c>
      <c r="AT335" t="s">
        <v>6527</v>
      </c>
      <c r="AU335">
        <v>2021</v>
      </c>
      <c r="AV335">
        <v>60</v>
      </c>
      <c r="AW335" t="s">
        <v>74</v>
      </c>
      <c r="AX335" t="s">
        <v>74</v>
      </c>
      <c r="AY335">
        <v>1</v>
      </c>
      <c r="AZ335" t="s">
        <v>431</v>
      </c>
      <c r="BA335" t="s">
        <v>74</v>
      </c>
      <c r="BB335">
        <v>100</v>
      </c>
      <c r="BC335">
        <v>100</v>
      </c>
      <c r="BD335" t="s">
        <v>74</v>
      </c>
      <c r="BE335" t="s">
        <v>74</v>
      </c>
      <c r="BF335" t="s">
        <v>74</v>
      </c>
      <c r="BG335" t="s">
        <v>74</v>
      </c>
      <c r="BH335" t="s">
        <v>74</v>
      </c>
      <c r="BI335">
        <v>1</v>
      </c>
      <c r="BJ335" t="s">
        <v>3393</v>
      </c>
      <c r="BK335" t="s">
        <v>128</v>
      </c>
      <c r="BL335" t="s">
        <v>3393</v>
      </c>
      <c r="BM335" t="s">
        <v>6782</v>
      </c>
      <c r="BN335" t="s">
        <v>74</v>
      </c>
      <c r="BO335" t="s">
        <v>74</v>
      </c>
      <c r="BP335" t="s">
        <v>74</v>
      </c>
      <c r="BQ335" t="s">
        <v>74</v>
      </c>
      <c r="BR335" t="s">
        <v>102</v>
      </c>
      <c r="BS335" t="s">
        <v>6849</v>
      </c>
      <c r="BT335" t="str">
        <f>HYPERLINK("https%3A%2F%2Fwww.webofscience.com%2Fwos%2Fwoscc%2Ffull-record%2FWOS:000682342700252","View Full Record in Web of Science")</f>
        <v>View Full Record in Web of Science</v>
      </c>
    </row>
    <row r="336" spans="1:72" x14ac:dyDescent="0.15">
      <c r="A336" t="s">
        <v>72</v>
      </c>
      <c r="B336" t="s">
        <v>6850</v>
      </c>
      <c r="C336" t="s">
        <v>74</v>
      </c>
      <c r="D336" t="s">
        <v>74</v>
      </c>
      <c r="E336" t="s">
        <v>74</v>
      </c>
      <c r="F336" t="s">
        <v>6851</v>
      </c>
      <c r="G336" t="s">
        <v>74</v>
      </c>
      <c r="H336" t="s">
        <v>74</v>
      </c>
      <c r="I336" t="s">
        <v>6852</v>
      </c>
      <c r="J336" t="s">
        <v>6772</v>
      </c>
      <c r="K336" t="s">
        <v>74</v>
      </c>
      <c r="L336" t="s">
        <v>74</v>
      </c>
      <c r="M336" t="s">
        <v>78</v>
      </c>
      <c r="N336" t="s">
        <v>52</v>
      </c>
      <c r="O336" t="s">
        <v>74</v>
      </c>
      <c r="P336" t="s">
        <v>74</v>
      </c>
      <c r="Q336" t="s">
        <v>74</v>
      </c>
      <c r="R336" t="s">
        <v>74</v>
      </c>
      <c r="S336" t="s">
        <v>74</v>
      </c>
      <c r="T336" t="s">
        <v>6853</v>
      </c>
      <c r="U336" t="s">
        <v>74</v>
      </c>
      <c r="V336" t="s">
        <v>74</v>
      </c>
      <c r="W336" t="s">
        <v>6854</v>
      </c>
      <c r="X336" t="s">
        <v>6855</v>
      </c>
      <c r="Y336" t="s">
        <v>74</v>
      </c>
      <c r="Z336" t="s">
        <v>6856</v>
      </c>
      <c r="AA336" t="s">
        <v>6857</v>
      </c>
      <c r="AB336" t="s">
        <v>6858</v>
      </c>
      <c r="AC336" t="s">
        <v>74</v>
      </c>
      <c r="AD336" t="s">
        <v>74</v>
      </c>
      <c r="AE336" t="s">
        <v>74</v>
      </c>
      <c r="AF336" t="s">
        <v>74</v>
      </c>
      <c r="AG336">
        <v>0</v>
      </c>
      <c r="AH336">
        <v>0</v>
      </c>
      <c r="AI336">
        <v>0</v>
      </c>
      <c r="AJ336">
        <v>1</v>
      </c>
      <c r="AK336">
        <v>6</v>
      </c>
      <c r="AL336" t="s">
        <v>3135</v>
      </c>
      <c r="AM336" t="s">
        <v>3136</v>
      </c>
      <c r="AN336" t="s">
        <v>3137</v>
      </c>
      <c r="AO336" t="s">
        <v>6779</v>
      </c>
      <c r="AP336" t="s">
        <v>6780</v>
      </c>
      <c r="AQ336" t="s">
        <v>74</v>
      </c>
      <c r="AR336" t="s">
        <v>6772</v>
      </c>
      <c r="AS336" t="s">
        <v>6781</v>
      </c>
      <c r="AT336" t="s">
        <v>6527</v>
      </c>
      <c r="AU336">
        <v>2021</v>
      </c>
      <c r="AV336">
        <v>60</v>
      </c>
      <c r="AW336" t="s">
        <v>74</v>
      </c>
      <c r="AX336" t="s">
        <v>74</v>
      </c>
      <c r="AY336">
        <v>1</v>
      </c>
      <c r="AZ336" t="s">
        <v>431</v>
      </c>
      <c r="BA336" t="s">
        <v>74</v>
      </c>
      <c r="BB336">
        <v>101</v>
      </c>
      <c r="BC336">
        <v>101</v>
      </c>
      <c r="BD336" t="s">
        <v>74</v>
      </c>
      <c r="BE336" t="s">
        <v>74</v>
      </c>
      <c r="BF336" t="s">
        <v>74</v>
      </c>
      <c r="BG336" t="s">
        <v>74</v>
      </c>
      <c r="BH336" t="s">
        <v>74</v>
      </c>
      <c r="BI336">
        <v>1</v>
      </c>
      <c r="BJ336" t="s">
        <v>3393</v>
      </c>
      <c r="BK336" t="s">
        <v>128</v>
      </c>
      <c r="BL336" t="s">
        <v>3393</v>
      </c>
      <c r="BM336" t="s">
        <v>6782</v>
      </c>
      <c r="BN336" t="s">
        <v>74</v>
      </c>
      <c r="BO336" t="s">
        <v>74</v>
      </c>
      <c r="BP336" t="s">
        <v>74</v>
      </c>
      <c r="BQ336" t="s">
        <v>74</v>
      </c>
      <c r="BR336" t="s">
        <v>102</v>
      </c>
      <c r="BS336" t="s">
        <v>6859</v>
      </c>
      <c r="BT336" t="str">
        <f>HYPERLINK("https%3A%2F%2Fwww.webofscience.com%2Fwos%2Fwoscc%2Ffull-record%2FWOS:000682342700254","View Full Record in Web of Science")</f>
        <v>View Full Record in Web of Science</v>
      </c>
    </row>
    <row r="337" spans="1:72" x14ac:dyDescent="0.15">
      <c r="A337" t="s">
        <v>72</v>
      </c>
      <c r="B337" t="s">
        <v>6860</v>
      </c>
      <c r="C337" t="s">
        <v>74</v>
      </c>
      <c r="D337" t="s">
        <v>74</v>
      </c>
      <c r="E337" t="s">
        <v>74</v>
      </c>
      <c r="F337" t="s">
        <v>6861</v>
      </c>
      <c r="G337" t="s">
        <v>74</v>
      </c>
      <c r="H337" t="s">
        <v>74</v>
      </c>
      <c r="I337" t="s">
        <v>6862</v>
      </c>
      <c r="J337" t="s">
        <v>6772</v>
      </c>
      <c r="K337" t="s">
        <v>74</v>
      </c>
      <c r="L337" t="s">
        <v>74</v>
      </c>
      <c r="M337" t="s">
        <v>78</v>
      </c>
      <c r="N337" t="s">
        <v>52</v>
      </c>
      <c r="O337" t="s">
        <v>74</v>
      </c>
      <c r="P337" t="s">
        <v>74</v>
      </c>
      <c r="Q337" t="s">
        <v>74</v>
      </c>
      <c r="R337" t="s">
        <v>74</v>
      </c>
      <c r="S337" t="s">
        <v>74</v>
      </c>
      <c r="T337" t="s">
        <v>6863</v>
      </c>
      <c r="U337" t="s">
        <v>74</v>
      </c>
      <c r="V337" t="s">
        <v>74</v>
      </c>
      <c r="W337" t="s">
        <v>6864</v>
      </c>
      <c r="X337" t="s">
        <v>6865</v>
      </c>
      <c r="Y337" t="s">
        <v>74</v>
      </c>
      <c r="Z337" t="s">
        <v>6866</v>
      </c>
      <c r="AA337" t="s">
        <v>6867</v>
      </c>
      <c r="AB337" t="s">
        <v>6868</v>
      </c>
      <c r="AC337" t="s">
        <v>74</v>
      </c>
      <c r="AD337" t="s">
        <v>74</v>
      </c>
      <c r="AE337" t="s">
        <v>74</v>
      </c>
      <c r="AF337" t="s">
        <v>74</v>
      </c>
      <c r="AG337">
        <v>0</v>
      </c>
      <c r="AH337">
        <v>0</v>
      </c>
      <c r="AI337">
        <v>0</v>
      </c>
      <c r="AJ337">
        <v>0</v>
      </c>
      <c r="AK337">
        <v>5</v>
      </c>
      <c r="AL337" t="s">
        <v>3135</v>
      </c>
      <c r="AM337" t="s">
        <v>3136</v>
      </c>
      <c r="AN337" t="s">
        <v>3137</v>
      </c>
      <c r="AO337" t="s">
        <v>6779</v>
      </c>
      <c r="AP337" t="s">
        <v>6780</v>
      </c>
      <c r="AQ337" t="s">
        <v>74</v>
      </c>
      <c r="AR337" t="s">
        <v>6772</v>
      </c>
      <c r="AS337" t="s">
        <v>6781</v>
      </c>
      <c r="AT337" t="s">
        <v>6527</v>
      </c>
      <c r="AU337">
        <v>2021</v>
      </c>
      <c r="AV337">
        <v>60</v>
      </c>
      <c r="AW337" t="s">
        <v>74</v>
      </c>
      <c r="AX337" t="s">
        <v>74</v>
      </c>
      <c r="AY337">
        <v>1</v>
      </c>
      <c r="AZ337" t="s">
        <v>431</v>
      </c>
      <c r="BA337" t="s">
        <v>74</v>
      </c>
      <c r="BB337">
        <v>103</v>
      </c>
      <c r="BC337">
        <v>103</v>
      </c>
      <c r="BD337" t="s">
        <v>74</v>
      </c>
      <c r="BE337" t="s">
        <v>74</v>
      </c>
      <c r="BF337" t="s">
        <v>74</v>
      </c>
      <c r="BG337" t="s">
        <v>74</v>
      </c>
      <c r="BH337" t="s">
        <v>74</v>
      </c>
      <c r="BI337">
        <v>1</v>
      </c>
      <c r="BJ337" t="s">
        <v>3393</v>
      </c>
      <c r="BK337" t="s">
        <v>128</v>
      </c>
      <c r="BL337" t="s">
        <v>3393</v>
      </c>
      <c r="BM337" t="s">
        <v>6782</v>
      </c>
      <c r="BN337" t="s">
        <v>74</v>
      </c>
      <c r="BO337" t="s">
        <v>74</v>
      </c>
      <c r="BP337" t="s">
        <v>74</v>
      </c>
      <c r="BQ337" t="s">
        <v>74</v>
      </c>
      <c r="BR337" t="s">
        <v>102</v>
      </c>
      <c r="BS337" t="s">
        <v>6869</v>
      </c>
      <c r="BT337" t="str">
        <f>HYPERLINK("https%3A%2F%2Fwww.webofscience.com%2Fwos%2Fwoscc%2Ffull-record%2FWOS:000682342700259","View Full Record in Web of Science")</f>
        <v>View Full Record in Web of Science</v>
      </c>
    </row>
    <row r="338" spans="1:72" x14ac:dyDescent="0.15">
      <c r="A338" t="s">
        <v>72</v>
      </c>
      <c r="B338" t="s">
        <v>6870</v>
      </c>
      <c r="C338" t="s">
        <v>74</v>
      </c>
      <c r="D338" t="s">
        <v>74</v>
      </c>
      <c r="E338" t="s">
        <v>74</v>
      </c>
      <c r="F338" t="s">
        <v>6871</v>
      </c>
      <c r="G338" t="s">
        <v>74</v>
      </c>
      <c r="H338" t="s">
        <v>74</v>
      </c>
      <c r="I338" t="s">
        <v>6872</v>
      </c>
      <c r="J338" t="s">
        <v>6772</v>
      </c>
      <c r="K338" t="s">
        <v>74</v>
      </c>
      <c r="L338" t="s">
        <v>74</v>
      </c>
      <c r="M338" t="s">
        <v>78</v>
      </c>
      <c r="N338" t="s">
        <v>52</v>
      </c>
      <c r="O338" t="s">
        <v>74</v>
      </c>
      <c r="P338" t="s">
        <v>74</v>
      </c>
      <c r="Q338" t="s">
        <v>74</v>
      </c>
      <c r="R338" t="s">
        <v>74</v>
      </c>
      <c r="S338" t="s">
        <v>74</v>
      </c>
      <c r="T338" t="s">
        <v>6873</v>
      </c>
      <c r="U338" t="s">
        <v>74</v>
      </c>
      <c r="V338" t="s">
        <v>74</v>
      </c>
      <c r="W338" t="s">
        <v>6874</v>
      </c>
      <c r="X338" t="s">
        <v>6875</v>
      </c>
      <c r="Y338" t="s">
        <v>74</v>
      </c>
      <c r="Z338" t="s">
        <v>6876</v>
      </c>
      <c r="AA338" t="s">
        <v>6877</v>
      </c>
      <c r="AB338" t="s">
        <v>74</v>
      </c>
      <c r="AC338" t="s">
        <v>6878</v>
      </c>
      <c r="AD338" t="s">
        <v>5146</v>
      </c>
      <c r="AE338" t="s">
        <v>6879</v>
      </c>
      <c r="AF338" t="s">
        <v>74</v>
      </c>
      <c r="AG338">
        <v>0</v>
      </c>
      <c r="AH338">
        <v>0</v>
      </c>
      <c r="AI338">
        <v>0</v>
      </c>
      <c r="AJ338">
        <v>0</v>
      </c>
      <c r="AK338">
        <v>0</v>
      </c>
      <c r="AL338" t="s">
        <v>3135</v>
      </c>
      <c r="AM338" t="s">
        <v>3136</v>
      </c>
      <c r="AN338" t="s">
        <v>3137</v>
      </c>
      <c r="AO338" t="s">
        <v>6779</v>
      </c>
      <c r="AP338" t="s">
        <v>6780</v>
      </c>
      <c r="AQ338" t="s">
        <v>74</v>
      </c>
      <c r="AR338" t="s">
        <v>6772</v>
      </c>
      <c r="AS338" t="s">
        <v>6781</v>
      </c>
      <c r="AT338" t="s">
        <v>6527</v>
      </c>
      <c r="AU338">
        <v>2021</v>
      </c>
      <c r="AV338">
        <v>60</v>
      </c>
      <c r="AW338" t="s">
        <v>74</v>
      </c>
      <c r="AX338" t="s">
        <v>74</v>
      </c>
      <c r="AY338">
        <v>1</v>
      </c>
      <c r="AZ338" t="s">
        <v>431</v>
      </c>
      <c r="BA338" t="s">
        <v>74</v>
      </c>
      <c r="BB338">
        <v>104</v>
      </c>
      <c r="BC338">
        <v>104</v>
      </c>
      <c r="BD338" t="s">
        <v>74</v>
      </c>
      <c r="BE338" t="s">
        <v>74</v>
      </c>
      <c r="BF338" t="s">
        <v>74</v>
      </c>
      <c r="BG338" t="s">
        <v>74</v>
      </c>
      <c r="BH338" t="s">
        <v>74</v>
      </c>
      <c r="BI338">
        <v>1</v>
      </c>
      <c r="BJ338" t="s">
        <v>3393</v>
      </c>
      <c r="BK338" t="s">
        <v>128</v>
      </c>
      <c r="BL338" t="s">
        <v>3393</v>
      </c>
      <c r="BM338" t="s">
        <v>6782</v>
      </c>
      <c r="BN338" t="s">
        <v>74</v>
      </c>
      <c r="BO338" t="s">
        <v>74</v>
      </c>
      <c r="BP338" t="s">
        <v>74</v>
      </c>
      <c r="BQ338" t="s">
        <v>74</v>
      </c>
      <c r="BR338" t="s">
        <v>102</v>
      </c>
      <c r="BS338" t="s">
        <v>6880</v>
      </c>
      <c r="BT338" t="str">
        <f>HYPERLINK("https%3A%2F%2Fwww.webofscience.com%2Fwos%2Fwoscc%2Ffull-record%2FWOS:000682342700262","View Full Record in Web of Science")</f>
        <v>View Full Record in Web of Science</v>
      </c>
    </row>
    <row r="339" spans="1:72" x14ac:dyDescent="0.15">
      <c r="A339" t="s">
        <v>72</v>
      </c>
      <c r="B339" t="s">
        <v>6881</v>
      </c>
      <c r="C339" t="s">
        <v>74</v>
      </c>
      <c r="D339" t="s">
        <v>74</v>
      </c>
      <c r="E339" t="s">
        <v>74</v>
      </c>
      <c r="F339" t="s">
        <v>6882</v>
      </c>
      <c r="G339" t="s">
        <v>74</v>
      </c>
      <c r="H339" t="s">
        <v>74</v>
      </c>
      <c r="I339" t="s">
        <v>6883</v>
      </c>
      <c r="J339" t="s">
        <v>6772</v>
      </c>
      <c r="K339" t="s">
        <v>74</v>
      </c>
      <c r="L339" t="s">
        <v>74</v>
      </c>
      <c r="M339" t="s">
        <v>78</v>
      </c>
      <c r="N339" t="s">
        <v>52</v>
      </c>
      <c r="O339" t="s">
        <v>74</v>
      </c>
      <c r="P339" t="s">
        <v>74</v>
      </c>
      <c r="Q339" t="s">
        <v>74</v>
      </c>
      <c r="R339" t="s">
        <v>74</v>
      </c>
      <c r="S339" t="s">
        <v>74</v>
      </c>
      <c r="T339" t="s">
        <v>6884</v>
      </c>
      <c r="U339" t="s">
        <v>74</v>
      </c>
      <c r="V339" t="s">
        <v>74</v>
      </c>
      <c r="W339" t="s">
        <v>6885</v>
      </c>
      <c r="X339" t="s">
        <v>6886</v>
      </c>
      <c r="Y339" t="s">
        <v>74</v>
      </c>
      <c r="Z339" t="s">
        <v>6887</v>
      </c>
      <c r="AA339" t="s">
        <v>6888</v>
      </c>
      <c r="AB339" t="s">
        <v>6889</v>
      </c>
      <c r="AC339" t="s">
        <v>6890</v>
      </c>
      <c r="AD339" t="s">
        <v>6891</v>
      </c>
      <c r="AE339" t="s">
        <v>6892</v>
      </c>
      <c r="AF339" t="s">
        <v>74</v>
      </c>
      <c r="AG339">
        <v>0</v>
      </c>
      <c r="AH339">
        <v>0</v>
      </c>
      <c r="AI339">
        <v>0</v>
      </c>
      <c r="AJ339">
        <v>0</v>
      </c>
      <c r="AK339">
        <v>2</v>
      </c>
      <c r="AL339" t="s">
        <v>3135</v>
      </c>
      <c r="AM339" t="s">
        <v>3136</v>
      </c>
      <c r="AN339" t="s">
        <v>3137</v>
      </c>
      <c r="AO339" t="s">
        <v>6779</v>
      </c>
      <c r="AP339" t="s">
        <v>6780</v>
      </c>
      <c r="AQ339" t="s">
        <v>74</v>
      </c>
      <c r="AR339" t="s">
        <v>6772</v>
      </c>
      <c r="AS339" t="s">
        <v>6781</v>
      </c>
      <c r="AT339" t="s">
        <v>6527</v>
      </c>
      <c r="AU339">
        <v>2021</v>
      </c>
      <c r="AV339">
        <v>60</v>
      </c>
      <c r="AW339" t="s">
        <v>74</v>
      </c>
      <c r="AX339" t="s">
        <v>74</v>
      </c>
      <c r="AY339">
        <v>1</v>
      </c>
      <c r="AZ339" t="s">
        <v>431</v>
      </c>
      <c r="BA339" t="s">
        <v>74</v>
      </c>
      <c r="BB339">
        <v>119</v>
      </c>
      <c r="BC339">
        <v>119</v>
      </c>
      <c r="BD339" t="s">
        <v>74</v>
      </c>
      <c r="BE339" t="s">
        <v>74</v>
      </c>
      <c r="BF339" t="s">
        <v>74</v>
      </c>
      <c r="BG339" t="s">
        <v>74</v>
      </c>
      <c r="BH339" t="s">
        <v>74</v>
      </c>
      <c r="BI339">
        <v>1</v>
      </c>
      <c r="BJ339" t="s">
        <v>3393</v>
      </c>
      <c r="BK339" t="s">
        <v>128</v>
      </c>
      <c r="BL339" t="s">
        <v>3393</v>
      </c>
      <c r="BM339" t="s">
        <v>6782</v>
      </c>
      <c r="BN339" t="s">
        <v>74</v>
      </c>
      <c r="BO339" t="s">
        <v>74</v>
      </c>
      <c r="BP339" t="s">
        <v>74</v>
      </c>
      <c r="BQ339" t="s">
        <v>74</v>
      </c>
      <c r="BR339" t="s">
        <v>102</v>
      </c>
      <c r="BS339" t="s">
        <v>6893</v>
      </c>
      <c r="BT339" t="str">
        <f>HYPERLINK("https%3A%2F%2Fwww.webofscience.com%2Fwos%2Fwoscc%2Ffull-record%2FWOS:000682342700300","View Full Record in Web of Science")</f>
        <v>View Full Record in Web of Science</v>
      </c>
    </row>
    <row r="340" spans="1:72" x14ac:dyDescent="0.15">
      <c r="A340" t="s">
        <v>72</v>
      </c>
      <c r="B340" t="s">
        <v>6894</v>
      </c>
      <c r="C340" t="s">
        <v>74</v>
      </c>
      <c r="D340" t="s">
        <v>74</v>
      </c>
      <c r="E340" t="s">
        <v>74</v>
      </c>
      <c r="F340" t="s">
        <v>6895</v>
      </c>
      <c r="G340" t="s">
        <v>74</v>
      </c>
      <c r="H340" t="s">
        <v>74</v>
      </c>
      <c r="I340" t="s">
        <v>6896</v>
      </c>
      <c r="J340" t="s">
        <v>6772</v>
      </c>
      <c r="K340" t="s">
        <v>74</v>
      </c>
      <c r="L340" t="s">
        <v>74</v>
      </c>
      <c r="M340" t="s">
        <v>78</v>
      </c>
      <c r="N340" t="s">
        <v>52</v>
      </c>
      <c r="O340" t="s">
        <v>74</v>
      </c>
      <c r="P340" t="s">
        <v>74</v>
      </c>
      <c r="Q340" t="s">
        <v>74</v>
      </c>
      <c r="R340" t="s">
        <v>74</v>
      </c>
      <c r="S340" t="s">
        <v>74</v>
      </c>
      <c r="T340" t="s">
        <v>6897</v>
      </c>
      <c r="U340" t="s">
        <v>74</v>
      </c>
      <c r="V340" t="s">
        <v>74</v>
      </c>
      <c r="W340" t="s">
        <v>6898</v>
      </c>
      <c r="X340" t="s">
        <v>6899</v>
      </c>
      <c r="Y340" t="s">
        <v>74</v>
      </c>
      <c r="Z340" t="s">
        <v>6900</v>
      </c>
      <c r="AA340" t="s">
        <v>6901</v>
      </c>
      <c r="AB340" t="s">
        <v>3596</v>
      </c>
      <c r="AC340" t="s">
        <v>6902</v>
      </c>
      <c r="AD340" t="s">
        <v>6903</v>
      </c>
      <c r="AE340" t="s">
        <v>6904</v>
      </c>
      <c r="AF340" t="s">
        <v>74</v>
      </c>
      <c r="AG340">
        <v>0</v>
      </c>
      <c r="AH340">
        <v>0</v>
      </c>
      <c r="AI340">
        <v>0</v>
      </c>
      <c r="AJ340">
        <v>0</v>
      </c>
      <c r="AK340">
        <v>0</v>
      </c>
      <c r="AL340" t="s">
        <v>3135</v>
      </c>
      <c r="AM340" t="s">
        <v>3136</v>
      </c>
      <c r="AN340" t="s">
        <v>3137</v>
      </c>
      <c r="AO340" t="s">
        <v>6779</v>
      </c>
      <c r="AP340" t="s">
        <v>6780</v>
      </c>
      <c r="AQ340" t="s">
        <v>74</v>
      </c>
      <c r="AR340" t="s">
        <v>6772</v>
      </c>
      <c r="AS340" t="s">
        <v>6781</v>
      </c>
      <c r="AT340" t="s">
        <v>6527</v>
      </c>
      <c r="AU340">
        <v>2021</v>
      </c>
      <c r="AV340">
        <v>60</v>
      </c>
      <c r="AW340" t="s">
        <v>74</v>
      </c>
      <c r="AX340" t="s">
        <v>74</v>
      </c>
      <c r="AY340">
        <v>1</v>
      </c>
      <c r="AZ340" t="s">
        <v>431</v>
      </c>
      <c r="BA340" t="s">
        <v>74</v>
      </c>
      <c r="BB340">
        <v>122</v>
      </c>
      <c r="BC340">
        <v>123</v>
      </c>
      <c r="BD340" t="s">
        <v>74</v>
      </c>
      <c r="BE340" t="s">
        <v>74</v>
      </c>
      <c r="BF340" t="s">
        <v>74</v>
      </c>
      <c r="BG340" t="s">
        <v>74</v>
      </c>
      <c r="BH340" t="s">
        <v>74</v>
      </c>
      <c r="BI340">
        <v>2</v>
      </c>
      <c r="BJ340" t="s">
        <v>3393</v>
      </c>
      <c r="BK340" t="s">
        <v>128</v>
      </c>
      <c r="BL340" t="s">
        <v>3393</v>
      </c>
      <c r="BM340" t="s">
        <v>6782</v>
      </c>
      <c r="BN340" t="s">
        <v>74</v>
      </c>
      <c r="BO340" t="s">
        <v>74</v>
      </c>
      <c r="BP340" t="s">
        <v>74</v>
      </c>
      <c r="BQ340" t="s">
        <v>74</v>
      </c>
      <c r="BR340" t="s">
        <v>102</v>
      </c>
      <c r="BS340" t="s">
        <v>6905</v>
      </c>
      <c r="BT340" t="str">
        <f>HYPERLINK("https%3A%2F%2Fwww.webofscience.com%2Fwos%2Fwoscc%2Ffull-record%2FWOS:000682342700308","View Full Record in Web of Science")</f>
        <v>View Full Record in Web of Science</v>
      </c>
    </row>
    <row r="341" spans="1:72" x14ac:dyDescent="0.15">
      <c r="A341" t="s">
        <v>72</v>
      </c>
      <c r="B341" t="s">
        <v>6906</v>
      </c>
      <c r="C341" t="s">
        <v>74</v>
      </c>
      <c r="D341" t="s">
        <v>74</v>
      </c>
      <c r="E341" t="s">
        <v>74</v>
      </c>
      <c r="F341" t="s">
        <v>6907</v>
      </c>
      <c r="G341" t="s">
        <v>74</v>
      </c>
      <c r="H341" t="s">
        <v>74</v>
      </c>
      <c r="I341" t="s">
        <v>6908</v>
      </c>
      <c r="J341" t="s">
        <v>6909</v>
      </c>
      <c r="K341" t="s">
        <v>74</v>
      </c>
      <c r="L341" t="s">
        <v>74</v>
      </c>
      <c r="M341" t="s">
        <v>78</v>
      </c>
      <c r="N341" t="s">
        <v>79</v>
      </c>
      <c r="O341" t="s">
        <v>74</v>
      </c>
      <c r="P341" t="s">
        <v>74</v>
      </c>
      <c r="Q341" t="s">
        <v>74</v>
      </c>
      <c r="R341" t="s">
        <v>74</v>
      </c>
      <c r="S341" t="s">
        <v>74</v>
      </c>
      <c r="T341" t="s">
        <v>6910</v>
      </c>
      <c r="U341" t="s">
        <v>6911</v>
      </c>
      <c r="V341" t="s">
        <v>6912</v>
      </c>
      <c r="W341" t="s">
        <v>6913</v>
      </c>
      <c r="X341" t="s">
        <v>6914</v>
      </c>
      <c r="Y341" t="s">
        <v>6915</v>
      </c>
      <c r="Z341" t="s">
        <v>6916</v>
      </c>
      <c r="AA341" t="s">
        <v>74</v>
      </c>
      <c r="AB341" t="s">
        <v>74</v>
      </c>
      <c r="AC341" t="s">
        <v>74</v>
      </c>
      <c r="AD341" t="s">
        <v>74</v>
      </c>
      <c r="AE341" t="s">
        <v>74</v>
      </c>
      <c r="AF341" t="s">
        <v>74</v>
      </c>
      <c r="AG341">
        <v>32</v>
      </c>
      <c r="AH341">
        <v>0</v>
      </c>
      <c r="AI341">
        <v>0</v>
      </c>
      <c r="AJ341">
        <v>0</v>
      </c>
      <c r="AK341">
        <v>1</v>
      </c>
      <c r="AL341" t="s">
        <v>6620</v>
      </c>
      <c r="AM341" t="s">
        <v>650</v>
      </c>
      <c r="AN341" t="s">
        <v>6621</v>
      </c>
      <c r="AO341" t="s">
        <v>6917</v>
      </c>
      <c r="AP341" t="s">
        <v>6918</v>
      </c>
      <c r="AQ341" t="s">
        <v>74</v>
      </c>
      <c r="AR341" t="s">
        <v>6919</v>
      </c>
      <c r="AS341" t="s">
        <v>6920</v>
      </c>
      <c r="AT341" t="s">
        <v>430</v>
      </c>
      <c r="AU341">
        <v>2021</v>
      </c>
      <c r="AV341">
        <v>55</v>
      </c>
      <c r="AW341">
        <v>4</v>
      </c>
      <c r="AX341" t="s">
        <v>74</v>
      </c>
      <c r="AY341" t="s">
        <v>74</v>
      </c>
      <c r="AZ341" t="s">
        <v>74</v>
      </c>
      <c r="BA341" t="s">
        <v>74</v>
      </c>
      <c r="BB341">
        <v>368</v>
      </c>
      <c r="BC341">
        <v>378</v>
      </c>
      <c r="BD341" t="s">
        <v>74</v>
      </c>
      <c r="BE341" t="s">
        <v>6921</v>
      </c>
      <c r="BF341" t="str">
        <f>HYPERLINK("http://dx.doi.org/10.3103/S0095452721040095","http://dx.doi.org/10.3103/S0095452721040095")</f>
        <v>http://dx.doi.org/10.3103/S0095452721040095</v>
      </c>
      <c r="BG341" t="s">
        <v>74</v>
      </c>
      <c r="BH341" t="s">
        <v>74</v>
      </c>
      <c r="BI341">
        <v>11</v>
      </c>
      <c r="BJ341" t="s">
        <v>6922</v>
      </c>
      <c r="BK341" t="s">
        <v>128</v>
      </c>
      <c r="BL341" t="s">
        <v>6922</v>
      </c>
      <c r="BM341" t="s">
        <v>6923</v>
      </c>
      <c r="BN341" t="s">
        <v>74</v>
      </c>
      <c r="BO341" t="s">
        <v>74</v>
      </c>
      <c r="BP341" t="s">
        <v>74</v>
      </c>
      <c r="BQ341" t="s">
        <v>74</v>
      </c>
      <c r="BR341" t="s">
        <v>102</v>
      </c>
      <c r="BS341" t="s">
        <v>6924</v>
      </c>
      <c r="BT341" t="str">
        <f>HYPERLINK("https%3A%2F%2Fwww.webofscience.com%2Fwos%2Fwoscc%2Ffull-record%2FWOS:000679829100009","View Full Record in Web of Science")</f>
        <v>View Full Record in Web of Science</v>
      </c>
    </row>
    <row r="342" spans="1:72" x14ac:dyDescent="0.15">
      <c r="A342" t="s">
        <v>72</v>
      </c>
      <c r="B342" t="s">
        <v>6925</v>
      </c>
      <c r="C342" t="s">
        <v>74</v>
      </c>
      <c r="D342" t="s">
        <v>74</v>
      </c>
      <c r="E342" t="s">
        <v>74</v>
      </c>
      <c r="F342" t="s">
        <v>6926</v>
      </c>
      <c r="G342" t="s">
        <v>74</v>
      </c>
      <c r="H342" t="s">
        <v>74</v>
      </c>
      <c r="I342" t="s">
        <v>6927</v>
      </c>
      <c r="J342" t="s">
        <v>6928</v>
      </c>
      <c r="K342" t="s">
        <v>74</v>
      </c>
      <c r="L342" t="s">
        <v>74</v>
      </c>
      <c r="M342" t="s">
        <v>78</v>
      </c>
      <c r="N342" t="s">
        <v>79</v>
      </c>
      <c r="O342" t="s">
        <v>74</v>
      </c>
      <c r="P342" t="s">
        <v>74</v>
      </c>
      <c r="Q342" t="s">
        <v>74</v>
      </c>
      <c r="R342" t="s">
        <v>74</v>
      </c>
      <c r="S342" t="s">
        <v>74</v>
      </c>
      <c r="T342" t="s">
        <v>6929</v>
      </c>
      <c r="U342" t="s">
        <v>6930</v>
      </c>
      <c r="V342" t="s">
        <v>6931</v>
      </c>
      <c r="W342" t="s">
        <v>6932</v>
      </c>
      <c r="X342" t="s">
        <v>6933</v>
      </c>
      <c r="Y342" t="s">
        <v>6934</v>
      </c>
      <c r="Z342" t="s">
        <v>6935</v>
      </c>
      <c r="AA342" t="s">
        <v>6936</v>
      </c>
      <c r="AB342" t="s">
        <v>6937</v>
      </c>
      <c r="AC342" t="s">
        <v>6938</v>
      </c>
      <c r="AD342" t="s">
        <v>6939</v>
      </c>
      <c r="AE342" t="s">
        <v>6940</v>
      </c>
      <c r="AF342" t="s">
        <v>74</v>
      </c>
      <c r="AG342">
        <v>109</v>
      </c>
      <c r="AH342">
        <v>14</v>
      </c>
      <c r="AI342">
        <v>15</v>
      </c>
      <c r="AJ342">
        <v>0</v>
      </c>
      <c r="AK342">
        <v>5</v>
      </c>
      <c r="AL342" t="s">
        <v>864</v>
      </c>
      <c r="AM342" t="s">
        <v>865</v>
      </c>
      <c r="AN342" t="s">
        <v>866</v>
      </c>
      <c r="AO342" t="s">
        <v>6941</v>
      </c>
      <c r="AP342" t="s">
        <v>6942</v>
      </c>
      <c r="AQ342" t="s">
        <v>74</v>
      </c>
      <c r="AR342" t="s">
        <v>6943</v>
      </c>
      <c r="AS342" t="s">
        <v>6944</v>
      </c>
      <c r="AT342" t="s">
        <v>430</v>
      </c>
      <c r="AU342">
        <v>2021</v>
      </c>
      <c r="AV342">
        <v>126</v>
      </c>
      <c r="AW342">
        <v>7</v>
      </c>
      <c r="AX342" t="s">
        <v>74</v>
      </c>
      <c r="AY342" t="s">
        <v>74</v>
      </c>
      <c r="AZ342" t="s">
        <v>74</v>
      </c>
      <c r="BA342" t="s">
        <v>74</v>
      </c>
      <c r="BB342" t="s">
        <v>74</v>
      </c>
      <c r="BC342" t="s">
        <v>74</v>
      </c>
      <c r="BD342" t="s">
        <v>6945</v>
      </c>
      <c r="BE342" t="s">
        <v>6946</v>
      </c>
      <c r="BF342" t="str">
        <f>HYPERLINK("http://dx.doi.org/10.1029/2021JE006827","http://dx.doi.org/10.1029/2021JE006827")</f>
        <v>http://dx.doi.org/10.1029/2021JE006827</v>
      </c>
      <c r="BG342" t="s">
        <v>74</v>
      </c>
      <c r="BH342" t="s">
        <v>74</v>
      </c>
      <c r="BI342">
        <v>30</v>
      </c>
      <c r="BJ342" t="s">
        <v>289</v>
      </c>
      <c r="BK342" t="s">
        <v>128</v>
      </c>
      <c r="BL342" t="s">
        <v>289</v>
      </c>
      <c r="BM342" t="s">
        <v>6947</v>
      </c>
      <c r="BN342" t="s">
        <v>74</v>
      </c>
      <c r="BO342" t="s">
        <v>291</v>
      </c>
      <c r="BP342" t="s">
        <v>74</v>
      </c>
      <c r="BQ342" t="s">
        <v>74</v>
      </c>
      <c r="BR342" t="s">
        <v>102</v>
      </c>
      <c r="BS342" t="s">
        <v>6948</v>
      </c>
      <c r="BT342" t="str">
        <f>HYPERLINK("https%3A%2F%2Fwww.webofscience.com%2Fwos%2Fwoscc%2Ffull-record%2FWOS:000679848100002","View Full Record in Web of Science")</f>
        <v>View Full Record in Web of Science</v>
      </c>
    </row>
    <row r="343" spans="1:72" x14ac:dyDescent="0.15">
      <c r="A343" t="s">
        <v>72</v>
      </c>
      <c r="B343" t="s">
        <v>6949</v>
      </c>
      <c r="C343" t="s">
        <v>74</v>
      </c>
      <c r="D343" t="s">
        <v>74</v>
      </c>
      <c r="E343" t="s">
        <v>74</v>
      </c>
      <c r="F343" t="s">
        <v>6950</v>
      </c>
      <c r="G343" t="s">
        <v>74</v>
      </c>
      <c r="H343" t="s">
        <v>74</v>
      </c>
      <c r="I343" t="s">
        <v>6951</v>
      </c>
      <c r="J343" t="s">
        <v>1248</v>
      </c>
      <c r="K343" t="s">
        <v>74</v>
      </c>
      <c r="L343" t="s">
        <v>74</v>
      </c>
      <c r="M343" t="s">
        <v>78</v>
      </c>
      <c r="N343" t="s">
        <v>79</v>
      </c>
      <c r="O343" t="s">
        <v>74</v>
      </c>
      <c r="P343" t="s">
        <v>74</v>
      </c>
      <c r="Q343" t="s">
        <v>74</v>
      </c>
      <c r="R343" t="s">
        <v>74</v>
      </c>
      <c r="S343" t="s">
        <v>74</v>
      </c>
      <c r="T343" t="s">
        <v>74</v>
      </c>
      <c r="U343" t="s">
        <v>6952</v>
      </c>
      <c r="V343" t="s">
        <v>6953</v>
      </c>
      <c r="W343" t="s">
        <v>6954</v>
      </c>
      <c r="X343" t="s">
        <v>6955</v>
      </c>
      <c r="Y343" t="s">
        <v>6956</v>
      </c>
      <c r="Z343" t="s">
        <v>6957</v>
      </c>
      <c r="AA343" t="s">
        <v>6958</v>
      </c>
      <c r="AB343" t="s">
        <v>6959</v>
      </c>
      <c r="AC343" t="s">
        <v>6960</v>
      </c>
      <c r="AD343" t="s">
        <v>6961</v>
      </c>
      <c r="AE343" t="s">
        <v>6962</v>
      </c>
      <c r="AF343" t="s">
        <v>74</v>
      </c>
      <c r="AG343">
        <v>115</v>
      </c>
      <c r="AH343">
        <v>15</v>
      </c>
      <c r="AI343">
        <v>15</v>
      </c>
      <c r="AJ343">
        <v>2</v>
      </c>
      <c r="AK343">
        <v>15</v>
      </c>
      <c r="AL343" t="s">
        <v>864</v>
      </c>
      <c r="AM343" t="s">
        <v>865</v>
      </c>
      <c r="AN343" t="s">
        <v>866</v>
      </c>
      <c r="AO343" t="s">
        <v>1261</v>
      </c>
      <c r="AP343" t="s">
        <v>1262</v>
      </c>
      <c r="AQ343" t="s">
        <v>74</v>
      </c>
      <c r="AR343" t="s">
        <v>1263</v>
      </c>
      <c r="AS343" t="s">
        <v>1264</v>
      </c>
      <c r="AT343" t="s">
        <v>430</v>
      </c>
      <c r="AU343">
        <v>2021</v>
      </c>
      <c r="AV343">
        <v>126</v>
      </c>
      <c r="AW343">
        <v>7</v>
      </c>
      <c r="AX343" t="s">
        <v>74</v>
      </c>
      <c r="AY343" t="s">
        <v>74</v>
      </c>
      <c r="AZ343" t="s">
        <v>74</v>
      </c>
      <c r="BA343" t="s">
        <v>74</v>
      </c>
      <c r="BB343" t="s">
        <v>74</v>
      </c>
      <c r="BC343" t="s">
        <v>74</v>
      </c>
      <c r="BD343" t="s">
        <v>6963</v>
      </c>
      <c r="BE343" t="s">
        <v>6964</v>
      </c>
      <c r="BF343" t="str">
        <f>HYPERLINK("http://dx.doi.org/10.1029/2020JA029091","http://dx.doi.org/10.1029/2020JA029091")</f>
        <v>http://dx.doi.org/10.1029/2020JA029091</v>
      </c>
      <c r="BG343" t="s">
        <v>74</v>
      </c>
      <c r="BH343" t="s">
        <v>74</v>
      </c>
      <c r="BI343">
        <v>22</v>
      </c>
      <c r="BJ343" t="s">
        <v>1267</v>
      </c>
      <c r="BK343" t="s">
        <v>128</v>
      </c>
      <c r="BL343" t="s">
        <v>1267</v>
      </c>
      <c r="BM343" t="s">
        <v>6965</v>
      </c>
      <c r="BN343" t="s">
        <v>74</v>
      </c>
      <c r="BO343" t="s">
        <v>238</v>
      </c>
      <c r="BP343" t="s">
        <v>74</v>
      </c>
      <c r="BQ343" t="s">
        <v>74</v>
      </c>
      <c r="BR343" t="s">
        <v>102</v>
      </c>
      <c r="BS343" t="s">
        <v>6966</v>
      </c>
      <c r="BT343" t="str">
        <f>HYPERLINK("https%3A%2F%2Fwww.webofscience.com%2Fwos%2Fwoscc%2Ffull-record%2FWOS:000679109000021","View Full Record in Web of Science")</f>
        <v>View Full Record in Web of Science</v>
      </c>
    </row>
    <row r="344" spans="1:72" x14ac:dyDescent="0.15">
      <c r="A344" t="s">
        <v>72</v>
      </c>
      <c r="B344" t="s">
        <v>6967</v>
      </c>
      <c r="C344" t="s">
        <v>74</v>
      </c>
      <c r="D344" t="s">
        <v>74</v>
      </c>
      <c r="E344" t="s">
        <v>74</v>
      </c>
      <c r="F344" t="s">
        <v>6968</v>
      </c>
      <c r="G344" t="s">
        <v>74</v>
      </c>
      <c r="H344" t="s">
        <v>74</v>
      </c>
      <c r="I344" t="s">
        <v>6969</v>
      </c>
      <c r="J344" t="s">
        <v>6970</v>
      </c>
      <c r="K344" t="s">
        <v>74</v>
      </c>
      <c r="L344" t="s">
        <v>74</v>
      </c>
      <c r="M344" t="s">
        <v>78</v>
      </c>
      <c r="N344" t="s">
        <v>79</v>
      </c>
      <c r="O344" t="s">
        <v>74</v>
      </c>
      <c r="P344" t="s">
        <v>74</v>
      </c>
      <c r="Q344" t="s">
        <v>74</v>
      </c>
      <c r="R344" t="s">
        <v>74</v>
      </c>
      <c r="S344" t="s">
        <v>74</v>
      </c>
      <c r="T344" t="s">
        <v>6971</v>
      </c>
      <c r="U344" t="s">
        <v>6972</v>
      </c>
      <c r="V344" t="s">
        <v>6973</v>
      </c>
      <c r="W344" t="s">
        <v>6974</v>
      </c>
      <c r="X344" t="s">
        <v>6975</v>
      </c>
      <c r="Y344" t="s">
        <v>6976</v>
      </c>
      <c r="Z344" t="s">
        <v>6977</v>
      </c>
      <c r="AA344" t="s">
        <v>6978</v>
      </c>
      <c r="AB344" t="s">
        <v>6979</v>
      </c>
      <c r="AC344" t="s">
        <v>6980</v>
      </c>
      <c r="AD344" t="s">
        <v>6981</v>
      </c>
      <c r="AE344" t="s">
        <v>6982</v>
      </c>
      <c r="AF344" t="s">
        <v>74</v>
      </c>
      <c r="AG344">
        <v>50</v>
      </c>
      <c r="AH344">
        <v>4</v>
      </c>
      <c r="AI344">
        <v>4</v>
      </c>
      <c r="AJ344">
        <v>1</v>
      </c>
      <c r="AK344">
        <v>10</v>
      </c>
      <c r="AL344" t="s">
        <v>6983</v>
      </c>
      <c r="AM344" t="s">
        <v>2239</v>
      </c>
      <c r="AN344" t="s">
        <v>6984</v>
      </c>
      <c r="AO344" t="s">
        <v>6985</v>
      </c>
      <c r="AP344" t="s">
        <v>6986</v>
      </c>
      <c r="AQ344" t="s">
        <v>74</v>
      </c>
      <c r="AR344" t="s">
        <v>6987</v>
      </c>
      <c r="AS344" t="s">
        <v>6988</v>
      </c>
      <c r="AT344" t="s">
        <v>430</v>
      </c>
      <c r="AU344">
        <v>2021</v>
      </c>
      <c r="AV344">
        <v>224</v>
      </c>
      <c r="AW344">
        <v>14</v>
      </c>
      <c r="AX344" t="s">
        <v>74</v>
      </c>
      <c r="AY344" t="s">
        <v>74</v>
      </c>
      <c r="AZ344" t="s">
        <v>74</v>
      </c>
      <c r="BA344" t="s">
        <v>74</v>
      </c>
      <c r="BB344" t="s">
        <v>74</v>
      </c>
      <c r="BC344" t="s">
        <v>74</v>
      </c>
      <c r="BD344" t="s">
        <v>6989</v>
      </c>
      <c r="BE344" t="s">
        <v>6990</v>
      </c>
      <c r="BF344" t="str">
        <f>HYPERLINK("http://dx.doi.org/10.1242/jeb.242506","http://dx.doi.org/10.1242/jeb.242506")</f>
        <v>http://dx.doi.org/10.1242/jeb.242506</v>
      </c>
      <c r="BG344" t="s">
        <v>74</v>
      </c>
      <c r="BH344" t="s">
        <v>74</v>
      </c>
      <c r="BI344">
        <v>7</v>
      </c>
      <c r="BJ344" t="s">
        <v>511</v>
      </c>
      <c r="BK344" t="s">
        <v>128</v>
      </c>
      <c r="BL344" t="s">
        <v>512</v>
      </c>
      <c r="BM344" t="s">
        <v>6991</v>
      </c>
      <c r="BN344" t="s">
        <v>74</v>
      </c>
      <c r="BO344" t="s">
        <v>908</v>
      </c>
      <c r="BP344" t="s">
        <v>74</v>
      </c>
      <c r="BQ344" t="s">
        <v>74</v>
      </c>
      <c r="BR344" t="s">
        <v>102</v>
      </c>
      <c r="BS344" t="s">
        <v>6992</v>
      </c>
      <c r="BT344" t="str">
        <f>HYPERLINK("https%3A%2F%2Fwww.webofscience.com%2Fwos%2Fwoscc%2Ffull-record%2FWOS:000681398200014","View Full Record in Web of Science")</f>
        <v>View Full Record in Web of Science</v>
      </c>
    </row>
    <row r="345" spans="1:72" x14ac:dyDescent="0.15">
      <c r="A345" t="s">
        <v>72</v>
      </c>
      <c r="B345" t="s">
        <v>6993</v>
      </c>
      <c r="C345" t="s">
        <v>74</v>
      </c>
      <c r="D345" t="s">
        <v>74</v>
      </c>
      <c r="E345" t="s">
        <v>74</v>
      </c>
      <c r="F345" t="s">
        <v>6994</v>
      </c>
      <c r="G345" t="s">
        <v>74</v>
      </c>
      <c r="H345" t="s">
        <v>74</v>
      </c>
      <c r="I345" t="s">
        <v>6995</v>
      </c>
      <c r="J345" t="s">
        <v>6970</v>
      </c>
      <c r="K345" t="s">
        <v>74</v>
      </c>
      <c r="L345" t="s">
        <v>74</v>
      </c>
      <c r="M345" t="s">
        <v>78</v>
      </c>
      <c r="N345" t="s">
        <v>79</v>
      </c>
      <c r="O345" t="s">
        <v>74</v>
      </c>
      <c r="P345" t="s">
        <v>74</v>
      </c>
      <c r="Q345" t="s">
        <v>74</v>
      </c>
      <c r="R345" t="s">
        <v>74</v>
      </c>
      <c r="S345" t="s">
        <v>74</v>
      </c>
      <c r="T345" t="s">
        <v>6996</v>
      </c>
      <c r="U345" t="s">
        <v>6997</v>
      </c>
      <c r="V345" t="s">
        <v>6998</v>
      </c>
      <c r="W345" t="s">
        <v>6999</v>
      </c>
      <c r="X345" t="s">
        <v>7000</v>
      </c>
      <c r="Y345" t="s">
        <v>7001</v>
      </c>
      <c r="Z345" t="s">
        <v>7002</v>
      </c>
      <c r="AA345" t="s">
        <v>7003</v>
      </c>
      <c r="AB345" t="s">
        <v>7004</v>
      </c>
      <c r="AC345" t="s">
        <v>7005</v>
      </c>
      <c r="AD345" t="s">
        <v>7006</v>
      </c>
      <c r="AE345" t="s">
        <v>7007</v>
      </c>
      <c r="AF345" t="s">
        <v>74</v>
      </c>
      <c r="AG345">
        <v>81</v>
      </c>
      <c r="AH345">
        <v>12</v>
      </c>
      <c r="AI345">
        <v>12</v>
      </c>
      <c r="AJ345">
        <v>1</v>
      </c>
      <c r="AK345">
        <v>12</v>
      </c>
      <c r="AL345" t="s">
        <v>6983</v>
      </c>
      <c r="AM345" t="s">
        <v>2239</v>
      </c>
      <c r="AN345" t="s">
        <v>6984</v>
      </c>
      <c r="AO345" t="s">
        <v>6985</v>
      </c>
      <c r="AP345" t="s">
        <v>6986</v>
      </c>
      <c r="AQ345" t="s">
        <v>74</v>
      </c>
      <c r="AR345" t="s">
        <v>6987</v>
      </c>
      <c r="AS345" t="s">
        <v>6988</v>
      </c>
      <c r="AT345" t="s">
        <v>430</v>
      </c>
      <c r="AU345">
        <v>2021</v>
      </c>
      <c r="AV345">
        <v>224</v>
      </c>
      <c r="AW345">
        <v>13</v>
      </c>
      <c r="AX345" t="s">
        <v>74</v>
      </c>
      <c r="AY345" t="s">
        <v>74</v>
      </c>
      <c r="AZ345" t="s">
        <v>74</v>
      </c>
      <c r="BA345" t="s">
        <v>74</v>
      </c>
      <c r="BB345" t="s">
        <v>74</v>
      </c>
      <c r="BC345" t="s">
        <v>74</v>
      </c>
      <c r="BD345" t="s">
        <v>7008</v>
      </c>
      <c r="BE345" t="s">
        <v>7009</v>
      </c>
      <c r="BF345" t="str">
        <f>HYPERLINK("http://dx.doi.org/10.1242/jeb.237586","http://dx.doi.org/10.1242/jeb.237586")</f>
        <v>http://dx.doi.org/10.1242/jeb.237586</v>
      </c>
      <c r="BG345" t="s">
        <v>74</v>
      </c>
      <c r="BH345" t="s">
        <v>74</v>
      </c>
      <c r="BI345">
        <v>13</v>
      </c>
      <c r="BJ345" t="s">
        <v>511</v>
      </c>
      <c r="BK345" t="s">
        <v>128</v>
      </c>
      <c r="BL345" t="s">
        <v>512</v>
      </c>
      <c r="BM345" t="s">
        <v>7010</v>
      </c>
      <c r="BN345">
        <v>34109418</v>
      </c>
      <c r="BO345" t="s">
        <v>1154</v>
      </c>
      <c r="BP345" t="s">
        <v>74</v>
      </c>
      <c r="BQ345" t="s">
        <v>74</v>
      </c>
      <c r="BR345" t="s">
        <v>102</v>
      </c>
      <c r="BS345" t="s">
        <v>7011</v>
      </c>
      <c r="BT345" t="str">
        <f>HYPERLINK("https%3A%2F%2Fwww.webofscience.com%2Fwos%2Fwoscc%2Ffull-record%2FWOS:000681397200021","View Full Record in Web of Science")</f>
        <v>View Full Record in Web of Science</v>
      </c>
    </row>
    <row r="346" spans="1:72" x14ac:dyDescent="0.15">
      <c r="A346" t="s">
        <v>72</v>
      </c>
      <c r="B346" t="s">
        <v>7012</v>
      </c>
      <c r="C346" t="s">
        <v>74</v>
      </c>
      <c r="D346" t="s">
        <v>74</v>
      </c>
      <c r="E346" t="s">
        <v>74</v>
      </c>
      <c r="F346" t="s">
        <v>7013</v>
      </c>
      <c r="G346" t="s">
        <v>74</v>
      </c>
      <c r="H346" t="s">
        <v>74</v>
      </c>
      <c r="I346" t="s">
        <v>7014</v>
      </c>
      <c r="J346" t="s">
        <v>1115</v>
      </c>
      <c r="K346" t="s">
        <v>74</v>
      </c>
      <c r="L346" t="s">
        <v>74</v>
      </c>
      <c r="M346" t="s">
        <v>78</v>
      </c>
      <c r="N346" t="s">
        <v>79</v>
      </c>
      <c r="O346" t="s">
        <v>74</v>
      </c>
      <c r="P346" t="s">
        <v>74</v>
      </c>
      <c r="Q346" t="s">
        <v>74</v>
      </c>
      <c r="R346" t="s">
        <v>74</v>
      </c>
      <c r="S346" t="s">
        <v>74</v>
      </c>
      <c r="T346" t="s">
        <v>7015</v>
      </c>
      <c r="U346" t="s">
        <v>7016</v>
      </c>
      <c r="V346" t="s">
        <v>7017</v>
      </c>
      <c r="W346" t="s">
        <v>7018</v>
      </c>
      <c r="X346" t="s">
        <v>7019</v>
      </c>
      <c r="Y346" t="s">
        <v>7020</v>
      </c>
      <c r="Z346" t="s">
        <v>7021</v>
      </c>
      <c r="AA346" t="s">
        <v>74</v>
      </c>
      <c r="AB346" t="s">
        <v>7022</v>
      </c>
      <c r="AC346" t="s">
        <v>7023</v>
      </c>
      <c r="AD346" t="s">
        <v>7024</v>
      </c>
      <c r="AE346" t="s">
        <v>7025</v>
      </c>
      <c r="AF346" t="s">
        <v>74</v>
      </c>
      <c r="AG346">
        <v>92</v>
      </c>
      <c r="AH346">
        <v>16</v>
      </c>
      <c r="AI346">
        <v>16</v>
      </c>
      <c r="AJ346">
        <v>1</v>
      </c>
      <c r="AK346">
        <v>21</v>
      </c>
      <c r="AL346" t="s">
        <v>864</v>
      </c>
      <c r="AM346" t="s">
        <v>865</v>
      </c>
      <c r="AN346" t="s">
        <v>866</v>
      </c>
      <c r="AO346" t="s">
        <v>1128</v>
      </c>
      <c r="AP346" t="s">
        <v>1129</v>
      </c>
      <c r="AQ346" t="s">
        <v>74</v>
      </c>
      <c r="AR346" t="s">
        <v>1130</v>
      </c>
      <c r="AS346" t="s">
        <v>1131</v>
      </c>
      <c r="AT346" t="s">
        <v>430</v>
      </c>
      <c r="AU346">
        <v>2021</v>
      </c>
      <c r="AV346">
        <v>126</v>
      </c>
      <c r="AW346">
        <v>7</v>
      </c>
      <c r="AX346" t="s">
        <v>74</v>
      </c>
      <c r="AY346" t="s">
        <v>74</v>
      </c>
      <c r="AZ346" t="s">
        <v>74</v>
      </c>
      <c r="BA346" t="s">
        <v>74</v>
      </c>
      <c r="BB346" t="s">
        <v>74</v>
      </c>
      <c r="BC346" t="s">
        <v>74</v>
      </c>
      <c r="BD346" t="s">
        <v>7026</v>
      </c>
      <c r="BE346" t="s">
        <v>7027</v>
      </c>
      <c r="BF346" t="str">
        <f>HYPERLINK("http://dx.doi.org/10.1029/2021JC017178","http://dx.doi.org/10.1029/2021JC017178")</f>
        <v>http://dx.doi.org/10.1029/2021JC017178</v>
      </c>
      <c r="BG346" t="s">
        <v>74</v>
      </c>
      <c r="BH346" t="s">
        <v>74</v>
      </c>
      <c r="BI346">
        <v>24</v>
      </c>
      <c r="BJ346" t="s">
        <v>1134</v>
      </c>
      <c r="BK346" t="s">
        <v>128</v>
      </c>
      <c r="BL346" t="s">
        <v>1134</v>
      </c>
      <c r="BM346" t="s">
        <v>7028</v>
      </c>
      <c r="BN346" t="s">
        <v>74</v>
      </c>
      <c r="BO346" t="s">
        <v>2125</v>
      </c>
      <c r="BP346" t="s">
        <v>74</v>
      </c>
      <c r="BQ346" t="s">
        <v>74</v>
      </c>
      <c r="BR346" t="s">
        <v>102</v>
      </c>
      <c r="BS346" t="s">
        <v>7029</v>
      </c>
      <c r="BT346" t="str">
        <f>HYPERLINK("https%3A%2F%2Fwww.webofscience.com%2Fwos%2Fwoscc%2Ffull-record%2FWOS:000681412200006","View Full Record in Web of Science")</f>
        <v>View Full Record in Web of Science</v>
      </c>
    </row>
    <row r="347" spans="1:72" x14ac:dyDescent="0.15">
      <c r="A347" t="s">
        <v>72</v>
      </c>
      <c r="B347" t="s">
        <v>7030</v>
      </c>
      <c r="C347" t="s">
        <v>74</v>
      </c>
      <c r="D347" t="s">
        <v>74</v>
      </c>
      <c r="E347" t="s">
        <v>74</v>
      </c>
      <c r="F347" t="s">
        <v>7031</v>
      </c>
      <c r="G347" t="s">
        <v>74</v>
      </c>
      <c r="H347" t="s">
        <v>74</v>
      </c>
      <c r="I347" t="s">
        <v>7032</v>
      </c>
      <c r="J347" t="s">
        <v>1115</v>
      </c>
      <c r="K347" t="s">
        <v>74</v>
      </c>
      <c r="L347" t="s">
        <v>74</v>
      </c>
      <c r="M347" t="s">
        <v>78</v>
      </c>
      <c r="N347" t="s">
        <v>79</v>
      </c>
      <c r="O347" t="s">
        <v>74</v>
      </c>
      <c r="P347" t="s">
        <v>74</v>
      </c>
      <c r="Q347" t="s">
        <v>74</v>
      </c>
      <c r="R347" t="s">
        <v>74</v>
      </c>
      <c r="S347" t="s">
        <v>74</v>
      </c>
      <c r="T347" t="s">
        <v>7033</v>
      </c>
      <c r="U347" t="s">
        <v>7034</v>
      </c>
      <c r="V347" t="s">
        <v>7035</v>
      </c>
      <c r="W347" t="s">
        <v>7036</v>
      </c>
      <c r="X347" t="s">
        <v>7037</v>
      </c>
      <c r="Y347" t="s">
        <v>7038</v>
      </c>
      <c r="Z347" t="s">
        <v>7039</v>
      </c>
      <c r="AA347" t="s">
        <v>7040</v>
      </c>
      <c r="AB347" t="s">
        <v>7041</v>
      </c>
      <c r="AC347" t="s">
        <v>7042</v>
      </c>
      <c r="AD347" t="s">
        <v>7043</v>
      </c>
      <c r="AE347" t="s">
        <v>7044</v>
      </c>
      <c r="AF347" t="s">
        <v>74</v>
      </c>
      <c r="AG347">
        <v>40</v>
      </c>
      <c r="AH347">
        <v>3</v>
      </c>
      <c r="AI347">
        <v>3</v>
      </c>
      <c r="AJ347">
        <v>0</v>
      </c>
      <c r="AK347">
        <v>3</v>
      </c>
      <c r="AL347" t="s">
        <v>864</v>
      </c>
      <c r="AM347" t="s">
        <v>865</v>
      </c>
      <c r="AN347" t="s">
        <v>866</v>
      </c>
      <c r="AO347" t="s">
        <v>1128</v>
      </c>
      <c r="AP347" t="s">
        <v>1129</v>
      </c>
      <c r="AQ347" t="s">
        <v>74</v>
      </c>
      <c r="AR347" t="s">
        <v>1130</v>
      </c>
      <c r="AS347" t="s">
        <v>1131</v>
      </c>
      <c r="AT347" t="s">
        <v>430</v>
      </c>
      <c r="AU347">
        <v>2021</v>
      </c>
      <c r="AV347">
        <v>126</v>
      </c>
      <c r="AW347">
        <v>7</v>
      </c>
      <c r="AX347" t="s">
        <v>74</v>
      </c>
      <c r="AY347" t="s">
        <v>74</v>
      </c>
      <c r="AZ347" t="s">
        <v>74</v>
      </c>
      <c r="BA347" t="s">
        <v>74</v>
      </c>
      <c r="BB347" t="s">
        <v>74</v>
      </c>
      <c r="BC347" t="s">
        <v>74</v>
      </c>
      <c r="BD347" t="s">
        <v>7045</v>
      </c>
      <c r="BE347" t="s">
        <v>7046</v>
      </c>
      <c r="BF347" t="str">
        <f>HYPERLINK("http://dx.doi.org/10.1029/2020JC017025","http://dx.doi.org/10.1029/2020JC017025")</f>
        <v>http://dx.doi.org/10.1029/2020JC017025</v>
      </c>
      <c r="BG347" t="s">
        <v>74</v>
      </c>
      <c r="BH347" t="s">
        <v>74</v>
      </c>
      <c r="BI347">
        <v>22</v>
      </c>
      <c r="BJ347" t="s">
        <v>1134</v>
      </c>
      <c r="BK347" t="s">
        <v>128</v>
      </c>
      <c r="BL347" t="s">
        <v>1134</v>
      </c>
      <c r="BM347" t="s">
        <v>7028</v>
      </c>
      <c r="BN347" t="s">
        <v>74</v>
      </c>
      <c r="BO347" t="s">
        <v>1154</v>
      </c>
      <c r="BP347" t="s">
        <v>74</v>
      </c>
      <c r="BQ347" t="s">
        <v>74</v>
      </c>
      <c r="BR347" t="s">
        <v>102</v>
      </c>
      <c r="BS347" t="s">
        <v>7047</v>
      </c>
      <c r="BT347" t="str">
        <f>HYPERLINK("https%3A%2F%2Fwww.webofscience.com%2Fwos%2Fwoscc%2Ffull-record%2FWOS:000681412200028","View Full Record in Web of Science")</f>
        <v>View Full Record in Web of Science</v>
      </c>
    </row>
    <row r="348" spans="1:72" x14ac:dyDescent="0.15">
      <c r="A348" t="s">
        <v>72</v>
      </c>
      <c r="B348" t="s">
        <v>7048</v>
      </c>
      <c r="C348" t="s">
        <v>74</v>
      </c>
      <c r="D348" t="s">
        <v>74</v>
      </c>
      <c r="E348" t="s">
        <v>74</v>
      </c>
      <c r="F348" t="s">
        <v>7049</v>
      </c>
      <c r="G348" t="s">
        <v>74</v>
      </c>
      <c r="H348" t="s">
        <v>74</v>
      </c>
      <c r="I348" t="s">
        <v>7050</v>
      </c>
      <c r="J348" t="s">
        <v>7051</v>
      </c>
      <c r="K348" t="s">
        <v>74</v>
      </c>
      <c r="L348" t="s">
        <v>74</v>
      </c>
      <c r="M348" t="s">
        <v>78</v>
      </c>
      <c r="N348" t="s">
        <v>79</v>
      </c>
      <c r="O348" t="s">
        <v>74</v>
      </c>
      <c r="P348" t="s">
        <v>74</v>
      </c>
      <c r="Q348" t="s">
        <v>74</v>
      </c>
      <c r="R348" t="s">
        <v>74</v>
      </c>
      <c r="S348" t="s">
        <v>74</v>
      </c>
      <c r="T348" t="s">
        <v>7052</v>
      </c>
      <c r="U348" t="s">
        <v>7053</v>
      </c>
      <c r="V348" t="s">
        <v>7054</v>
      </c>
      <c r="W348" t="s">
        <v>7055</v>
      </c>
      <c r="X348" t="s">
        <v>7056</v>
      </c>
      <c r="Y348" t="s">
        <v>7057</v>
      </c>
      <c r="Z348" t="s">
        <v>7058</v>
      </c>
      <c r="AA348" t="s">
        <v>7059</v>
      </c>
      <c r="AB348" t="s">
        <v>7060</v>
      </c>
      <c r="AC348" t="s">
        <v>74</v>
      </c>
      <c r="AD348" t="s">
        <v>74</v>
      </c>
      <c r="AE348" t="s">
        <v>74</v>
      </c>
      <c r="AF348" t="s">
        <v>74</v>
      </c>
      <c r="AG348">
        <v>47</v>
      </c>
      <c r="AH348">
        <v>4</v>
      </c>
      <c r="AI348">
        <v>4</v>
      </c>
      <c r="AJ348">
        <v>0</v>
      </c>
      <c r="AK348">
        <v>7</v>
      </c>
      <c r="AL348" t="s">
        <v>864</v>
      </c>
      <c r="AM348" t="s">
        <v>865</v>
      </c>
      <c r="AN348" t="s">
        <v>866</v>
      </c>
      <c r="AO348" t="s">
        <v>74</v>
      </c>
      <c r="AP348" t="s">
        <v>7061</v>
      </c>
      <c r="AQ348" t="s">
        <v>74</v>
      </c>
      <c r="AR348" t="s">
        <v>7062</v>
      </c>
      <c r="AS348" t="s">
        <v>7063</v>
      </c>
      <c r="AT348" t="s">
        <v>430</v>
      </c>
      <c r="AU348">
        <v>2021</v>
      </c>
      <c r="AV348">
        <v>8</v>
      </c>
      <c r="AW348">
        <v>7</v>
      </c>
      <c r="AX348" t="s">
        <v>74</v>
      </c>
      <c r="AY348" t="s">
        <v>74</v>
      </c>
      <c r="AZ348" t="s">
        <v>74</v>
      </c>
      <c r="BA348" t="s">
        <v>74</v>
      </c>
      <c r="BB348" t="s">
        <v>74</v>
      </c>
      <c r="BC348" t="s">
        <v>74</v>
      </c>
      <c r="BD348" t="s">
        <v>7064</v>
      </c>
      <c r="BE348" t="s">
        <v>7065</v>
      </c>
      <c r="BF348" t="str">
        <f>HYPERLINK("http://dx.doi.org/10.1029/2021EA001728","http://dx.doi.org/10.1029/2021EA001728")</f>
        <v>http://dx.doi.org/10.1029/2021EA001728</v>
      </c>
      <c r="BG348" t="s">
        <v>74</v>
      </c>
      <c r="BH348" t="s">
        <v>74</v>
      </c>
      <c r="BI348">
        <v>17</v>
      </c>
      <c r="BJ348" t="s">
        <v>7066</v>
      </c>
      <c r="BK348" t="s">
        <v>128</v>
      </c>
      <c r="BL348" t="s">
        <v>7067</v>
      </c>
      <c r="BM348" t="s">
        <v>7068</v>
      </c>
      <c r="BN348" t="s">
        <v>74</v>
      </c>
      <c r="BO348" t="s">
        <v>74</v>
      </c>
      <c r="BP348" t="s">
        <v>74</v>
      </c>
      <c r="BQ348" t="s">
        <v>74</v>
      </c>
      <c r="BR348" t="s">
        <v>102</v>
      </c>
      <c r="BS348" t="s">
        <v>7069</v>
      </c>
      <c r="BT348" t="str">
        <f>HYPERLINK("https%3A%2F%2Fwww.webofscience.com%2Fwos%2Fwoscc%2Ffull-record%2FWOS:000677816100016","View Full Record in Web of Science")</f>
        <v>View Full Record in Web of Science</v>
      </c>
    </row>
    <row r="349" spans="1:72" x14ac:dyDescent="0.15">
      <c r="A349" t="s">
        <v>72</v>
      </c>
      <c r="B349" t="s">
        <v>7070</v>
      </c>
      <c r="C349" t="s">
        <v>74</v>
      </c>
      <c r="D349" t="s">
        <v>74</v>
      </c>
      <c r="E349" t="s">
        <v>74</v>
      </c>
      <c r="F349" t="s">
        <v>7071</v>
      </c>
      <c r="G349" t="s">
        <v>74</v>
      </c>
      <c r="H349" t="s">
        <v>74</v>
      </c>
      <c r="I349" t="s">
        <v>7072</v>
      </c>
      <c r="J349" t="s">
        <v>7073</v>
      </c>
      <c r="K349" t="s">
        <v>74</v>
      </c>
      <c r="L349" t="s">
        <v>74</v>
      </c>
      <c r="M349" t="s">
        <v>78</v>
      </c>
      <c r="N349" t="s">
        <v>79</v>
      </c>
      <c r="O349" t="s">
        <v>74</v>
      </c>
      <c r="P349" t="s">
        <v>74</v>
      </c>
      <c r="Q349" t="s">
        <v>74</v>
      </c>
      <c r="R349" t="s">
        <v>74</v>
      </c>
      <c r="S349" t="s">
        <v>74</v>
      </c>
      <c r="T349" t="s">
        <v>7074</v>
      </c>
      <c r="U349" t="s">
        <v>7075</v>
      </c>
      <c r="V349" t="s">
        <v>7076</v>
      </c>
      <c r="W349" t="s">
        <v>7077</v>
      </c>
      <c r="X349" t="s">
        <v>7078</v>
      </c>
      <c r="Y349" t="s">
        <v>7079</v>
      </c>
      <c r="Z349" t="s">
        <v>7080</v>
      </c>
      <c r="AA349" t="s">
        <v>7081</v>
      </c>
      <c r="AB349" t="s">
        <v>7082</v>
      </c>
      <c r="AC349" t="s">
        <v>74</v>
      </c>
      <c r="AD349" t="s">
        <v>74</v>
      </c>
      <c r="AE349" t="s">
        <v>74</v>
      </c>
      <c r="AF349" t="s">
        <v>74</v>
      </c>
      <c r="AG349">
        <v>59</v>
      </c>
      <c r="AH349">
        <v>33</v>
      </c>
      <c r="AI349">
        <v>35</v>
      </c>
      <c r="AJ349">
        <v>10</v>
      </c>
      <c r="AK349">
        <v>47</v>
      </c>
      <c r="AL349" t="s">
        <v>864</v>
      </c>
      <c r="AM349" t="s">
        <v>865</v>
      </c>
      <c r="AN349" t="s">
        <v>866</v>
      </c>
      <c r="AO349" t="s">
        <v>7083</v>
      </c>
      <c r="AP349" t="s">
        <v>7084</v>
      </c>
      <c r="AQ349" t="s">
        <v>74</v>
      </c>
      <c r="AR349" t="s">
        <v>7085</v>
      </c>
      <c r="AS349" t="s">
        <v>7086</v>
      </c>
      <c r="AT349" t="s">
        <v>430</v>
      </c>
      <c r="AU349">
        <v>2021</v>
      </c>
      <c r="AV349">
        <v>126</v>
      </c>
      <c r="AW349">
        <v>7</v>
      </c>
      <c r="AX349" t="s">
        <v>74</v>
      </c>
      <c r="AY349" t="s">
        <v>74</v>
      </c>
      <c r="AZ349" t="s">
        <v>74</v>
      </c>
      <c r="BA349" t="s">
        <v>74</v>
      </c>
      <c r="BB349" t="s">
        <v>74</v>
      </c>
      <c r="BC349" t="s">
        <v>74</v>
      </c>
      <c r="BD349" t="s">
        <v>7087</v>
      </c>
      <c r="BE349" t="s">
        <v>7088</v>
      </c>
      <c r="BF349" t="str">
        <f>HYPERLINK("http://dx.doi.org/10.1029/2020JB021493","http://dx.doi.org/10.1029/2020JB021493")</f>
        <v>http://dx.doi.org/10.1029/2020JB021493</v>
      </c>
      <c r="BG349" t="s">
        <v>74</v>
      </c>
      <c r="BH349" t="s">
        <v>74</v>
      </c>
      <c r="BI349">
        <v>19</v>
      </c>
      <c r="BJ349" t="s">
        <v>289</v>
      </c>
      <c r="BK349" t="s">
        <v>128</v>
      </c>
      <c r="BL349" t="s">
        <v>289</v>
      </c>
      <c r="BM349" t="s">
        <v>7089</v>
      </c>
      <c r="BN349" t="s">
        <v>74</v>
      </c>
      <c r="BO349" t="s">
        <v>7090</v>
      </c>
      <c r="BP349" t="s">
        <v>74</v>
      </c>
      <c r="BQ349" t="s">
        <v>74</v>
      </c>
      <c r="BR349" t="s">
        <v>102</v>
      </c>
      <c r="BS349" t="s">
        <v>7091</v>
      </c>
      <c r="BT349" t="str">
        <f>HYPERLINK("https%3A%2F%2Fwww.webofscience.com%2Fwos%2Fwoscc%2Ffull-record%2FWOS:000678880700028","View Full Record in Web of Science")</f>
        <v>View Full Record in Web of Science</v>
      </c>
    </row>
    <row r="350" spans="1:72" x14ac:dyDescent="0.15">
      <c r="A350" t="s">
        <v>72</v>
      </c>
      <c r="B350" t="s">
        <v>7092</v>
      </c>
      <c r="C350" t="s">
        <v>74</v>
      </c>
      <c r="D350" t="s">
        <v>74</v>
      </c>
      <c r="E350" t="s">
        <v>74</v>
      </c>
      <c r="F350" t="s">
        <v>7093</v>
      </c>
      <c r="G350" t="s">
        <v>74</v>
      </c>
      <c r="H350" t="s">
        <v>74</v>
      </c>
      <c r="I350" t="s">
        <v>7094</v>
      </c>
      <c r="J350" t="s">
        <v>1248</v>
      </c>
      <c r="K350" t="s">
        <v>74</v>
      </c>
      <c r="L350" t="s">
        <v>74</v>
      </c>
      <c r="M350" t="s">
        <v>78</v>
      </c>
      <c r="N350" t="s">
        <v>79</v>
      </c>
      <c r="O350" t="s">
        <v>74</v>
      </c>
      <c r="P350" t="s">
        <v>74</v>
      </c>
      <c r="Q350" t="s">
        <v>74</v>
      </c>
      <c r="R350" t="s">
        <v>74</v>
      </c>
      <c r="S350" t="s">
        <v>74</v>
      </c>
      <c r="T350" t="s">
        <v>7095</v>
      </c>
      <c r="U350" t="s">
        <v>7096</v>
      </c>
      <c r="V350" t="s">
        <v>7097</v>
      </c>
      <c r="W350" t="s">
        <v>7098</v>
      </c>
      <c r="X350" t="s">
        <v>7099</v>
      </c>
      <c r="Y350" t="s">
        <v>7100</v>
      </c>
      <c r="Z350" t="s">
        <v>7101</v>
      </c>
      <c r="AA350" t="s">
        <v>74</v>
      </c>
      <c r="AB350" t="s">
        <v>7102</v>
      </c>
      <c r="AC350" t="s">
        <v>7103</v>
      </c>
      <c r="AD350" t="s">
        <v>7104</v>
      </c>
      <c r="AE350" t="s">
        <v>7105</v>
      </c>
      <c r="AF350" t="s">
        <v>74</v>
      </c>
      <c r="AG350">
        <v>41</v>
      </c>
      <c r="AH350">
        <v>2</v>
      </c>
      <c r="AI350">
        <v>2</v>
      </c>
      <c r="AJ350">
        <v>0</v>
      </c>
      <c r="AK350">
        <v>5</v>
      </c>
      <c r="AL350" t="s">
        <v>864</v>
      </c>
      <c r="AM350" t="s">
        <v>865</v>
      </c>
      <c r="AN350" t="s">
        <v>866</v>
      </c>
      <c r="AO350" t="s">
        <v>1261</v>
      </c>
      <c r="AP350" t="s">
        <v>1262</v>
      </c>
      <c r="AQ350" t="s">
        <v>74</v>
      </c>
      <c r="AR350" t="s">
        <v>1263</v>
      </c>
      <c r="AS350" t="s">
        <v>1264</v>
      </c>
      <c r="AT350" t="s">
        <v>430</v>
      </c>
      <c r="AU350">
        <v>2021</v>
      </c>
      <c r="AV350">
        <v>126</v>
      </c>
      <c r="AW350">
        <v>7</v>
      </c>
      <c r="AX350" t="s">
        <v>74</v>
      </c>
      <c r="AY350" t="s">
        <v>74</v>
      </c>
      <c r="AZ350" t="s">
        <v>74</v>
      </c>
      <c r="BA350" t="s">
        <v>74</v>
      </c>
      <c r="BB350" t="s">
        <v>74</v>
      </c>
      <c r="BC350" t="s">
        <v>74</v>
      </c>
      <c r="BD350" t="s">
        <v>7106</v>
      </c>
      <c r="BE350" t="s">
        <v>7107</v>
      </c>
      <c r="BF350" t="str">
        <f>HYPERLINK("http://dx.doi.org/10.1029/2020JA029093","http://dx.doi.org/10.1029/2020JA029093")</f>
        <v>http://dx.doi.org/10.1029/2020JA029093</v>
      </c>
      <c r="BG350" t="s">
        <v>74</v>
      </c>
      <c r="BH350" t="s">
        <v>74</v>
      </c>
      <c r="BI350">
        <v>27</v>
      </c>
      <c r="BJ350" t="s">
        <v>1267</v>
      </c>
      <c r="BK350" t="s">
        <v>128</v>
      </c>
      <c r="BL350" t="s">
        <v>1267</v>
      </c>
      <c r="BM350" t="s">
        <v>6965</v>
      </c>
      <c r="BN350" t="s">
        <v>74</v>
      </c>
      <c r="BO350" t="s">
        <v>661</v>
      </c>
      <c r="BP350" t="s">
        <v>74</v>
      </c>
      <c r="BQ350" t="s">
        <v>74</v>
      </c>
      <c r="BR350" t="s">
        <v>102</v>
      </c>
      <c r="BS350" t="s">
        <v>7108</v>
      </c>
      <c r="BT350" t="str">
        <f>HYPERLINK("https%3A%2F%2Fwww.webofscience.com%2Fwos%2Fwoscc%2Ffull-record%2FWOS:000679109000012","View Full Record in Web of Science")</f>
        <v>View Full Record in Web of Science</v>
      </c>
    </row>
    <row r="351" spans="1:72" x14ac:dyDescent="0.15">
      <c r="A351" t="s">
        <v>72</v>
      </c>
      <c r="B351" t="s">
        <v>7109</v>
      </c>
      <c r="C351" t="s">
        <v>74</v>
      </c>
      <c r="D351" t="s">
        <v>74</v>
      </c>
      <c r="E351" t="s">
        <v>74</v>
      </c>
      <c r="F351" t="s">
        <v>7110</v>
      </c>
      <c r="G351" t="s">
        <v>74</v>
      </c>
      <c r="H351" t="s">
        <v>74</v>
      </c>
      <c r="I351" t="s">
        <v>7111</v>
      </c>
      <c r="J351" t="s">
        <v>1248</v>
      </c>
      <c r="K351" t="s">
        <v>74</v>
      </c>
      <c r="L351" t="s">
        <v>74</v>
      </c>
      <c r="M351" t="s">
        <v>78</v>
      </c>
      <c r="N351" t="s">
        <v>79</v>
      </c>
      <c r="O351" t="s">
        <v>74</v>
      </c>
      <c r="P351" t="s">
        <v>74</v>
      </c>
      <c r="Q351" t="s">
        <v>74</v>
      </c>
      <c r="R351" t="s">
        <v>74</v>
      </c>
      <c r="S351" t="s">
        <v>74</v>
      </c>
      <c r="T351" t="s">
        <v>7112</v>
      </c>
      <c r="U351" t="s">
        <v>7113</v>
      </c>
      <c r="V351" t="s">
        <v>7114</v>
      </c>
      <c r="W351" t="s">
        <v>7115</v>
      </c>
      <c r="X351" t="s">
        <v>7116</v>
      </c>
      <c r="Y351" t="s">
        <v>7117</v>
      </c>
      <c r="Z351" t="s">
        <v>7118</v>
      </c>
      <c r="AA351" t="s">
        <v>74</v>
      </c>
      <c r="AB351" t="s">
        <v>7119</v>
      </c>
      <c r="AC351" t="s">
        <v>7120</v>
      </c>
      <c r="AD351" t="s">
        <v>7121</v>
      </c>
      <c r="AE351" t="s">
        <v>7122</v>
      </c>
      <c r="AF351" t="s">
        <v>74</v>
      </c>
      <c r="AG351">
        <v>66</v>
      </c>
      <c r="AH351">
        <v>1</v>
      </c>
      <c r="AI351">
        <v>1</v>
      </c>
      <c r="AJ351">
        <v>0</v>
      </c>
      <c r="AK351">
        <v>6</v>
      </c>
      <c r="AL351" t="s">
        <v>864</v>
      </c>
      <c r="AM351" t="s">
        <v>865</v>
      </c>
      <c r="AN351" t="s">
        <v>866</v>
      </c>
      <c r="AO351" t="s">
        <v>1261</v>
      </c>
      <c r="AP351" t="s">
        <v>1262</v>
      </c>
      <c r="AQ351" t="s">
        <v>74</v>
      </c>
      <c r="AR351" t="s">
        <v>1263</v>
      </c>
      <c r="AS351" t="s">
        <v>1264</v>
      </c>
      <c r="AT351" t="s">
        <v>430</v>
      </c>
      <c r="AU351">
        <v>2021</v>
      </c>
      <c r="AV351">
        <v>126</v>
      </c>
      <c r="AW351">
        <v>7</v>
      </c>
      <c r="AX351" t="s">
        <v>74</v>
      </c>
      <c r="AY351" t="s">
        <v>74</v>
      </c>
      <c r="AZ351" t="s">
        <v>74</v>
      </c>
      <c r="BA351" t="s">
        <v>74</v>
      </c>
      <c r="BB351" t="s">
        <v>74</v>
      </c>
      <c r="BC351" t="s">
        <v>74</v>
      </c>
      <c r="BD351" t="s">
        <v>7123</v>
      </c>
      <c r="BE351" t="s">
        <v>7124</v>
      </c>
      <c r="BF351" t="str">
        <f>HYPERLINK("http://dx.doi.org/10.1029/2021JA029272","http://dx.doi.org/10.1029/2021JA029272")</f>
        <v>http://dx.doi.org/10.1029/2021JA029272</v>
      </c>
      <c r="BG351" t="s">
        <v>74</v>
      </c>
      <c r="BH351" t="s">
        <v>74</v>
      </c>
      <c r="BI351">
        <v>18</v>
      </c>
      <c r="BJ351" t="s">
        <v>1267</v>
      </c>
      <c r="BK351" t="s">
        <v>128</v>
      </c>
      <c r="BL351" t="s">
        <v>1267</v>
      </c>
      <c r="BM351" t="s">
        <v>6965</v>
      </c>
      <c r="BN351" t="s">
        <v>74</v>
      </c>
      <c r="BO351" t="s">
        <v>338</v>
      </c>
      <c r="BP351" t="s">
        <v>74</v>
      </c>
      <c r="BQ351" t="s">
        <v>74</v>
      </c>
      <c r="BR351" t="s">
        <v>102</v>
      </c>
      <c r="BS351" t="s">
        <v>7125</v>
      </c>
      <c r="BT351" t="str">
        <f>HYPERLINK("https%3A%2F%2Fwww.webofscience.com%2Fwos%2Fwoscc%2Ffull-record%2FWOS:000679109000047","View Full Record in Web of Science")</f>
        <v>View Full Record in Web of Science</v>
      </c>
    </row>
    <row r="352" spans="1:72" x14ac:dyDescent="0.15">
      <c r="A352" t="s">
        <v>72</v>
      </c>
      <c r="B352" t="s">
        <v>7126</v>
      </c>
      <c r="C352" t="s">
        <v>74</v>
      </c>
      <c r="D352" t="s">
        <v>74</v>
      </c>
      <c r="E352" t="s">
        <v>74</v>
      </c>
      <c r="F352" t="s">
        <v>7127</v>
      </c>
      <c r="G352" t="s">
        <v>74</v>
      </c>
      <c r="H352" t="s">
        <v>74</v>
      </c>
      <c r="I352" t="s">
        <v>7128</v>
      </c>
      <c r="J352" t="s">
        <v>7129</v>
      </c>
      <c r="K352" t="s">
        <v>74</v>
      </c>
      <c r="L352" t="s">
        <v>74</v>
      </c>
      <c r="M352" t="s">
        <v>78</v>
      </c>
      <c r="N352" t="s">
        <v>79</v>
      </c>
      <c r="O352" t="s">
        <v>74</v>
      </c>
      <c r="P352" t="s">
        <v>74</v>
      </c>
      <c r="Q352" t="s">
        <v>74</v>
      </c>
      <c r="R352" t="s">
        <v>74</v>
      </c>
      <c r="S352" t="s">
        <v>74</v>
      </c>
      <c r="T352" t="s">
        <v>7130</v>
      </c>
      <c r="U352" t="s">
        <v>7131</v>
      </c>
      <c r="V352" t="s">
        <v>7132</v>
      </c>
      <c r="W352" t="s">
        <v>7133</v>
      </c>
      <c r="X352" t="s">
        <v>7134</v>
      </c>
      <c r="Y352" t="s">
        <v>7135</v>
      </c>
      <c r="Z352" t="s">
        <v>7136</v>
      </c>
      <c r="AA352" t="s">
        <v>7137</v>
      </c>
      <c r="AB352" t="s">
        <v>7138</v>
      </c>
      <c r="AC352" t="s">
        <v>7139</v>
      </c>
      <c r="AD352" t="s">
        <v>7140</v>
      </c>
      <c r="AE352" t="s">
        <v>7141</v>
      </c>
      <c r="AF352" t="s">
        <v>74</v>
      </c>
      <c r="AG352">
        <v>50</v>
      </c>
      <c r="AH352">
        <v>2</v>
      </c>
      <c r="AI352">
        <v>2</v>
      </c>
      <c r="AJ352">
        <v>0</v>
      </c>
      <c r="AK352">
        <v>10</v>
      </c>
      <c r="AL352" t="s">
        <v>864</v>
      </c>
      <c r="AM352" t="s">
        <v>865</v>
      </c>
      <c r="AN352" t="s">
        <v>866</v>
      </c>
      <c r="AO352" t="s">
        <v>7142</v>
      </c>
      <c r="AP352" t="s">
        <v>7143</v>
      </c>
      <c r="AQ352" t="s">
        <v>74</v>
      </c>
      <c r="AR352" t="s">
        <v>7144</v>
      </c>
      <c r="AS352" t="s">
        <v>7145</v>
      </c>
      <c r="AT352" t="s">
        <v>430</v>
      </c>
      <c r="AU352">
        <v>2021</v>
      </c>
      <c r="AV352">
        <v>126</v>
      </c>
      <c r="AW352">
        <v>7</v>
      </c>
      <c r="AX352" t="s">
        <v>74</v>
      </c>
      <c r="AY352" t="s">
        <v>74</v>
      </c>
      <c r="AZ352" t="s">
        <v>74</v>
      </c>
      <c r="BA352" t="s">
        <v>74</v>
      </c>
      <c r="BB352" t="s">
        <v>74</v>
      </c>
      <c r="BC352" t="s">
        <v>74</v>
      </c>
      <c r="BD352" t="s">
        <v>7146</v>
      </c>
      <c r="BE352" t="s">
        <v>7147</v>
      </c>
      <c r="BF352" t="str">
        <f>HYPERLINK("http://dx.doi.org/10.1029/2020JG005706","http://dx.doi.org/10.1029/2020JG005706")</f>
        <v>http://dx.doi.org/10.1029/2020JG005706</v>
      </c>
      <c r="BG352" t="s">
        <v>74</v>
      </c>
      <c r="BH352" t="s">
        <v>74</v>
      </c>
      <c r="BI352">
        <v>18</v>
      </c>
      <c r="BJ352" t="s">
        <v>7148</v>
      </c>
      <c r="BK352" t="s">
        <v>128</v>
      </c>
      <c r="BL352" t="s">
        <v>3327</v>
      </c>
      <c r="BM352" t="s">
        <v>7149</v>
      </c>
      <c r="BN352" t="s">
        <v>74</v>
      </c>
      <c r="BO352" t="s">
        <v>7150</v>
      </c>
      <c r="BP352" t="s">
        <v>74</v>
      </c>
      <c r="BQ352" t="s">
        <v>74</v>
      </c>
      <c r="BR352" t="s">
        <v>102</v>
      </c>
      <c r="BS352" t="s">
        <v>7151</v>
      </c>
      <c r="BT352" t="str">
        <f>HYPERLINK("https%3A%2F%2Fwww.webofscience.com%2Fwos%2Fwoscc%2Ffull-record%2FWOS:000677821700026","View Full Record in Web of Science")</f>
        <v>View Full Record in Web of Science</v>
      </c>
    </row>
    <row r="353" spans="1:72" x14ac:dyDescent="0.15">
      <c r="A353" t="s">
        <v>72</v>
      </c>
      <c r="B353" t="s">
        <v>7152</v>
      </c>
      <c r="C353" t="s">
        <v>74</v>
      </c>
      <c r="D353" t="s">
        <v>74</v>
      </c>
      <c r="E353" t="s">
        <v>74</v>
      </c>
      <c r="F353" t="s">
        <v>7153</v>
      </c>
      <c r="G353" t="s">
        <v>74</v>
      </c>
      <c r="H353" t="s">
        <v>74</v>
      </c>
      <c r="I353" t="s">
        <v>7154</v>
      </c>
      <c r="J353" t="s">
        <v>7155</v>
      </c>
      <c r="K353" t="s">
        <v>74</v>
      </c>
      <c r="L353" t="s">
        <v>74</v>
      </c>
      <c r="M353" t="s">
        <v>78</v>
      </c>
      <c r="N353" t="s">
        <v>79</v>
      </c>
      <c r="O353" t="s">
        <v>74</v>
      </c>
      <c r="P353" t="s">
        <v>74</v>
      </c>
      <c r="Q353" t="s">
        <v>74</v>
      </c>
      <c r="R353" t="s">
        <v>74</v>
      </c>
      <c r="S353" t="s">
        <v>74</v>
      </c>
      <c r="T353" t="s">
        <v>7156</v>
      </c>
      <c r="U353" t="s">
        <v>7157</v>
      </c>
      <c r="V353" t="s">
        <v>7158</v>
      </c>
      <c r="W353" t="s">
        <v>7159</v>
      </c>
      <c r="X353" t="s">
        <v>7160</v>
      </c>
      <c r="Y353" t="s">
        <v>7161</v>
      </c>
      <c r="Z353" t="s">
        <v>7162</v>
      </c>
      <c r="AA353" t="s">
        <v>7163</v>
      </c>
      <c r="AB353" t="s">
        <v>7164</v>
      </c>
      <c r="AC353" t="s">
        <v>7165</v>
      </c>
      <c r="AD353" t="s">
        <v>7166</v>
      </c>
      <c r="AE353" t="s">
        <v>7167</v>
      </c>
      <c r="AF353" t="s">
        <v>74</v>
      </c>
      <c r="AG353">
        <v>108</v>
      </c>
      <c r="AH353">
        <v>10</v>
      </c>
      <c r="AI353">
        <v>10</v>
      </c>
      <c r="AJ353">
        <v>1</v>
      </c>
      <c r="AK353">
        <v>8</v>
      </c>
      <c r="AL353" t="s">
        <v>864</v>
      </c>
      <c r="AM353" t="s">
        <v>865</v>
      </c>
      <c r="AN353" t="s">
        <v>866</v>
      </c>
      <c r="AO353" t="s">
        <v>7168</v>
      </c>
      <c r="AP353" t="s">
        <v>7169</v>
      </c>
      <c r="AQ353" t="s">
        <v>74</v>
      </c>
      <c r="AR353" t="s">
        <v>7170</v>
      </c>
      <c r="AS353" t="s">
        <v>7171</v>
      </c>
      <c r="AT353" t="s">
        <v>430</v>
      </c>
      <c r="AU353">
        <v>2021</v>
      </c>
      <c r="AV353">
        <v>126</v>
      </c>
      <c r="AW353">
        <v>7</v>
      </c>
      <c r="AX353" t="s">
        <v>74</v>
      </c>
      <c r="AY353" t="s">
        <v>74</v>
      </c>
      <c r="AZ353" t="s">
        <v>74</v>
      </c>
      <c r="BA353" t="s">
        <v>74</v>
      </c>
      <c r="BB353" t="s">
        <v>74</v>
      </c>
      <c r="BC353" t="s">
        <v>74</v>
      </c>
      <c r="BD353" t="s">
        <v>7172</v>
      </c>
      <c r="BE353" t="s">
        <v>7173</v>
      </c>
      <c r="BF353" t="str">
        <f>HYPERLINK("http://dx.doi.org/10.1029/2020JF006003","http://dx.doi.org/10.1029/2020JF006003")</f>
        <v>http://dx.doi.org/10.1029/2020JF006003</v>
      </c>
      <c r="BG353" t="s">
        <v>74</v>
      </c>
      <c r="BH353" t="s">
        <v>74</v>
      </c>
      <c r="BI353">
        <v>26</v>
      </c>
      <c r="BJ353" t="s">
        <v>405</v>
      </c>
      <c r="BK353" t="s">
        <v>128</v>
      </c>
      <c r="BL353" t="s">
        <v>406</v>
      </c>
      <c r="BM353" t="s">
        <v>7174</v>
      </c>
      <c r="BN353" t="s">
        <v>74</v>
      </c>
      <c r="BO353" t="s">
        <v>7175</v>
      </c>
      <c r="BP353" t="s">
        <v>74</v>
      </c>
      <c r="BQ353" t="s">
        <v>74</v>
      </c>
      <c r="BR353" t="s">
        <v>102</v>
      </c>
      <c r="BS353" t="s">
        <v>7176</v>
      </c>
      <c r="BT353" t="str">
        <f>HYPERLINK("https%3A%2F%2Fwww.webofscience.com%2Fwos%2Fwoscc%2Ffull-record%2FWOS:000678954200002","View Full Record in Web of Science")</f>
        <v>View Full Record in Web of Science</v>
      </c>
    </row>
    <row r="354" spans="1:72" x14ac:dyDescent="0.15">
      <c r="A354" t="s">
        <v>72</v>
      </c>
      <c r="B354" t="s">
        <v>7177</v>
      </c>
      <c r="C354" t="s">
        <v>74</v>
      </c>
      <c r="D354" t="s">
        <v>74</v>
      </c>
      <c r="E354" t="s">
        <v>74</v>
      </c>
      <c r="F354" t="s">
        <v>7178</v>
      </c>
      <c r="G354" t="s">
        <v>74</v>
      </c>
      <c r="H354" t="s">
        <v>74</v>
      </c>
      <c r="I354" t="s">
        <v>7179</v>
      </c>
      <c r="J354" t="s">
        <v>7155</v>
      </c>
      <c r="K354" t="s">
        <v>74</v>
      </c>
      <c r="L354" t="s">
        <v>74</v>
      </c>
      <c r="M354" t="s">
        <v>78</v>
      </c>
      <c r="N354" t="s">
        <v>79</v>
      </c>
      <c r="O354" t="s">
        <v>74</v>
      </c>
      <c r="P354" t="s">
        <v>74</v>
      </c>
      <c r="Q354" t="s">
        <v>74</v>
      </c>
      <c r="R354" t="s">
        <v>74</v>
      </c>
      <c r="S354" t="s">
        <v>74</v>
      </c>
      <c r="T354" t="s">
        <v>7180</v>
      </c>
      <c r="U354" t="s">
        <v>7181</v>
      </c>
      <c r="V354" t="s">
        <v>7182</v>
      </c>
      <c r="W354" t="s">
        <v>7183</v>
      </c>
      <c r="X354" t="s">
        <v>7184</v>
      </c>
      <c r="Y354" t="s">
        <v>7185</v>
      </c>
      <c r="Z354" t="s">
        <v>7186</v>
      </c>
      <c r="AA354" t="s">
        <v>7187</v>
      </c>
      <c r="AB354" t="s">
        <v>7188</v>
      </c>
      <c r="AC354" t="s">
        <v>7189</v>
      </c>
      <c r="AD354" t="s">
        <v>7190</v>
      </c>
      <c r="AE354" t="s">
        <v>7191</v>
      </c>
      <c r="AF354" t="s">
        <v>74</v>
      </c>
      <c r="AG354">
        <v>58</v>
      </c>
      <c r="AH354">
        <v>16</v>
      </c>
      <c r="AI354">
        <v>18</v>
      </c>
      <c r="AJ354">
        <v>0</v>
      </c>
      <c r="AK354">
        <v>7</v>
      </c>
      <c r="AL354" t="s">
        <v>864</v>
      </c>
      <c r="AM354" t="s">
        <v>865</v>
      </c>
      <c r="AN354" t="s">
        <v>866</v>
      </c>
      <c r="AO354" t="s">
        <v>7168</v>
      </c>
      <c r="AP354" t="s">
        <v>7169</v>
      </c>
      <c r="AQ354" t="s">
        <v>74</v>
      </c>
      <c r="AR354" t="s">
        <v>7170</v>
      </c>
      <c r="AS354" t="s">
        <v>7171</v>
      </c>
      <c r="AT354" t="s">
        <v>430</v>
      </c>
      <c r="AU354">
        <v>2021</v>
      </c>
      <c r="AV354">
        <v>126</v>
      </c>
      <c r="AW354">
        <v>7</v>
      </c>
      <c r="AX354" t="s">
        <v>74</v>
      </c>
      <c r="AY354" t="s">
        <v>74</v>
      </c>
      <c r="AZ354" t="s">
        <v>74</v>
      </c>
      <c r="BA354" t="s">
        <v>74</v>
      </c>
      <c r="BB354" t="s">
        <v>74</v>
      </c>
      <c r="BC354" t="s">
        <v>74</v>
      </c>
      <c r="BD354" t="s">
        <v>7192</v>
      </c>
      <c r="BE354" t="s">
        <v>7193</v>
      </c>
      <c r="BF354" t="str">
        <f>HYPERLINK("http://dx.doi.org/10.1029/2021JF006191","http://dx.doi.org/10.1029/2021JF006191")</f>
        <v>http://dx.doi.org/10.1029/2021JF006191</v>
      </c>
      <c r="BG354" t="s">
        <v>74</v>
      </c>
      <c r="BH354" t="s">
        <v>74</v>
      </c>
      <c r="BI354">
        <v>17</v>
      </c>
      <c r="BJ354" t="s">
        <v>405</v>
      </c>
      <c r="BK354" t="s">
        <v>128</v>
      </c>
      <c r="BL354" t="s">
        <v>406</v>
      </c>
      <c r="BM354" t="s">
        <v>7174</v>
      </c>
      <c r="BN354" t="s">
        <v>74</v>
      </c>
      <c r="BO354" t="s">
        <v>6693</v>
      </c>
      <c r="BP354" t="s">
        <v>74</v>
      </c>
      <c r="BQ354" t="s">
        <v>74</v>
      </c>
      <c r="BR354" t="s">
        <v>102</v>
      </c>
      <c r="BS354" t="s">
        <v>7194</v>
      </c>
      <c r="BT354" t="str">
        <f>HYPERLINK("https%3A%2F%2Fwww.webofscience.com%2Fwos%2Fwoscc%2Ffull-record%2FWOS:000678954200003","View Full Record in Web of Science")</f>
        <v>View Full Record in Web of Science</v>
      </c>
    </row>
    <row r="355" spans="1:72" x14ac:dyDescent="0.15">
      <c r="A355" t="s">
        <v>72</v>
      </c>
      <c r="B355" t="s">
        <v>7195</v>
      </c>
      <c r="C355" t="s">
        <v>74</v>
      </c>
      <c r="D355" t="s">
        <v>74</v>
      </c>
      <c r="E355" t="s">
        <v>74</v>
      </c>
      <c r="F355" t="s">
        <v>7196</v>
      </c>
      <c r="G355" t="s">
        <v>74</v>
      </c>
      <c r="H355" t="s">
        <v>7197</v>
      </c>
      <c r="I355" t="s">
        <v>7198</v>
      </c>
      <c r="J355" t="s">
        <v>1311</v>
      </c>
      <c r="K355" t="s">
        <v>74</v>
      </c>
      <c r="L355" t="s">
        <v>74</v>
      </c>
      <c r="M355" t="s">
        <v>78</v>
      </c>
      <c r="N355" t="s">
        <v>79</v>
      </c>
      <c r="O355" t="s">
        <v>74</v>
      </c>
      <c r="P355" t="s">
        <v>74</v>
      </c>
      <c r="Q355" t="s">
        <v>74</v>
      </c>
      <c r="R355" t="s">
        <v>74</v>
      </c>
      <c r="S355" t="s">
        <v>74</v>
      </c>
      <c r="T355" t="s">
        <v>74</v>
      </c>
      <c r="U355" t="s">
        <v>7199</v>
      </c>
      <c r="V355" t="s">
        <v>7200</v>
      </c>
      <c r="W355" t="s">
        <v>7201</v>
      </c>
      <c r="X355" t="s">
        <v>7202</v>
      </c>
      <c r="Y355" t="s">
        <v>7203</v>
      </c>
      <c r="Z355" t="s">
        <v>7204</v>
      </c>
      <c r="AA355" t="s">
        <v>7205</v>
      </c>
      <c r="AB355" t="s">
        <v>7206</v>
      </c>
      <c r="AC355" t="s">
        <v>7207</v>
      </c>
      <c r="AD355" t="s">
        <v>7208</v>
      </c>
      <c r="AE355" t="s">
        <v>7209</v>
      </c>
      <c r="AF355" t="s">
        <v>74</v>
      </c>
      <c r="AG355">
        <v>126</v>
      </c>
      <c r="AH355">
        <v>9</v>
      </c>
      <c r="AI355">
        <v>12</v>
      </c>
      <c r="AJ355">
        <v>3</v>
      </c>
      <c r="AK355">
        <v>17</v>
      </c>
      <c r="AL355" t="s">
        <v>864</v>
      </c>
      <c r="AM355" t="s">
        <v>865</v>
      </c>
      <c r="AN355" t="s">
        <v>866</v>
      </c>
      <c r="AO355" t="s">
        <v>1322</v>
      </c>
      <c r="AP355" t="s">
        <v>1323</v>
      </c>
      <c r="AQ355" t="s">
        <v>74</v>
      </c>
      <c r="AR355" t="s">
        <v>1324</v>
      </c>
      <c r="AS355" t="s">
        <v>1325</v>
      </c>
      <c r="AT355" t="s">
        <v>430</v>
      </c>
      <c r="AU355">
        <v>2021</v>
      </c>
      <c r="AV355">
        <v>36</v>
      </c>
      <c r="AW355">
        <v>7</v>
      </c>
      <c r="AX355" t="s">
        <v>74</v>
      </c>
      <c r="AY355" t="s">
        <v>74</v>
      </c>
      <c r="AZ355" t="s">
        <v>74</v>
      </c>
      <c r="BA355" t="s">
        <v>74</v>
      </c>
      <c r="BB355" t="s">
        <v>74</v>
      </c>
      <c r="BC355" t="s">
        <v>74</v>
      </c>
      <c r="BD355" t="s">
        <v>7210</v>
      </c>
      <c r="BE355" t="s">
        <v>7211</v>
      </c>
      <c r="BF355" t="str">
        <f>HYPERLINK("http://dx.doi.org/10.1029/2020PA004084","http://dx.doi.org/10.1029/2020PA004084")</f>
        <v>http://dx.doi.org/10.1029/2020PA004084</v>
      </c>
      <c r="BG355" t="s">
        <v>74</v>
      </c>
      <c r="BH355" t="s">
        <v>74</v>
      </c>
      <c r="BI355">
        <v>17</v>
      </c>
      <c r="BJ355" t="s">
        <v>1328</v>
      </c>
      <c r="BK355" t="s">
        <v>128</v>
      </c>
      <c r="BL355" t="s">
        <v>1329</v>
      </c>
      <c r="BM355" t="s">
        <v>7212</v>
      </c>
      <c r="BN355" t="s">
        <v>74</v>
      </c>
      <c r="BO355" t="s">
        <v>2199</v>
      </c>
      <c r="BP355" t="s">
        <v>74</v>
      </c>
      <c r="BQ355" t="s">
        <v>74</v>
      </c>
      <c r="BR355" t="s">
        <v>102</v>
      </c>
      <c r="BS355" t="s">
        <v>7213</v>
      </c>
      <c r="BT355" t="str">
        <f>HYPERLINK("https%3A%2F%2Fwww.webofscience.com%2Fwos%2Fwoscc%2Ffull-record%2FWOS:000679067400009","View Full Record in Web of Science")</f>
        <v>View Full Record in Web of Science</v>
      </c>
    </row>
    <row r="356" spans="1:72" x14ac:dyDescent="0.15">
      <c r="A356" t="s">
        <v>72</v>
      </c>
      <c r="B356" t="s">
        <v>7214</v>
      </c>
      <c r="C356" t="s">
        <v>74</v>
      </c>
      <c r="D356" t="s">
        <v>74</v>
      </c>
      <c r="E356" t="s">
        <v>74</v>
      </c>
      <c r="F356" t="s">
        <v>7215</v>
      </c>
      <c r="G356" t="s">
        <v>74</v>
      </c>
      <c r="H356" t="s">
        <v>74</v>
      </c>
      <c r="I356" t="s">
        <v>7216</v>
      </c>
      <c r="J356" t="s">
        <v>1311</v>
      </c>
      <c r="K356" t="s">
        <v>74</v>
      </c>
      <c r="L356" t="s">
        <v>74</v>
      </c>
      <c r="M356" t="s">
        <v>78</v>
      </c>
      <c r="N356" t="s">
        <v>79</v>
      </c>
      <c r="O356" t="s">
        <v>74</v>
      </c>
      <c r="P356" t="s">
        <v>74</v>
      </c>
      <c r="Q356" t="s">
        <v>74</v>
      </c>
      <c r="R356" t="s">
        <v>74</v>
      </c>
      <c r="S356" t="s">
        <v>74</v>
      </c>
      <c r="T356" t="s">
        <v>7217</v>
      </c>
      <c r="U356" t="s">
        <v>7218</v>
      </c>
      <c r="V356" t="s">
        <v>7219</v>
      </c>
      <c r="W356" t="s">
        <v>7220</v>
      </c>
      <c r="X356" t="s">
        <v>7221</v>
      </c>
      <c r="Y356" t="s">
        <v>7222</v>
      </c>
      <c r="Z356" t="s">
        <v>7223</v>
      </c>
      <c r="AA356" t="s">
        <v>7224</v>
      </c>
      <c r="AB356" t="s">
        <v>7225</v>
      </c>
      <c r="AC356" t="s">
        <v>7226</v>
      </c>
      <c r="AD356" t="s">
        <v>7227</v>
      </c>
      <c r="AE356" t="s">
        <v>7228</v>
      </c>
      <c r="AF356" t="s">
        <v>74</v>
      </c>
      <c r="AG356">
        <v>111</v>
      </c>
      <c r="AH356">
        <v>23</v>
      </c>
      <c r="AI356">
        <v>25</v>
      </c>
      <c r="AJ356">
        <v>10</v>
      </c>
      <c r="AK356">
        <v>51</v>
      </c>
      <c r="AL356" t="s">
        <v>864</v>
      </c>
      <c r="AM356" t="s">
        <v>865</v>
      </c>
      <c r="AN356" t="s">
        <v>866</v>
      </c>
      <c r="AO356" t="s">
        <v>1322</v>
      </c>
      <c r="AP356" t="s">
        <v>1323</v>
      </c>
      <c r="AQ356" t="s">
        <v>74</v>
      </c>
      <c r="AR356" t="s">
        <v>1324</v>
      </c>
      <c r="AS356" t="s">
        <v>1325</v>
      </c>
      <c r="AT356" t="s">
        <v>430</v>
      </c>
      <c r="AU356">
        <v>2021</v>
      </c>
      <c r="AV356">
        <v>36</v>
      </c>
      <c r="AW356">
        <v>7</v>
      </c>
      <c r="AX356" t="s">
        <v>74</v>
      </c>
      <c r="AY356" t="s">
        <v>74</v>
      </c>
      <c r="AZ356" t="s">
        <v>74</v>
      </c>
      <c r="BA356" t="s">
        <v>74</v>
      </c>
      <c r="BB356" t="s">
        <v>74</v>
      </c>
      <c r="BC356" t="s">
        <v>74</v>
      </c>
      <c r="BD356" t="s">
        <v>7229</v>
      </c>
      <c r="BE356" t="s">
        <v>7230</v>
      </c>
      <c r="BF356" t="str">
        <f>HYPERLINK("http://dx.doi.org/10.1029/2021PA004267","http://dx.doi.org/10.1029/2021PA004267")</f>
        <v>http://dx.doi.org/10.1029/2021PA004267</v>
      </c>
      <c r="BG356" t="s">
        <v>74</v>
      </c>
      <c r="BH356" t="s">
        <v>74</v>
      </c>
      <c r="BI356">
        <v>19</v>
      </c>
      <c r="BJ356" t="s">
        <v>1328</v>
      </c>
      <c r="BK356" t="s">
        <v>128</v>
      </c>
      <c r="BL356" t="s">
        <v>1329</v>
      </c>
      <c r="BM356" t="s">
        <v>7212</v>
      </c>
      <c r="BN356" t="s">
        <v>74</v>
      </c>
      <c r="BO356" t="s">
        <v>2514</v>
      </c>
      <c r="BP356" t="s">
        <v>74</v>
      </c>
      <c r="BQ356" t="s">
        <v>74</v>
      </c>
      <c r="BR356" t="s">
        <v>102</v>
      </c>
      <c r="BS356" t="s">
        <v>7231</v>
      </c>
      <c r="BT356" t="str">
        <f>HYPERLINK("https%3A%2F%2Fwww.webofscience.com%2Fwos%2Fwoscc%2Ffull-record%2FWOS:000679067400004","View Full Record in Web of Science")</f>
        <v>View Full Record in Web of Science</v>
      </c>
    </row>
    <row r="357" spans="1:72" x14ac:dyDescent="0.15">
      <c r="A357" t="s">
        <v>72</v>
      </c>
      <c r="B357" t="s">
        <v>7232</v>
      </c>
      <c r="C357" t="s">
        <v>74</v>
      </c>
      <c r="D357" t="s">
        <v>74</v>
      </c>
      <c r="E357" t="s">
        <v>74</v>
      </c>
      <c r="F357" t="s">
        <v>7233</v>
      </c>
      <c r="G357" t="s">
        <v>74</v>
      </c>
      <c r="H357" t="s">
        <v>74</v>
      </c>
      <c r="I357" t="s">
        <v>7234</v>
      </c>
      <c r="J357" t="s">
        <v>1311</v>
      </c>
      <c r="K357" t="s">
        <v>74</v>
      </c>
      <c r="L357" t="s">
        <v>74</v>
      </c>
      <c r="M357" t="s">
        <v>78</v>
      </c>
      <c r="N357" t="s">
        <v>79</v>
      </c>
      <c r="O357" t="s">
        <v>74</v>
      </c>
      <c r="P357" t="s">
        <v>74</v>
      </c>
      <c r="Q357" t="s">
        <v>74</v>
      </c>
      <c r="R357" t="s">
        <v>74</v>
      </c>
      <c r="S357" t="s">
        <v>74</v>
      </c>
      <c r="T357" t="s">
        <v>74</v>
      </c>
      <c r="U357" t="s">
        <v>7235</v>
      </c>
      <c r="V357" t="s">
        <v>7236</v>
      </c>
      <c r="W357" t="s">
        <v>7237</v>
      </c>
      <c r="X357" t="s">
        <v>7238</v>
      </c>
      <c r="Y357" t="s">
        <v>7239</v>
      </c>
      <c r="Z357" t="s">
        <v>7240</v>
      </c>
      <c r="AA357" t="s">
        <v>7241</v>
      </c>
      <c r="AB357" t="s">
        <v>7242</v>
      </c>
      <c r="AC357" t="s">
        <v>7243</v>
      </c>
      <c r="AD357" t="s">
        <v>7244</v>
      </c>
      <c r="AE357" t="s">
        <v>7245</v>
      </c>
      <c r="AF357" t="s">
        <v>74</v>
      </c>
      <c r="AG357">
        <v>103</v>
      </c>
      <c r="AH357">
        <v>4</v>
      </c>
      <c r="AI357">
        <v>4</v>
      </c>
      <c r="AJ357">
        <v>4</v>
      </c>
      <c r="AK357">
        <v>13</v>
      </c>
      <c r="AL357" t="s">
        <v>864</v>
      </c>
      <c r="AM357" t="s">
        <v>865</v>
      </c>
      <c r="AN357" t="s">
        <v>866</v>
      </c>
      <c r="AO357" t="s">
        <v>1322</v>
      </c>
      <c r="AP357" t="s">
        <v>1323</v>
      </c>
      <c r="AQ357" t="s">
        <v>74</v>
      </c>
      <c r="AR357" t="s">
        <v>1324</v>
      </c>
      <c r="AS357" t="s">
        <v>1325</v>
      </c>
      <c r="AT357" t="s">
        <v>430</v>
      </c>
      <c r="AU357">
        <v>2021</v>
      </c>
      <c r="AV357">
        <v>36</v>
      </c>
      <c r="AW357">
        <v>7</v>
      </c>
      <c r="AX357" t="s">
        <v>74</v>
      </c>
      <c r="AY357" t="s">
        <v>74</v>
      </c>
      <c r="AZ357" t="s">
        <v>74</v>
      </c>
      <c r="BA357" t="s">
        <v>74</v>
      </c>
      <c r="BB357" t="s">
        <v>74</v>
      </c>
      <c r="BC357" t="s">
        <v>74</v>
      </c>
      <c r="BD357" t="s">
        <v>7246</v>
      </c>
      <c r="BE357" t="s">
        <v>7247</v>
      </c>
      <c r="BF357" t="str">
        <f>HYPERLINK("http://dx.doi.org/10.1029/2020PA004075","http://dx.doi.org/10.1029/2020PA004075")</f>
        <v>http://dx.doi.org/10.1029/2020PA004075</v>
      </c>
      <c r="BG357" t="s">
        <v>74</v>
      </c>
      <c r="BH357" t="s">
        <v>74</v>
      </c>
      <c r="BI357">
        <v>15</v>
      </c>
      <c r="BJ357" t="s">
        <v>1328</v>
      </c>
      <c r="BK357" t="s">
        <v>128</v>
      </c>
      <c r="BL357" t="s">
        <v>1329</v>
      </c>
      <c r="BM357" t="s">
        <v>7212</v>
      </c>
      <c r="BN357" t="s">
        <v>74</v>
      </c>
      <c r="BO357" t="s">
        <v>2199</v>
      </c>
      <c r="BP357" t="s">
        <v>74</v>
      </c>
      <c r="BQ357" t="s">
        <v>74</v>
      </c>
      <c r="BR357" t="s">
        <v>102</v>
      </c>
      <c r="BS357" t="s">
        <v>7248</v>
      </c>
      <c r="BT357" t="str">
        <f>HYPERLINK("https%3A%2F%2Fwww.webofscience.com%2Fwos%2Fwoscc%2Ffull-record%2FWOS:000679067400013","View Full Record in Web of Science")</f>
        <v>View Full Record in Web of Science</v>
      </c>
    </row>
    <row r="358" spans="1:72" x14ac:dyDescent="0.15">
      <c r="A358" t="s">
        <v>72</v>
      </c>
      <c r="B358" t="s">
        <v>7249</v>
      </c>
      <c r="C358" t="s">
        <v>74</v>
      </c>
      <c r="D358" t="s">
        <v>74</v>
      </c>
      <c r="E358" t="s">
        <v>74</v>
      </c>
      <c r="F358" t="s">
        <v>7250</v>
      </c>
      <c r="G358" t="s">
        <v>74</v>
      </c>
      <c r="H358" t="s">
        <v>74</v>
      </c>
      <c r="I358" t="s">
        <v>7251</v>
      </c>
      <c r="J358" t="s">
        <v>1311</v>
      </c>
      <c r="K358" t="s">
        <v>74</v>
      </c>
      <c r="L358" t="s">
        <v>74</v>
      </c>
      <c r="M358" t="s">
        <v>78</v>
      </c>
      <c r="N358" t="s">
        <v>79</v>
      </c>
      <c r="O358" t="s">
        <v>74</v>
      </c>
      <c r="P358" t="s">
        <v>74</v>
      </c>
      <c r="Q358" t="s">
        <v>74</v>
      </c>
      <c r="R358" t="s">
        <v>74</v>
      </c>
      <c r="S358" t="s">
        <v>74</v>
      </c>
      <c r="T358" t="s">
        <v>7252</v>
      </c>
      <c r="U358" t="s">
        <v>7253</v>
      </c>
      <c r="V358" t="s">
        <v>7254</v>
      </c>
      <c r="W358" t="s">
        <v>7255</v>
      </c>
      <c r="X358" t="s">
        <v>7256</v>
      </c>
      <c r="Y358" t="s">
        <v>4144</v>
      </c>
      <c r="Z358" t="s">
        <v>7257</v>
      </c>
      <c r="AA358" t="s">
        <v>7258</v>
      </c>
      <c r="AB358" t="s">
        <v>7259</v>
      </c>
      <c r="AC358" t="s">
        <v>7260</v>
      </c>
      <c r="AD358" t="s">
        <v>7261</v>
      </c>
      <c r="AE358" t="s">
        <v>7262</v>
      </c>
      <c r="AF358" t="s">
        <v>74</v>
      </c>
      <c r="AG358">
        <v>138</v>
      </c>
      <c r="AH358">
        <v>10</v>
      </c>
      <c r="AI358">
        <v>10</v>
      </c>
      <c r="AJ358">
        <v>4</v>
      </c>
      <c r="AK358">
        <v>24</v>
      </c>
      <c r="AL358" t="s">
        <v>864</v>
      </c>
      <c r="AM358" t="s">
        <v>865</v>
      </c>
      <c r="AN358" t="s">
        <v>866</v>
      </c>
      <c r="AO358" t="s">
        <v>1322</v>
      </c>
      <c r="AP358" t="s">
        <v>1323</v>
      </c>
      <c r="AQ358" t="s">
        <v>74</v>
      </c>
      <c r="AR358" t="s">
        <v>1324</v>
      </c>
      <c r="AS358" t="s">
        <v>1325</v>
      </c>
      <c r="AT358" t="s">
        <v>430</v>
      </c>
      <c r="AU358">
        <v>2021</v>
      </c>
      <c r="AV358">
        <v>36</v>
      </c>
      <c r="AW358">
        <v>7</v>
      </c>
      <c r="AX358" t="s">
        <v>74</v>
      </c>
      <c r="AY358" t="s">
        <v>74</v>
      </c>
      <c r="AZ358" t="s">
        <v>74</v>
      </c>
      <c r="BA358" t="s">
        <v>74</v>
      </c>
      <c r="BB358" t="s">
        <v>74</v>
      </c>
      <c r="BC358" t="s">
        <v>74</v>
      </c>
      <c r="BD358" t="s">
        <v>7263</v>
      </c>
      <c r="BE358" t="s">
        <v>7264</v>
      </c>
      <c r="BF358" t="str">
        <f>HYPERLINK("http://dx.doi.org/10.1029/2020PA004059","http://dx.doi.org/10.1029/2020PA004059")</f>
        <v>http://dx.doi.org/10.1029/2020PA004059</v>
      </c>
      <c r="BG358" t="s">
        <v>74</v>
      </c>
      <c r="BH358" t="s">
        <v>74</v>
      </c>
      <c r="BI358">
        <v>19</v>
      </c>
      <c r="BJ358" t="s">
        <v>1328</v>
      </c>
      <c r="BK358" t="s">
        <v>128</v>
      </c>
      <c r="BL358" t="s">
        <v>1329</v>
      </c>
      <c r="BM358" t="s">
        <v>7212</v>
      </c>
      <c r="BN358" t="s">
        <v>74</v>
      </c>
      <c r="BO358" t="s">
        <v>1154</v>
      </c>
      <c r="BP358" t="s">
        <v>74</v>
      </c>
      <c r="BQ358" t="s">
        <v>74</v>
      </c>
      <c r="BR358" t="s">
        <v>102</v>
      </c>
      <c r="BS358" t="s">
        <v>7265</v>
      </c>
      <c r="BT358" t="str">
        <f>HYPERLINK("https%3A%2F%2Fwww.webofscience.com%2Fwos%2Fwoscc%2Ffull-record%2FWOS:000679067400012","View Full Record in Web of Science")</f>
        <v>View Full Record in Web of Science</v>
      </c>
    </row>
    <row r="359" spans="1:72" x14ac:dyDescent="0.15">
      <c r="A359" t="s">
        <v>72</v>
      </c>
      <c r="B359" t="s">
        <v>7266</v>
      </c>
      <c r="C359" t="s">
        <v>74</v>
      </c>
      <c r="D359" t="s">
        <v>74</v>
      </c>
      <c r="E359" t="s">
        <v>74</v>
      </c>
      <c r="F359" t="s">
        <v>7267</v>
      </c>
      <c r="G359" t="s">
        <v>74</v>
      </c>
      <c r="H359" t="s">
        <v>74</v>
      </c>
      <c r="I359" t="s">
        <v>7268</v>
      </c>
      <c r="J359" t="s">
        <v>1750</v>
      </c>
      <c r="K359" t="s">
        <v>74</v>
      </c>
      <c r="L359" t="s">
        <v>74</v>
      </c>
      <c r="M359" t="s">
        <v>78</v>
      </c>
      <c r="N359" t="s">
        <v>79</v>
      </c>
      <c r="O359" t="s">
        <v>74</v>
      </c>
      <c r="P359" t="s">
        <v>74</v>
      </c>
      <c r="Q359" t="s">
        <v>74</v>
      </c>
      <c r="R359" t="s">
        <v>74</v>
      </c>
      <c r="S359" t="s">
        <v>74</v>
      </c>
      <c r="T359" t="s">
        <v>7269</v>
      </c>
      <c r="U359" t="s">
        <v>7270</v>
      </c>
      <c r="V359" t="s">
        <v>7271</v>
      </c>
      <c r="W359" t="s">
        <v>7272</v>
      </c>
      <c r="X359" t="s">
        <v>7273</v>
      </c>
      <c r="Y359" t="s">
        <v>7274</v>
      </c>
      <c r="Z359" t="s">
        <v>7275</v>
      </c>
      <c r="AA359" t="s">
        <v>7276</v>
      </c>
      <c r="AB359" t="s">
        <v>7277</v>
      </c>
      <c r="AC359" t="s">
        <v>7278</v>
      </c>
      <c r="AD359" t="s">
        <v>7279</v>
      </c>
      <c r="AE359" t="s">
        <v>7280</v>
      </c>
      <c r="AF359" t="s">
        <v>74</v>
      </c>
      <c r="AG359">
        <v>94</v>
      </c>
      <c r="AH359">
        <v>11</v>
      </c>
      <c r="AI359">
        <v>12</v>
      </c>
      <c r="AJ359">
        <v>0</v>
      </c>
      <c r="AK359">
        <v>4</v>
      </c>
      <c r="AL359" t="s">
        <v>864</v>
      </c>
      <c r="AM359" t="s">
        <v>865</v>
      </c>
      <c r="AN359" t="s">
        <v>866</v>
      </c>
      <c r="AO359" t="s">
        <v>74</v>
      </c>
      <c r="AP359" t="s">
        <v>1763</v>
      </c>
      <c r="AQ359" t="s">
        <v>74</v>
      </c>
      <c r="AR359" t="s">
        <v>1764</v>
      </c>
      <c r="AS359" t="s">
        <v>1765</v>
      </c>
      <c r="AT359" t="s">
        <v>430</v>
      </c>
      <c r="AU359">
        <v>2021</v>
      </c>
      <c r="AV359">
        <v>19</v>
      </c>
      <c r="AW359">
        <v>7</v>
      </c>
      <c r="AX359" t="s">
        <v>74</v>
      </c>
      <c r="AY359" t="s">
        <v>74</v>
      </c>
      <c r="AZ359" t="s">
        <v>74</v>
      </c>
      <c r="BA359" t="s">
        <v>74</v>
      </c>
      <c r="BB359" t="s">
        <v>74</v>
      </c>
      <c r="BC359" t="s">
        <v>74</v>
      </c>
      <c r="BD359" t="s">
        <v>7281</v>
      </c>
      <c r="BE359" t="s">
        <v>7282</v>
      </c>
      <c r="BF359" t="str">
        <f>HYPERLINK("http://dx.doi.org/10.1029/2021SW002764","http://dx.doi.org/10.1029/2021SW002764")</f>
        <v>http://dx.doi.org/10.1029/2021SW002764</v>
      </c>
      <c r="BG359" t="s">
        <v>74</v>
      </c>
      <c r="BH359" t="s">
        <v>74</v>
      </c>
      <c r="BI359">
        <v>17</v>
      </c>
      <c r="BJ359" t="s">
        <v>1768</v>
      </c>
      <c r="BK359" t="s">
        <v>128</v>
      </c>
      <c r="BL359" t="s">
        <v>1768</v>
      </c>
      <c r="BM359" t="s">
        <v>7283</v>
      </c>
      <c r="BN359" t="s">
        <v>74</v>
      </c>
      <c r="BO359" t="s">
        <v>569</v>
      </c>
      <c r="BP359" t="s">
        <v>74</v>
      </c>
      <c r="BQ359" t="s">
        <v>74</v>
      </c>
      <c r="BR359" t="s">
        <v>102</v>
      </c>
      <c r="BS359" t="s">
        <v>7284</v>
      </c>
      <c r="BT359" t="str">
        <f>HYPERLINK("https%3A%2F%2Fwww.webofscience.com%2Fwos%2Fwoscc%2Ffull-record%2FWOS:000679063900006","View Full Record in Web of Science")</f>
        <v>View Full Record in Web of Science</v>
      </c>
    </row>
    <row r="360" spans="1:72" x14ac:dyDescent="0.15">
      <c r="A360" t="s">
        <v>72</v>
      </c>
      <c r="B360" t="s">
        <v>7285</v>
      </c>
      <c r="C360" t="s">
        <v>74</v>
      </c>
      <c r="D360" t="s">
        <v>74</v>
      </c>
      <c r="E360" t="s">
        <v>74</v>
      </c>
      <c r="F360" t="s">
        <v>7286</v>
      </c>
      <c r="G360" t="s">
        <v>74</v>
      </c>
      <c r="H360" t="s">
        <v>74</v>
      </c>
      <c r="I360" t="s">
        <v>7287</v>
      </c>
      <c r="J360" t="s">
        <v>7288</v>
      </c>
      <c r="K360" t="s">
        <v>74</v>
      </c>
      <c r="L360" t="s">
        <v>74</v>
      </c>
      <c r="M360" t="s">
        <v>78</v>
      </c>
      <c r="N360" t="s">
        <v>79</v>
      </c>
      <c r="O360" t="s">
        <v>74</v>
      </c>
      <c r="P360" t="s">
        <v>74</v>
      </c>
      <c r="Q360" t="s">
        <v>74</v>
      </c>
      <c r="R360" t="s">
        <v>74</v>
      </c>
      <c r="S360" t="s">
        <v>74</v>
      </c>
      <c r="T360" t="s">
        <v>7289</v>
      </c>
      <c r="U360" t="s">
        <v>7290</v>
      </c>
      <c r="V360" t="s">
        <v>7291</v>
      </c>
      <c r="W360" t="s">
        <v>7292</v>
      </c>
      <c r="X360" t="s">
        <v>7293</v>
      </c>
      <c r="Y360" t="s">
        <v>7294</v>
      </c>
      <c r="Z360" t="s">
        <v>7295</v>
      </c>
      <c r="AA360" t="s">
        <v>7296</v>
      </c>
      <c r="AB360" t="s">
        <v>7297</v>
      </c>
      <c r="AC360" t="s">
        <v>7298</v>
      </c>
      <c r="AD360" t="s">
        <v>7299</v>
      </c>
      <c r="AE360" t="s">
        <v>7300</v>
      </c>
      <c r="AF360" t="s">
        <v>74</v>
      </c>
      <c r="AG360">
        <v>138</v>
      </c>
      <c r="AH360">
        <v>8</v>
      </c>
      <c r="AI360">
        <v>8</v>
      </c>
      <c r="AJ360">
        <v>5</v>
      </c>
      <c r="AK360">
        <v>21</v>
      </c>
      <c r="AL360" t="s">
        <v>1101</v>
      </c>
      <c r="AM360" t="s">
        <v>1102</v>
      </c>
      <c r="AN360" t="s">
        <v>1103</v>
      </c>
      <c r="AO360" t="s">
        <v>74</v>
      </c>
      <c r="AP360" t="s">
        <v>7301</v>
      </c>
      <c r="AQ360" t="s">
        <v>74</v>
      </c>
      <c r="AR360" t="s">
        <v>7302</v>
      </c>
      <c r="AS360" t="s">
        <v>7303</v>
      </c>
      <c r="AT360" t="s">
        <v>430</v>
      </c>
      <c r="AU360">
        <v>2021</v>
      </c>
      <c r="AV360">
        <v>13</v>
      </c>
      <c r="AW360">
        <v>14</v>
      </c>
      <c r="AX360" t="s">
        <v>74</v>
      </c>
      <c r="AY360" t="s">
        <v>74</v>
      </c>
      <c r="AZ360" t="s">
        <v>74</v>
      </c>
      <c r="BA360" t="s">
        <v>74</v>
      </c>
      <c r="BB360" t="s">
        <v>74</v>
      </c>
      <c r="BC360" t="s">
        <v>74</v>
      </c>
      <c r="BD360">
        <v>7649</v>
      </c>
      <c r="BE360" t="s">
        <v>7304</v>
      </c>
      <c r="BF360" t="str">
        <f>HYPERLINK("http://dx.doi.org/10.3390/su13147649","http://dx.doi.org/10.3390/su13147649")</f>
        <v>http://dx.doi.org/10.3390/su13147649</v>
      </c>
      <c r="BG360" t="s">
        <v>74</v>
      </c>
      <c r="BH360" t="s">
        <v>74</v>
      </c>
      <c r="BI360">
        <v>21</v>
      </c>
      <c r="BJ360" t="s">
        <v>7305</v>
      </c>
      <c r="BK360" t="s">
        <v>100</v>
      </c>
      <c r="BL360" t="s">
        <v>7306</v>
      </c>
      <c r="BM360" t="s">
        <v>7307</v>
      </c>
      <c r="BN360" t="s">
        <v>74</v>
      </c>
      <c r="BO360" t="s">
        <v>638</v>
      </c>
      <c r="BP360" t="s">
        <v>74</v>
      </c>
      <c r="BQ360" t="s">
        <v>74</v>
      </c>
      <c r="BR360" t="s">
        <v>102</v>
      </c>
      <c r="BS360" t="s">
        <v>7308</v>
      </c>
      <c r="BT360" t="str">
        <f>HYPERLINK("https%3A%2F%2Fwww.webofscience.com%2Fwos%2Fwoscc%2Ffull-record%2FWOS:000677115300001","View Full Record in Web of Science")</f>
        <v>View Full Record in Web of Science</v>
      </c>
    </row>
    <row r="361" spans="1:72" x14ac:dyDescent="0.15">
      <c r="A361" t="s">
        <v>72</v>
      </c>
      <c r="B361" t="s">
        <v>7309</v>
      </c>
      <c r="C361" t="s">
        <v>74</v>
      </c>
      <c r="D361" t="s">
        <v>74</v>
      </c>
      <c r="E361" t="s">
        <v>74</v>
      </c>
      <c r="F361" t="s">
        <v>7310</v>
      </c>
      <c r="G361" t="s">
        <v>74</v>
      </c>
      <c r="H361" t="s">
        <v>74</v>
      </c>
      <c r="I361" t="s">
        <v>7311</v>
      </c>
      <c r="J361" t="s">
        <v>7312</v>
      </c>
      <c r="K361" t="s">
        <v>74</v>
      </c>
      <c r="L361" t="s">
        <v>74</v>
      </c>
      <c r="M361" t="s">
        <v>78</v>
      </c>
      <c r="N361" t="s">
        <v>79</v>
      </c>
      <c r="O361" t="s">
        <v>74</v>
      </c>
      <c r="P361" t="s">
        <v>74</v>
      </c>
      <c r="Q361" t="s">
        <v>74</v>
      </c>
      <c r="R361" t="s">
        <v>74</v>
      </c>
      <c r="S361" t="s">
        <v>74</v>
      </c>
      <c r="T361" t="s">
        <v>7313</v>
      </c>
      <c r="U361" t="s">
        <v>7314</v>
      </c>
      <c r="V361" t="s">
        <v>7315</v>
      </c>
      <c r="W361" t="s">
        <v>7316</v>
      </c>
      <c r="X361" t="s">
        <v>7317</v>
      </c>
      <c r="Y361" t="s">
        <v>7318</v>
      </c>
      <c r="Z361" t="s">
        <v>7319</v>
      </c>
      <c r="AA361" t="s">
        <v>74</v>
      </c>
      <c r="AB361" t="s">
        <v>74</v>
      </c>
      <c r="AC361" t="s">
        <v>7320</v>
      </c>
      <c r="AD361" t="s">
        <v>7321</v>
      </c>
      <c r="AE361" t="s">
        <v>7322</v>
      </c>
      <c r="AF361" t="s">
        <v>74</v>
      </c>
      <c r="AG361">
        <v>73</v>
      </c>
      <c r="AH361">
        <v>2</v>
      </c>
      <c r="AI361">
        <v>2</v>
      </c>
      <c r="AJ361">
        <v>1</v>
      </c>
      <c r="AK361">
        <v>10</v>
      </c>
      <c r="AL361" t="s">
        <v>1101</v>
      </c>
      <c r="AM361" t="s">
        <v>1102</v>
      </c>
      <c r="AN361" t="s">
        <v>1103</v>
      </c>
      <c r="AO361" t="s">
        <v>74</v>
      </c>
      <c r="AP361" t="s">
        <v>7323</v>
      </c>
      <c r="AQ361" t="s">
        <v>74</v>
      </c>
      <c r="AR361" t="s">
        <v>7312</v>
      </c>
      <c r="AS361" t="s">
        <v>7324</v>
      </c>
      <c r="AT361" t="s">
        <v>430</v>
      </c>
      <c r="AU361">
        <v>2021</v>
      </c>
      <c r="AV361">
        <v>11</v>
      </c>
      <c r="AW361">
        <v>7</v>
      </c>
      <c r="AX361" t="s">
        <v>74</v>
      </c>
      <c r="AY361" t="s">
        <v>74</v>
      </c>
      <c r="AZ361" t="s">
        <v>74</v>
      </c>
      <c r="BA361" t="s">
        <v>74</v>
      </c>
      <c r="BB361" t="s">
        <v>74</v>
      </c>
      <c r="BC361" t="s">
        <v>74</v>
      </c>
      <c r="BD361">
        <v>266</v>
      </c>
      <c r="BE361" t="s">
        <v>7325</v>
      </c>
      <c r="BF361" t="str">
        <f>HYPERLINK("http://dx.doi.org/10.3390/geosciences11070266","http://dx.doi.org/10.3390/geosciences11070266")</f>
        <v>http://dx.doi.org/10.3390/geosciences11070266</v>
      </c>
      <c r="BG361" t="s">
        <v>74</v>
      </c>
      <c r="BH361" t="s">
        <v>74</v>
      </c>
      <c r="BI361">
        <v>17</v>
      </c>
      <c r="BJ361" t="s">
        <v>405</v>
      </c>
      <c r="BK361" t="s">
        <v>1819</v>
      </c>
      <c r="BL361" t="s">
        <v>406</v>
      </c>
      <c r="BM361" t="s">
        <v>7326</v>
      </c>
      <c r="BN361" t="s">
        <v>74</v>
      </c>
      <c r="BO361" t="s">
        <v>238</v>
      </c>
      <c r="BP361" t="s">
        <v>74</v>
      </c>
      <c r="BQ361" t="s">
        <v>74</v>
      </c>
      <c r="BR361" t="s">
        <v>102</v>
      </c>
      <c r="BS361" t="s">
        <v>7327</v>
      </c>
      <c r="BT361" t="str">
        <f>HYPERLINK("https%3A%2F%2Fwww.webofscience.com%2Fwos%2Fwoscc%2Ffull-record%2FWOS:000678227500001","View Full Record in Web of Science")</f>
        <v>View Full Record in Web of Science</v>
      </c>
    </row>
    <row r="362" spans="1:72" x14ac:dyDescent="0.15">
      <c r="A362" t="s">
        <v>72</v>
      </c>
      <c r="B362" t="s">
        <v>7328</v>
      </c>
      <c r="C362" t="s">
        <v>74</v>
      </c>
      <c r="D362" t="s">
        <v>74</v>
      </c>
      <c r="E362" t="s">
        <v>74</v>
      </c>
      <c r="F362" t="s">
        <v>7329</v>
      </c>
      <c r="G362" t="s">
        <v>74</v>
      </c>
      <c r="H362" t="s">
        <v>74</v>
      </c>
      <c r="I362" t="s">
        <v>7330</v>
      </c>
      <c r="J362" t="s">
        <v>1025</v>
      </c>
      <c r="K362" t="s">
        <v>74</v>
      </c>
      <c r="L362" t="s">
        <v>74</v>
      </c>
      <c r="M362" t="s">
        <v>78</v>
      </c>
      <c r="N362" t="s">
        <v>79</v>
      </c>
      <c r="O362" t="s">
        <v>74</v>
      </c>
      <c r="P362" t="s">
        <v>74</v>
      </c>
      <c r="Q362" t="s">
        <v>74</v>
      </c>
      <c r="R362" t="s">
        <v>74</v>
      </c>
      <c r="S362" t="s">
        <v>74</v>
      </c>
      <c r="T362" t="s">
        <v>7331</v>
      </c>
      <c r="U362" t="s">
        <v>7332</v>
      </c>
      <c r="V362" t="s">
        <v>7333</v>
      </c>
      <c r="W362" t="s">
        <v>7334</v>
      </c>
      <c r="X362" t="s">
        <v>7335</v>
      </c>
      <c r="Y362" t="s">
        <v>7336</v>
      </c>
      <c r="Z362" t="s">
        <v>7337</v>
      </c>
      <c r="AA362" t="s">
        <v>7338</v>
      </c>
      <c r="AB362" t="s">
        <v>7339</v>
      </c>
      <c r="AC362" t="s">
        <v>7340</v>
      </c>
      <c r="AD362" t="s">
        <v>7341</v>
      </c>
      <c r="AE362" t="s">
        <v>7342</v>
      </c>
      <c r="AF362" t="s">
        <v>74</v>
      </c>
      <c r="AG362">
        <v>78</v>
      </c>
      <c r="AH362">
        <v>18</v>
      </c>
      <c r="AI362">
        <v>18</v>
      </c>
      <c r="AJ362">
        <v>5</v>
      </c>
      <c r="AK362">
        <v>40</v>
      </c>
      <c r="AL362" t="s">
        <v>864</v>
      </c>
      <c r="AM362" t="s">
        <v>865</v>
      </c>
      <c r="AN362" t="s">
        <v>866</v>
      </c>
      <c r="AO362" t="s">
        <v>1038</v>
      </c>
      <c r="AP362" t="s">
        <v>1039</v>
      </c>
      <c r="AQ362" t="s">
        <v>74</v>
      </c>
      <c r="AR362" t="s">
        <v>1040</v>
      </c>
      <c r="AS362" t="s">
        <v>1041</v>
      </c>
      <c r="AT362" t="s">
        <v>430</v>
      </c>
      <c r="AU362">
        <v>2021</v>
      </c>
      <c r="AV362">
        <v>35</v>
      </c>
      <c r="AW362">
        <v>7</v>
      </c>
      <c r="AX362" t="s">
        <v>74</v>
      </c>
      <c r="AY362" t="s">
        <v>74</v>
      </c>
      <c r="AZ362" t="s">
        <v>74</v>
      </c>
      <c r="BA362" t="s">
        <v>74</v>
      </c>
      <c r="BB362" t="s">
        <v>74</v>
      </c>
      <c r="BC362" t="s">
        <v>74</v>
      </c>
      <c r="BD362" t="s">
        <v>7343</v>
      </c>
      <c r="BE362" t="s">
        <v>7344</v>
      </c>
      <c r="BF362" t="str">
        <f>HYPERLINK("http://dx.doi.org/10.1029/2021GB006969","http://dx.doi.org/10.1029/2021GB006969")</f>
        <v>http://dx.doi.org/10.1029/2021GB006969</v>
      </c>
      <c r="BG362" t="s">
        <v>74</v>
      </c>
      <c r="BH362" t="s">
        <v>74</v>
      </c>
      <c r="BI362">
        <v>15</v>
      </c>
      <c r="BJ362" t="s">
        <v>1044</v>
      </c>
      <c r="BK362" t="s">
        <v>128</v>
      </c>
      <c r="BL362" t="s">
        <v>1045</v>
      </c>
      <c r="BM362" t="s">
        <v>7345</v>
      </c>
      <c r="BN362" t="s">
        <v>74</v>
      </c>
      <c r="BO362" t="s">
        <v>1154</v>
      </c>
      <c r="BP362" t="s">
        <v>74</v>
      </c>
      <c r="BQ362" t="s">
        <v>74</v>
      </c>
      <c r="BR362" t="s">
        <v>102</v>
      </c>
      <c r="BS362" t="s">
        <v>7346</v>
      </c>
      <c r="BT362" t="str">
        <f>HYPERLINK("https%3A%2F%2Fwww.webofscience.com%2Fwos%2Fwoscc%2Ffull-record%2FWOS:000677815700002","View Full Record in Web of Science")</f>
        <v>View Full Record in Web of Science</v>
      </c>
    </row>
    <row r="363" spans="1:72" x14ac:dyDescent="0.15">
      <c r="A363" t="s">
        <v>72</v>
      </c>
      <c r="B363" t="s">
        <v>7347</v>
      </c>
      <c r="C363" t="s">
        <v>74</v>
      </c>
      <c r="D363" t="s">
        <v>74</v>
      </c>
      <c r="E363" t="s">
        <v>74</v>
      </c>
      <c r="F363" t="s">
        <v>7348</v>
      </c>
      <c r="G363" t="s">
        <v>74</v>
      </c>
      <c r="H363" t="s">
        <v>74</v>
      </c>
      <c r="I363" t="s">
        <v>7349</v>
      </c>
      <c r="J363" t="s">
        <v>7350</v>
      </c>
      <c r="K363" t="s">
        <v>74</v>
      </c>
      <c r="L363" t="s">
        <v>74</v>
      </c>
      <c r="M363" t="s">
        <v>78</v>
      </c>
      <c r="N363" t="s">
        <v>700</v>
      </c>
      <c r="O363" t="s">
        <v>74</v>
      </c>
      <c r="P363" t="s">
        <v>74</v>
      </c>
      <c r="Q363" t="s">
        <v>74</v>
      </c>
      <c r="R363" t="s">
        <v>74</v>
      </c>
      <c r="S363" t="s">
        <v>74</v>
      </c>
      <c r="T363" t="s">
        <v>7351</v>
      </c>
      <c r="U363" t="s">
        <v>7352</v>
      </c>
      <c r="V363" t="s">
        <v>7353</v>
      </c>
      <c r="W363" t="s">
        <v>7354</v>
      </c>
      <c r="X363" t="s">
        <v>7355</v>
      </c>
      <c r="Y363" t="s">
        <v>7356</v>
      </c>
      <c r="Z363" t="s">
        <v>7357</v>
      </c>
      <c r="AA363" t="s">
        <v>7358</v>
      </c>
      <c r="AB363" t="s">
        <v>7359</v>
      </c>
      <c r="AC363" t="s">
        <v>7360</v>
      </c>
      <c r="AD363" t="s">
        <v>7361</v>
      </c>
      <c r="AE363" t="s">
        <v>7362</v>
      </c>
      <c r="AF363" t="s">
        <v>74</v>
      </c>
      <c r="AG363">
        <v>55</v>
      </c>
      <c r="AH363">
        <v>5</v>
      </c>
      <c r="AI363">
        <v>5</v>
      </c>
      <c r="AJ363">
        <v>6</v>
      </c>
      <c r="AK363">
        <v>19</v>
      </c>
      <c r="AL363" t="s">
        <v>1101</v>
      </c>
      <c r="AM363" t="s">
        <v>1102</v>
      </c>
      <c r="AN363" t="s">
        <v>1103</v>
      </c>
      <c r="AO363" t="s">
        <v>74</v>
      </c>
      <c r="AP363" t="s">
        <v>7363</v>
      </c>
      <c r="AQ363" t="s">
        <v>74</v>
      </c>
      <c r="AR363" t="s">
        <v>7350</v>
      </c>
      <c r="AS363" t="s">
        <v>7364</v>
      </c>
      <c r="AT363" t="s">
        <v>430</v>
      </c>
      <c r="AU363">
        <v>2021</v>
      </c>
      <c r="AV363">
        <v>13</v>
      </c>
      <c r="AW363">
        <v>7</v>
      </c>
      <c r="AX363" t="s">
        <v>74</v>
      </c>
      <c r="AY363" t="s">
        <v>74</v>
      </c>
      <c r="AZ363" t="s">
        <v>74</v>
      </c>
      <c r="BA363" t="s">
        <v>74</v>
      </c>
      <c r="BB363" t="s">
        <v>74</v>
      </c>
      <c r="BC363" t="s">
        <v>74</v>
      </c>
      <c r="BD363">
        <v>323</v>
      </c>
      <c r="BE363" t="s">
        <v>7365</v>
      </c>
      <c r="BF363" t="str">
        <f>HYPERLINK("http://dx.doi.org/10.3390/d13070323","http://dx.doi.org/10.3390/d13070323")</f>
        <v>http://dx.doi.org/10.3390/d13070323</v>
      </c>
      <c r="BG363" t="s">
        <v>74</v>
      </c>
      <c r="BH363" t="s">
        <v>74</v>
      </c>
      <c r="BI363">
        <v>23</v>
      </c>
      <c r="BJ363" t="s">
        <v>1883</v>
      </c>
      <c r="BK363" t="s">
        <v>128</v>
      </c>
      <c r="BL363" t="s">
        <v>207</v>
      </c>
      <c r="BM363" t="s">
        <v>7366</v>
      </c>
      <c r="BN363" t="s">
        <v>74</v>
      </c>
      <c r="BO363" t="s">
        <v>311</v>
      </c>
      <c r="BP363" t="s">
        <v>74</v>
      </c>
      <c r="BQ363" t="s">
        <v>74</v>
      </c>
      <c r="BR363" t="s">
        <v>102</v>
      </c>
      <c r="BS363" t="s">
        <v>7367</v>
      </c>
      <c r="BT363" t="str">
        <f>HYPERLINK("https%3A%2F%2Fwww.webofscience.com%2Fwos%2Fwoscc%2Ffull-record%2FWOS:000676440900001","View Full Record in Web of Science")</f>
        <v>View Full Record in Web of Science</v>
      </c>
    </row>
    <row r="364" spans="1:72" x14ac:dyDescent="0.15">
      <c r="A364" t="s">
        <v>72</v>
      </c>
      <c r="B364" t="s">
        <v>7368</v>
      </c>
      <c r="C364" t="s">
        <v>74</v>
      </c>
      <c r="D364" t="s">
        <v>74</v>
      </c>
      <c r="E364" t="s">
        <v>74</v>
      </c>
      <c r="F364" t="s">
        <v>7369</v>
      </c>
      <c r="G364" t="s">
        <v>74</v>
      </c>
      <c r="H364" t="s">
        <v>74</v>
      </c>
      <c r="I364" t="s">
        <v>7370</v>
      </c>
      <c r="J364" t="s">
        <v>7350</v>
      </c>
      <c r="K364" t="s">
        <v>74</v>
      </c>
      <c r="L364" t="s">
        <v>74</v>
      </c>
      <c r="M364" t="s">
        <v>78</v>
      </c>
      <c r="N364" t="s">
        <v>79</v>
      </c>
      <c r="O364" t="s">
        <v>74</v>
      </c>
      <c r="P364" t="s">
        <v>74</v>
      </c>
      <c r="Q364" t="s">
        <v>74</v>
      </c>
      <c r="R364" t="s">
        <v>74</v>
      </c>
      <c r="S364" t="s">
        <v>74</v>
      </c>
      <c r="T364" t="s">
        <v>7371</v>
      </c>
      <c r="U364" t="s">
        <v>7372</v>
      </c>
      <c r="V364" t="s">
        <v>7373</v>
      </c>
      <c r="W364" t="s">
        <v>7374</v>
      </c>
      <c r="X364" t="s">
        <v>7375</v>
      </c>
      <c r="Y364" t="s">
        <v>7376</v>
      </c>
      <c r="Z364" t="s">
        <v>7377</v>
      </c>
      <c r="AA364" t="s">
        <v>7378</v>
      </c>
      <c r="AB364" t="s">
        <v>7379</v>
      </c>
      <c r="AC364" t="s">
        <v>7380</v>
      </c>
      <c r="AD364" t="s">
        <v>7381</v>
      </c>
      <c r="AE364" t="s">
        <v>7382</v>
      </c>
      <c r="AF364" t="s">
        <v>74</v>
      </c>
      <c r="AG364">
        <v>69</v>
      </c>
      <c r="AH364">
        <v>3</v>
      </c>
      <c r="AI364">
        <v>3</v>
      </c>
      <c r="AJ364">
        <v>1</v>
      </c>
      <c r="AK364">
        <v>5</v>
      </c>
      <c r="AL364" t="s">
        <v>1101</v>
      </c>
      <c r="AM364" t="s">
        <v>1102</v>
      </c>
      <c r="AN364" t="s">
        <v>1103</v>
      </c>
      <c r="AO364" t="s">
        <v>74</v>
      </c>
      <c r="AP364" t="s">
        <v>7363</v>
      </c>
      <c r="AQ364" t="s">
        <v>74</v>
      </c>
      <c r="AR364" t="s">
        <v>7350</v>
      </c>
      <c r="AS364" t="s">
        <v>7364</v>
      </c>
      <c r="AT364" t="s">
        <v>430</v>
      </c>
      <c r="AU364">
        <v>2021</v>
      </c>
      <c r="AV364">
        <v>13</v>
      </c>
      <c r="AW364">
        <v>7</v>
      </c>
      <c r="AX364" t="s">
        <v>74</v>
      </c>
      <c r="AY364" t="s">
        <v>74</v>
      </c>
      <c r="AZ364" t="s">
        <v>74</v>
      </c>
      <c r="BA364" t="s">
        <v>74</v>
      </c>
      <c r="BB364" t="s">
        <v>74</v>
      </c>
      <c r="BC364" t="s">
        <v>74</v>
      </c>
      <c r="BD364">
        <v>286</v>
      </c>
      <c r="BE364" t="s">
        <v>7383</v>
      </c>
      <c r="BF364" t="str">
        <f>HYPERLINK("http://dx.doi.org/10.3390/d13070286","http://dx.doi.org/10.3390/d13070286")</f>
        <v>http://dx.doi.org/10.3390/d13070286</v>
      </c>
      <c r="BG364" t="s">
        <v>74</v>
      </c>
      <c r="BH364" t="s">
        <v>74</v>
      </c>
      <c r="BI364">
        <v>15</v>
      </c>
      <c r="BJ364" t="s">
        <v>1883</v>
      </c>
      <c r="BK364" t="s">
        <v>128</v>
      </c>
      <c r="BL364" t="s">
        <v>207</v>
      </c>
      <c r="BM364" t="s">
        <v>7384</v>
      </c>
      <c r="BN364" t="s">
        <v>74</v>
      </c>
      <c r="BO364" t="s">
        <v>638</v>
      </c>
      <c r="BP364" t="s">
        <v>74</v>
      </c>
      <c r="BQ364" t="s">
        <v>74</v>
      </c>
      <c r="BR364" t="s">
        <v>102</v>
      </c>
      <c r="BS364" t="s">
        <v>7385</v>
      </c>
      <c r="BT364" t="str">
        <f>HYPERLINK("https%3A%2F%2Fwww.webofscience.com%2Fwos%2Fwoscc%2Ffull-record%2FWOS:000677320100001","View Full Record in Web of Science")</f>
        <v>View Full Record in Web of Science</v>
      </c>
    </row>
    <row r="365" spans="1:72" x14ac:dyDescent="0.15">
      <c r="A365" t="s">
        <v>72</v>
      </c>
      <c r="B365" t="s">
        <v>7386</v>
      </c>
      <c r="C365" t="s">
        <v>74</v>
      </c>
      <c r="D365" t="s">
        <v>74</v>
      </c>
      <c r="E365" t="s">
        <v>74</v>
      </c>
      <c r="F365" t="s">
        <v>7387</v>
      </c>
      <c r="G365" t="s">
        <v>74</v>
      </c>
      <c r="H365" t="s">
        <v>74</v>
      </c>
      <c r="I365" t="s">
        <v>7388</v>
      </c>
      <c r="J365" t="s">
        <v>7389</v>
      </c>
      <c r="K365" t="s">
        <v>74</v>
      </c>
      <c r="L365" t="s">
        <v>74</v>
      </c>
      <c r="M365" t="s">
        <v>78</v>
      </c>
      <c r="N365" t="s">
        <v>700</v>
      </c>
      <c r="O365" t="s">
        <v>74</v>
      </c>
      <c r="P365" t="s">
        <v>74</v>
      </c>
      <c r="Q365" t="s">
        <v>74</v>
      </c>
      <c r="R365" t="s">
        <v>74</v>
      </c>
      <c r="S365" t="s">
        <v>74</v>
      </c>
      <c r="T365" t="s">
        <v>7390</v>
      </c>
      <c r="U365" t="s">
        <v>7391</v>
      </c>
      <c r="V365" t="s">
        <v>7392</v>
      </c>
      <c r="W365" t="s">
        <v>7393</v>
      </c>
      <c r="X365" t="s">
        <v>7394</v>
      </c>
      <c r="Y365" t="s">
        <v>7395</v>
      </c>
      <c r="Z365" t="s">
        <v>7396</v>
      </c>
      <c r="AA365" t="s">
        <v>7397</v>
      </c>
      <c r="AB365" t="s">
        <v>7398</v>
      </c>
      <c r="AC365" t="s">
        <v>74</v>
      </c>
      <c r="AD365" t="s">
        <v>74</v>
      </c>
      <c r="AE365" t="s">
        <v>74</v>
      </c>
      <c r="AF365" t="s">
        <v>74</v>
      </c>
      <c r="AG365">
        <v>102</v>
      </c>
      <c r="AH365">
        <v>27</v>
      </c>
      <c r="AI365">
        <v>28</v>
      </c>
      <c r="AJ365">
        <v>10</v>
      </c>
      <c r="AK365">
        <v>65</v>
      </c>
      <c r="AL365" t="s">
        <v>1101</v>
      </c>
      <c r="AM365" t="s">
        <v>1102</v>
      </c>
      <c r="AN365" t="s">
        <v>1103</v>
      </c>
      <c r="AO365" t="s">
        <v>74</v>
      </c>
      <c r="AP365" t="s">
        <v>7399</v>
      </c>
      <c r="AQ365" t="s">
        <v>74</v>
      </c>
      <c r="AR365" t="s">
        <v>7400</v>
      </c>
      <c r="AS365" t="s">
        <v>7401</v>
      </c>
      <c r="AT365" t="s">
        <v>430</v>
      </c>
      <c r="AU365">
        <v>2021</v>
      </c>
      <c r="AV365">
        <v>7</v>
      </c>
      <c r="AW365">
        <v>7</v>
      </c>
      <c r="AX365" t="s">
        <v>74</v>
      </c>
      <c r="AY365" t="s">
        <v>74</v>
      </c>
      <c r="AZ365" t="s">
        <v>74</v>
      </c>
      <c r="BA365" t="s">
        <v>74</v>
      </c>
      <c r="BB365" t="s">
        <v>74</v>
      </c>
      <c r="BC365" t="s">
        <v>74</v>
      </c>
      <c r="BD365">
        <v>528</v>
      </c>
      <c r="BE365" t="s">
        <v>7402</v>
      </c>
      <c r="BF365" t="str">
        <f>HYPERLINK("http://dx.doi.org/10.3390/jof7070528","http://dx.doi.org/10.3390/jof7070528")</f>
        <v>http://dx.doi.org/10.3390/jof7070528</v>
      </c>
      <c r="BG365" t="s">
        <v>74</v>
      </c>
      <c r="BH365" t="s">
        <v>74</v>
      </c>
      <c r="BI365">
        <v>16</v>
      </c>
      <c r="BJ365" t="s">
        <v>7403</v>
      </c>
      <c r="BK365" t="s">
        <v>128</v>
      </c>
      <c r="BL365" t="s">
        <v>7403</v>
      </c>
      <c r="BM365" t="s">
        <v>7404</v>
      </c>
      <c r="BN365">
        <v>34209103</v>
      </c>
      <c r="BO365" t="s">
        <v>1377</v>
      </c>
      <c r="BP365" t="s">
        <v>74</v>
      </c>
      <c r="BQ365" t="s">
        <v>74</v>
      </c>
      <c r="BR365" t="s">
        <v>102</v>
      </c>
      <c r="BS365" t="s">
        <v>7405</v>
      </c>
      <c r="BT365" t="str">
        <f>HYPERLINK("https%3A%2F%2Fwww.webofscience.com%2Fwos%2Fwoscc%2Ffull-record%2FWOS:000677354400001","View Full Record in Web of Science")</f>
        <v>View Full Record in Web of Science</v>
      </c>
    </row>
    <row r="366" spans="1:72" x14ac:dyDescent="0.15">
      <c r="A366" t="s">
        <v>72</v>
      </c>
      <c r="B366" t="s">
        <v>7406</v>
      </c>
      <c r="C366" t="s">
        <v>74</v>
      </c>
      <c r="D366" t="s">
        <v>74</v>
      </c>
      <c r="E366" t="s">
        <v>74</v>
      </c>
      <c r="F366" t="s">
        <v>7407</v>
      </c>
      <c r="G366" t="s">
        <v>74</v>
      </c>
      <c r="H366" t="s">
        <v>74</v>
      </c>
      <c r="I366" t="s">
        <v>7408</v>
      </c>
      <c r="J366" t="s">
        <v>7350</v>
      </c>
      <c r="K366" t="s">
        <v>74</v>
      </c>
      <c r="L366" t="s">
        <v>74</v>
      </c>
      <c r="M366" t="s">
        <v>78</v>
      </c>
      <c r="N366" t="s">
        <v>79</v>
      </c>
      <c r="O366" t="s">
        <v>74</v>
      </c>
      <c r="P366" t="s">
        <v>74</v>
      </c>
      <c r="Q366" t="s">
        <v>74</v>
      </c>
      <c r="R366" t="s">
        <v>74</v>
      </c>
      <c r="S366" t="s">
        <v>74</v>
      </c>
      <c r="T366" t="s">
        <v>7409</v>
      </c>
      <c r="U366" t="s">
        <v>7410</v>
      </c>
      <c r="V366" t="s">
        <v>7411</v>
      </c>
      <c r="W366" t="s">
        <v>7412</v>
      </c>
      <c r="X366" t="s">
        <v>7413</v>
      </c>
      <c r="Y366" t="s">
        <v>7414</v>
      </c>
      <c r="Z366" t="s">
        <v>7415</v>
      </c>
      <c r="AA366" t="s">
        <v>7416</v>
      </c>
      <c r="AB366" t="s">
        <v>7417</v>
      </c>
      <c r="AC366" t="s">
        <v>7418</v>
      </c>
      <c r="AD366" t="s">
        <v>7419</v>
      </c>
      <c r="AE366" t="s">
        <v>7420</v>
      </c>
      <c r="AF366" t="s">
        <v>74</v>
      </c>
      <c r="AG366">
        <v>71</v>
      </c>
      <c r="AH366">
        <v>2</v>
      </c>
      <c r="AI366">
        <v>2</v>
      </c>
      <c r="AJ366">
        <v>1</v>
      </c>
      <c r="AK366">
        <v>9</v>
      </c>
      <c r="AL366" t="s">
        <v>1101</v>
      </c>
      <c r="AM366" t="s">
        <v>1102</v>
      </c>
      <c r="AN366" t="s">
        <v>1103</v>
      </c>
      <c r="AO366" t="s">
        <v>74</v>
      </c>
      <c r="AP366" t="s">
        <v>7363</v>
      </c>
      <c r="AQ366" t="s">
        <v>74</v>
      </c>
      <c r="AR366" t="s">
        <v>7350</v>
      </c>
      <c r="AS366" t="s">
        <v>7364</v>
      </c>
      <c r="AT366" t="s">
        <v>430</v>
      </c>
      <c r="AU366">
        <v>2021</v>
      </c>
      <c r="AV366">
        <v>13</v>
      </c>
      <c r="AW366">
        <v>7</v>
      </c>
      <c r="AX366" t="s">
        <v>74</v>
      </c>
      <c r="AY366" t="s">
        <v>74</v>
      </c>
      <c r="AZ366" t="s">
        <v>74</v>
      </c>
      <c r="BA366" t="s">
        <v>74</v>
      </c>
      <c r="BB366" t="s">
        <v>74</v>
      </c>
      <c r="BC366" t="s">
        <v>74</v>
      </c>
      <c r="BD366">
        <v>310</v>
      </c>
      <c r="BE366" t="s">
        <v>7421</v>
      </c>
      <c r="BF366" t="str">
        <f>HYPERLINK("http://dx.doi.org/10.3390/d13070310","http://dx.doi.org/10.3390/d13070310")</f>
        <v>http://dx.doi.org/10.3390/d13070310</v>
      </c>
      <c r="BG366" t="s">
        <v>74</v>
      </c>
      <c r="BH366" t="s">
        <v>74</v>
      </c>
      <c r="BI366">
        <v>33</v>
      </c>
      <c r="BJ366" t="s">
        <v>1883</v>
      </c>
      <c r="BK366" t="s">
        <v>128</v>
      </c>
      <c r="BL366" t="s">
        <v>207</v>
      </c>
      <c r="BM366" t="s">
        <v>7422</v>
      </c>
      <c r="BN366" t="s">
        <v>74</v>
      </c>
      <c r="BO366" t="s">
        <v>1377</v>
      </c>
      <c r="BP366" t="s">
        <v>74</v>
      </c>
      <c r="BQ366" t="s">
        <v>74</v>
      </c>
      <c r="BR366" t="s">
        <v>102</v>
      </c>
      <c r="BS366" t="s">
        <v>7423</v>
      </c>
      <c r="BT366" t="str">
        <f>HYPERLINK("https%3A%2F%2Fwww.webofscience.com%2Fwos%2Fwoscc%2Ffull-record%2FWOS:000676718700001","View Full Record in Web of Science")</f>
        <v>View Full Record in Web of Science</v>
      </c>
    </row>
    <row r="367" spans="1:72" x14ac:dyDescent="0.15">
      <c r="A367" t="s">
        <v>72</v>
      </c>
      <c r="B367" t="s">
        <v>7424</v>
      </c>
      <c r="C367" t="s">
        <v>74</v>
      </c>
      <c r="D367" t="s">
        <v>74</v>
      </c>
      <c r="E367" t="s">
        <v>74</v>
      </c>
      <c r="F367" t="s">
        <v>7425</v>
      </c>
      <c r="G367" t="s">
        <v>74</v>
      </c>
      <c r="H367" t="s">
        <v>74</v>
      </c>
      <c r="I367" t="s">
        <v>7426</v>
      </c>
      <c r="J367" t="s">
        <v>1610</v>
      </c>
      <c r="K367" t="s">
        <v>74</v>
      </c>
      <c r="L367" t="s">
        <v>74</v>
      </c>
      <c r="M367" t="s">
        <v>78</v>
      </c>
      <c r="N367" t="s">
        <v>79</v>
      </c>
      <c r="O367" t="s">
        <v>74</v>
      </c>
      <c r="P367" t="s">
        <v>74</v>
      </c>
      <c r="Q367" t="s">
        <v>74</v>
      </c>
      <c r="R367" t="s">
        <v>74</v>
      </c>
      <c r="S367" t="s">
        <v>74</v>
      </c>
      <c r="T367" t="s">
        <v>7427</v>
      </c>
      <c r="U367" t="s">
        <v>7428</v>
      </c>
      <c r="V367" t="s">
        <v>7429</v>
      </c>
      <c r="W367" t="s">
        <v>7430</v>
      </c>
      <c r="X367" t="s">
        <v>7431</v>
      </c>
      <c r="Y367" t="s">
        <v>7432</v>
      </c>
      <c r="Z367" t="s">
        <v>7433</v>
      </c>
      <c r="AA367" t="s">
        <v>7434</v>
      </c>
      <c r="AB367" t="s">
        <v>7435</v>
      </c>
      <c r="AC367" t="s">
        <v>7436</v>
      </c>
      <c r="AD367" t="s">
        <v>7437</v>
      </c>
      <c r="AE367" t="s">
        <v>7438</v>
      </c>
      <c r="AF367" t="s">
        <v>74</v>
      </c>
      <c r="AG367">
        <v>56</v>
      </c>
      <c r="AH367">
        <v>3</v>
      </c>
      <c r="AI367">
        <v>3</v>
      </c>
      <c r="AJ367">
        <v>0</v>
      </c>
      <c r="AK367">
        <v>4</v>
      </c>
      <c r="AL367" t="s">
        <v>1101</v>
      </c>
      <c r="AM367" t="s">
        <v>1102</v>
      </c>
      <c r="AN367" t="s">
        <v>1103</v>
      </c>
      <c r="AO367" t="s">
        <v>74</v>
      </c>
      <c r="AP367" t="s">
        <v>1620</v>
      </c>
      <c r="AQ367" t="s">
        <v>74</v>
      </c>
      <c r="AR367" t="s">
        <v>1621</v>
      </c>
      <c r="AS367" t="s">
        <v>1622</v>
      </c>
      <c r="AT367" t="s">
        <v>430</v>
      </c>
      <c r="AU367">
        <v>2021</v>
      </c>
      <c r="AV367">
        <v>9</v>
      </c>
      <c r="AW367">
        <v>7</v>
      </c>
      <c r="AX367" t="s">
        <v>74</v>
      </c>
      <c r="AY367" t="s">
        <v>74</v>
      </c>
      <c r="AZ367" t="s">
        <v>74</v>
      </c>
      <c r="BA367" t="s">
        <v>74</v>
      </c>
      <c r="BB367" t="s">
        <v>74</v>
      </c>
      <c r="BC367" t="s">
        <v>74</v>
      </c>
      <c r="BD367">
        <v>723</v>
      </c>
      <c r="BE367" t="s">
        <v>7439</v>
      </c>
      <c r="BF367" t="str">
        <f>HYPERLINK("http://dx.doi.org/10.3390/jmse9070723","http://dx.doi.org/10.3390/jmse9070723")</f>
        <v>http://dx.doi.org/10.3390/jmse9070723</v>
      </c>
      <c r="BG367" t="s">
        <v>74</v>
      </c>
      <c r="BH367" t="s">
        <v>74</v>
      </c>
      <c r="BI367">
        <v>18</v>
      </c>
      <c r="BJ367" t="s">
        <v>1624</v>
      </c>
      <c r="BK367" t="s">
        <v>128</v>
      </c>
      <c r="BL367" t="s">
        <v>1625</v>
      </c>
      <c r="BM367" t="s">
        <v>7440</v>
      </c>
      <c r="BN367" t="s">
        <v>74</v>
      </c>
      <c r="BO367" t="s">
        <v>638</v>
      </c>
      <c r="BP367" t="s">
        <v>74</v>
      </c>
      <c r="BQ367" t="s">
        <v>74</v>
      </c>
      <c r="BR367" t="s">
        <v>102</v>
      </c>
      <c r="BS367" t="s">
        <v>7441</v>
      </c>
      <c r="BT367" t="str">
        <f>HYPERLINK("https%3A%2F%2Fwww.webofscience.com%2Fwos%2Fwoscc%2Ffull-record%2FWOS:000676789200001","View Full Record in Web of Science")</f>
        <v>View Full Record in Web of Science</v>
      </c>
    </row>
    <row r="368" spans="1:72" x14ac:dyDescent="0.15">
      <c r="A368" t="s">
        <v>72</v>
      </c>
      <c r="B368" t="s">
        <v>7442</v>
      </c>
      <c r="C368" t="s">
        <v>74</v>
      </c>
      <c r="D368" t="s">
        <v>74</v>
      </c>
      <c r="E368" t="s">
        <v>74</v>
      </c>
      <c r="F368" t="s">
        <v>7443</v>
      </c>
      <c r="G368" t="s">
        <v>74</v>
      </c>
      <c r="H368" t="s">
        <v>74</v>
      </c>
      <c r="I368" t="s">
        <v>7444</v>
      </c>
      <c r="J368" t="s">
        <v>1404</v>
      </c>
      <c r="K368" t="s">
        <v>74</v>
      </c>
      <c r="L368" t="s">
        <v>74</v>
      </c>
      <c r="M368" t="s">
        <v>78</v>
      </c>
      <c r="N368" t="s">
        <v>79</v>
      </c>
      <c r="O368" t="s">
        <v>74</v>
      </c>
      <c r="P368" t="s">
        <v>74</v>
      </c>
      <c r="Q368" t="s">
        <v>74</v>
      </c>
      <c r="R368" t="s">
        <v>74</v>
      </c>
      <c r="S368" t="s">
        <v>74</v>
      </c>
      <c r="T368" t="s">
        <v>7445</v>
      </c>
      <c r="U368" t="s">
        <v>7446</v>
      </c>
      <c r="V368" t="s">
        <v>7447</v>
      </c>
      <c r="W368" t="s">
        <v>7448</v>
      </c>
      <c r="X368" t="s">
        <v>7449</v>
      </c>
      <c r="Y368" t="s">
        <v>7450</v>
      </c>
      <c r="Z368" t="s">
        <v>7451</v>
      </c>
      <c r="AA368" t="s">
        <v>7452</v>
      </c>
      <c r="AB368" t="s">
        <v>7453</v>
      </c>
      <c r="AC368" t="s">
        <v>7454</v>
      </c>
      <c r="AD368" t="s">
        <v>7455</v>
      </c>
      <c r="AE368" t="s">
        <v>7456</v>
      </c>
      <c r="AF368" t="s">
        <v>74</v>
      </c>
      <c r="AG368">
        <v>42</v>
      </c>
      <c r="AH368">
        <v>6</v>
      </c>
      <c r="AI368">
        <v>6</v>
      </c>
      <c r="AJ368">
        <v>0</v>
      </c>
      <c r="AK368">
        <v>19</v>
      </c>
      <c r="AL368" t="s">
        <v>1101</v>
      </c>
      <c r="AM368" t="s">
        <v>1102</v>
      </c>
      <c r="AN368" t="s">
        <v>1103</v>
      </c>
      <c r="AO368" t="s">
        <v>74</v>
      </c>
      <c r="AP368" t="s">
        <v>1417</v>
      </c>
      <c r="AQ368" t="s">
        <v>74</v>
      </c>
      <c r="AR368" t="s">
        <v>1418</v>
      </c>
      <c r="AS368" t="s">
        <v>1419</v>
      </c>
      <c r="AT368" t="s">
        <v>430</v>
      </c>
      <c r="AU368">
        <v>2021</v>
      </c>
      <c r="AV368">
        <v>13</v>
      </c>
      <c r="AW368">
        <v>14</v>
      </c>
      <c r="AX368" t="s">
        <v>74</v>
      </c>
      <c r="AY368" t="s">
        <v>74</v>
      </c>
      <c r="AZ368" t="s">
        <v>74</v>
      </c>
      <c r="BA368" t="s">
        <v>74</v>
      </c>
      <c r="BB368" t="s">
        <v>74</v>
      </c>
      <c r="BC368" t="s">
        <v>74</v>
      </c>
      <c r="BD368">
        <v>2691</v>
      </c>
      <c r="BE368" t="s">
        <v>7457</v>
      </c>
      <c r="BF368" t="str">
        <f>HYPERLINK("http://dx.doi.org/10.3390/rs13142691","http://dx.doi.org/10.3390/rs13142691")</f>
        <v>http://dx.doi.org/10.3390/rs13142691</v>
      </c>
      <c r="BG368" t="s">
        <v>74</v>
      </c>
      <c r="BH368" t="s">
        <v>74</v>
      </c>
      <c r="BI368">
        <v>13</v>
      </c>
      <c r="BJ368" t="s">
        <v>1421</v>
      </c>
      <c r="BK368" t="s">
        <v>128</v>
      </c>
      <c r="BL368" t="s">
        <v>1422</v>
      </c>
      <c r="BM368" t="s">
        <v>7458</v>
      </c>
      <c r="BN368" t="s">
        <v>74</v>
      </c>
      <c r="BO368" t="s">
        <v>638</v>
      </c>
      <c r="BP368" t="s">
        <v>74</v>
      </c>
      <c r="BQ368" t="s">
        <v>74</v>
      </c>
      <c r="BR368" t="s">
        <v>102</v>
      </c>
      <c r="BS368" t="s">
        <v>7459</v>
      </c>
      <c r="BT368" t="str">
        <f>HYPERLINK("https%3A%2F%2Fwww.webofscience.com%2Fwos%2Fwoscc%2Ffull-record%2FWOS:000677048800001","View Full Record in Web of Science")</f>
        <v>View Full Record in Web of Science</v>
      </c>
    </row>
    <row r="369" spans="1:72" x14ac:dyDescent="0.15">
      <c r="A369" t="s">
        <v>72</v>
      </c>
      <c r="B369" t="s">
        <v>7460</v>
      </c>
      <c r="C369" t="s">
        <v>74</v>
      </c>
      <c r="D369" t="s">
        <v>74</v>
      </c>
      <c r="E369" t="s">
        <v>74</v>
      </c>
      <c r="F369" t="s">
        <v>7461</v>
      </c>
      <c r="G369" t="s">
        <v>74</v>
      </c>
      <c r="H369" t="s">
        <v>74</v>
      </c>
      <c r="I369" t="s">
        <v>7462</v>
      </c>
      <c r="J369" t="s">
        <v>1404</v>
      </c>
      <c r="K369" t="s">
        <v>74</v>
      </c>
      <c r="L369" t="s">
        <v>74</v>
      </c>
      <c r="M369" t="s">
        <v>78</v>
      </c>
      <c r="N369" t="s">
        <v>79</v>
      </c>
      <c r="O369" t="s">
        <v>74</v>
      </c>
      <c r="P369" t="s">
        <v>74</v>
      </c>
      <c r="Q369" t="s">
        <v>74</v>
      </c>
      <c r="R369" t="s">
        <v>74</v>
      </c>
      <c r="S369" t="s">
        <v>74</v>
      </c>
      <c r="T369" t="s">
        <v>7463</v>
      </c>
      <c r="U369" t="s">
        <v>7464</v>
      </c>
      <c r="V369" t="s">
        <v>7465</v>
      </c>
      <c r="W369" t="s">
        <v>7466</v>
      </c>
      <c r="X369" t="s">
        <v>7467</v>
      </c>
      <c r="Y369" t="s">
        <v>7468</v>
      </c>
      <c r="Z369" t="s">
        <v>7469</v>
      </c>
      <c r="AA369" t="s">
        <v>7470</v>
      </c>
      <c r="AB369" t="s">
        <v>7471</v>
      </c>
      <c r="AC369" t="s">
        <v>7472</v>
      </c>
      <c r="AD369" t="s">
        <v>7473</v>
      </c>
      <c r="AE369" t="s">
        <v>7474</v>
      </c>
      <c r="AF369" t="s">
        <v>74</v>
      </c>
      <c r="AG369">
        <v>46</v>
      </c>
      <c r="AH369">
        <v>3</v>
      </c>
      <c r="AI369">
        <v>4</v>
      </c>
      <c r="AJ369">
        <v>8</v>
      </c>
      <c r="AK369">
        <v>22</v>
      </c>
      <c r="AL369" t="s">
        <v>1101</v>
      </c>
      <c r="AM369" t="s">
        <v>1102</v>
      </c>
      <c r="AN369" t="s">
        <v>1103</v>
      </c>
      <c r="AO369" t="s">
        <v>74</v>
      </c>
      <c r="AP369" t="s">
        <v>1417</v>
      </c>
      <c r="AQ369" t="s">
        <v>74</v>
      </c>
      <c r="AR369" t="s">
        <v>1418</v>
      </c>
      <c r="AS369" t="s">
        <v>1419</v>
      </c>
      <c r="AT369" t="s">
        <v>430</v>
      </c>
      <c r="AU369">
        <v>2021</v>
      </c>
      <c r="AV369">
        <v>13</v>
      </c>
      <c r="AW369">
        <v>14</v>
      </c>
      <c r="AX369" t="s">
        <v>74</v>
      </c>
      <c r="AY369" t="s">
        <v>74</v>
      </c>
      <c r="AZ369" t="s">
        <v>74</v>
      </c>
      <c r="BA369" t="s">
        <v>74</v>
      </c>
      <c r="BB369" t="s">
        <v>74</v>
      </c>
      <c r="BC369" t="s">
        <v>74</v>
      </c>
      <c r="BD369">
        <v>2760</v>
      </c>
      <c r="BE369" t="s">
        <v>7475</v>
      </c>
      <c r="BF369" t="str">
        <f>HYPERLINK("http://dx.doi.org/10.3390/rs13142760","http://dx.doi.org/10.3390/rs13142760")</f>
        <v>http://dx.doi.org/10.3390/rs13142760</v>
      </c>
      <c r="BG369" t="s">
        <v>74</v>
      </c>
      <c r="BH369" t="s">
        <v>74</v>
      </c>
      <c r="BI369">
        <v>10</v>
      </c>
      <c r="BJ369" t="s">
        <v>1421</v>
      </c>
      <c r="BK369" t="s">
        <v>128</v>
      </c>
      <c r="BL369" t="s">
        <v>1422</v>
      </c>
      <c r="BM369" t="s">
        <v>7476</v>
      </c>
      <c r="BN369" t="s">
        <v>74</v>
      </c>
      <c r="BO369" t="s">
        <v>638</v>
      </c>
      <c r="BP369" t="s">
        <v>74</v>
      </c>
      <c r="BQ369" t="s">
        <v>74</v>
      </c>
      <c r="BR369" t="s">
        <v>102</v>
      </c>
      <c r="BS369" t="s">
        <v>7477</v>
      </c>
      <c r="BT369" t="str">
        <f>HYPERLINK("https%3A%2F%2Fwww.webofscience.com%2Fwos%2Fwoscc%2Ffull-record%2FWOS:000677016900001","View Full Record in Web of Science")</f>
        <v>View Full Record in Web of Science</v>
      </c>
    </row>
    <row r="370" spans="1:72" x14ac:dyDescent="0.15">
      <c r="A370" t="s">
        <v>72</v>
      </c>
      <c r="B370" t="s">
        <v>7478</v>
      </c>
      <c r="C370" t="s">
        <v>74</v>
      </c>
      <c r="D370" t="s">
        <v>74</v>
      </c>
      <c r="E370" t="s">
        <v>74</v>
      </c>
      <c r="F370" t="s">
        <v>7479</v>
      </c>
      <c r="G370" t="s">
        <v>74</v>
      </c>
      <c r="H370" t="s">
        <v>74</v>
      </c>
      <c r="I370" t="s">
        <v>7480</v>
      </c>
      <c r="J370" t="s">
        <v>7481</v>
      </c>
      <c r="K370" t="s">
        <v>74</v>
      </c>
      <c r="L370" t="s">
        <v>74</v>
      </c>
      <c r="M370" t="s">
        <v>78</v>
      </c>
      <c r="N370" t="s">
        <v>79</v>
      </c>
      <c r="O370" t="s">
        <v>74</v>
      </c>
      <c r="P370" t="s">
        <v>74</v>
      </c>
      <c r="Q370" t="s">
        <v>74</v>
      </c>
      <c r="R370" t="s">
        <v>74</v>
      </c>
      <c r="S370" t="s">
        <v>74</v>
      </c>
      <c r="T370" t="s">
        <v>7482</v>
      </c>
      <c r="U370" t="s">
        <v>7483</v>
      </c>
      <c r="V370" t="s">
        <v>7484</v>
      </c>
      <c r="W370" t="s">
        <v>7485</v>
      </c>
      <c r="X370" t="s">
        <v>7486</v>
      </c>
      <c r="Y370" t="s">
        <v>7487</v>
      </c>
      <c r="Z370" t="s">
        <v>7488</v>
      </c>
      <c r="AA370" t="s">
        <v>7489</v>
      </c>
      <c r="AB370" t="s">
        <v>7490</v>
      </c>
      <c r="AC370" t="s">
        <v>7491</v>
      </c>
      <c r="AD370" t="s">
        <v>7492</v>
      </c>
      <c r="AE370" t="s">
        <v>7493</v>
      </c>
      <c r="AF370" t="s">
        <v>74</v>
      </c>
      <c r="AG370">
        <v>51</v>
      </c>
      <c r="AH370">
        <v>5</v>
      </c>
      <c r="AI370">
        <v>5</v>
      </c>
      <c r="AJ370">
        <v>1</v>
      </c>
      <c r="AK370">
        <v>5</v>
      </c>
      <c r="AL370" t="s">
        <v>1101</v>
      </c>
      <c r="AM370" t="s">
        <v>1102</v>
      </c>
      <c r="AN370" t="s">
        <v>1103</v>
      </c>
      <c r="AO370" t="s">
        <v>74</v>
      </c>
      <c r="AP370" t="s">
        <v>7494</v>
      </c>
      <c r="AQ370" t="s">
        <v>74</v>
      </c>
      <c r="AR370" t="s">
        <v>7495</v>
      </c>
      <c r="AS370" t="s">
        <v>7496</v>
      </c>
      <c r="AT370" t="s">
        <v>430</v>
      </c>
      <c r="AU370">
        <v>2021</v>
      </c>
      <c r="AV370">
        <v>22</v>
      </c>
      <c r="AW370">
        <v>14</v>
      </c>
      <c r="AX370" t="s">
        <v>74</v>
      </c>
      <c r="AY370" t="s">
        <v>74</v>
      </c>
      <c r="AZ370" t="s">
        <v>74</v>
      </c>
      <c r="BA370" t="s">
        <v>74</v>
      </c>
      <c r="BB370" t="s">
        <v>74</v>
      </c>
      <c r="BC370" t="s">
        <v>74</v>
      </c>
      <c r="BD370">
        <v>7455</v>
      </c>
      <c r="BE370" t="s">
        <v>7497</v>
      </c>
      <c r="BF370" t="str">
        <f>HYPERLINK("http://dx.doi.org/10.3390/ijms22147455","http://dx.doi.org/10.3390/ijms22147455")</f>
        <v>http://dx.doi.org/10.3390/ijms22147455</v>
      </c>
      <c r="BG370" t="s">
        <v>74</v>
      </c>
      <c r="BH370" t="s">
        <v>74</v>
      </c>
      <c r="BI370">
        <v>16</v>
      </c>
      <c r="BJ370" t="s">
        <v>7498</v>
      </c>
      <c r="BK370" t="s">
        <v>128</v>
      </c>
      <c r="BL370" t="s">
        <v>7499</v>
      </c>
      <c r="BM370" t="s">
        <v>7500</v>
      </c>
      <c r="BN370">
        <v>34299074</v>
      </c>
      <c r="BO370" t="s">
        <v>1377</v>
      </c>
      <c r="BP370" t="s">
        <v>74</v>
      </c>
      <c r="BQ370" t="s">
        <v>74</v>
      </c>
      <c r="BR370" t="s">
        <v>102</v>
      </c>
      <c r="BS370" t="s">
        <v>7501</v>
      </c>
      <c r="BT370" t="str">
        <f>HYPERLINK("https%3A%2F%2Fwww.webofscience.com%2Fwos%2Fwoscc%2Ffull-record%2FWOS:000676488600001","View Full Record in Web of Science")</f>
        <v>View Full Record in Web of Science</v>
      </c>
    </row>
    <row r="371" spans="1:72" x14ac:dyDescent="0.15">
      <c r="A371" t="s">
        <v>72</v>
      </c>
      <c r="B371" t="s">
        <v>7502</v>
      </c>
      <c r="C371" t="s">
        <v>74</v>
      </c>
      <c r="D371" t="s">
        <v>74</v>
      </c>
      <c r="E371" t="s">
        <v>74</v>
      </c>
      <c r="F371" t="s">
        <v>7503</v>
      </c>
      <c r="G371" t="s">
        <v>74</v>
      </c>
      <c r="H371" t="s">
        <v>74</v>
      </c>
      <c r="I371" t="s">
        <v>7504</v>
      </c>
      <c r="J371" t="s">
        <v>7505</v>
      </c>
      <c r="K371" t="s">
        <v>74</v>
      </c>
      <c r="L371" t="s">
        <v>74</v>
      </c>
      <c r="M371" t="s">
        <v>78</v>
      </c>
      <c r="N371" t="s">
        <v>79</v>
      </c>
      <c r="O371" t="s">
        <v>74</v>
      </c>
      <c r="P371" t="s">
        <v>74</v>
      </c>
      <c r="Q371" t="s">
        <v>74</v>
      </c>
      <c r="R371" t="s">
        <v>74</v>
      </c>
      <c r="S371" t="s">
        <v>74</v>
      </c>
      <c r="T371" t="s">
        <v>7506</v>
      </c>
      <c r="U371" t="s">
        <v>7507</v>
      </c>
      <c r="V371" t="s">
        <v>7508</v>
      </c>
      <c r="W371" t="s">
        <v>7509</v>
      </c>
      <c r="X371" t="s">
        <v>7510</v>
      </c>
      <c r="Y371" t="s">
        <v>7511</v>
      </c>
      <c r="Z371" t="s">
        <v>7512</v>
      </c>
      <c r="AA371" t="s">
        <v>7513</v>
      </c>
      <c r="AB371" t="s">
        <v>7514</v>
      </c>
      <c r="AC371" t="s">
        <v>7515</v>
      </c>
      <c r="AD371" t="s">
        <v>7516</v>
      </c>
      <c r="AE371" t="s">
        <v>7517</v>
      </c>
      <c r="AF371" t="s">
        <v>74</v>
      </c>
      <c r="AG371">
        <v>102</v>
      </c>
      <c r="AH371">
        <v>8</v>
      </c>
      <c r="AI371">
        <v>9</v>
      </c>
      <c r="AJ371">
        <v>1</v>
      </c>
      <c r="AK371">
        <v>17</v>
      </c>
      <c r="AL371" t="s">
        <v>649</v>
      </c>
      <c r="AM371" t="s">
        <v>650</v>
      </c>
      <c r="AN371" t="s">
        <v>651</v>
      </c>
      <c r="AO371" t="s">
        <v>7518</v>
      </c>
      <c r="AP371" t="s">
        <v>7519</v>
      </c>
      <c r="AQ371" t="s">
        <v>74</v>
      </c>
      <c r="AR371" t="s">
        <v>7520</v>
      </c>
      <c r="AS371" t="s">
        <v>7521</v>
      </c>
      <c r="AT371" t="s">
        <v>430</v>
      </c>
      <c r="AU371">
        <v>2021</v>
      </c>
      <c r="AV371">
        <v>102</v>
      </c>
      <c r="AW371" t="s">
        <v>74</v>
      </c>
      <c r="AX371" t="s">
        <v>74</v>
      </c>
      <c r="AY371" t="s">
        <v>74</v>
      </c>
      <c r="AZ371" t="s">
        <v>74</v>
      </c>
      <c r="BA371" t="s">
        <v>74</v>
      </c>
      <c r="BB371">
        <v>130</v>
      </c>
      <c r="BC371">
        <v>141</v>
      </c>
      <c r="BD371" t="s">
        <v>74</v>
      </c>
      <c r="BE371" t="s">
        <v>7522</v>
      </c>
      <c r="BF371" t="str">
        <f>HYPERLINK("http://dx.doi.org/10.1017/qua.2021.12","http://dx.doi.org/10.1017/qua.2021.12")</f>
        <v>http://dx.doi.org/10.1017/qua.2021.12</v>
      </c>
      <c r="BG371" t="s">
        <v>74</v>
      </c>
      <c r="BH371" t="s">
        <v>74</v>
      </c>
      <c r="BI371">
        <v>12</v>
      </c>
      <c r="BJ371" t="s">
        <v>151</v>
      </c>
      <c r="BK371" t="s">
        <v>128</v>
      </c>
      <c r="BL371" t="s">
        <v>152</v>
      </c>
      <c r="BM371" t="s">
        <v>7523</v>
      </c>
      <c r="BN371" t="s">
        <v>74</v>
      </c>
      <c r="BO371" t="s">
        <v>74</v>
      </c>
      <c r="BP371" t="s">
        <v>74</v>
      </c>
      <c r="BQ371" t="s">
        <v>74</v>
      </c>
      <c r="BR371" t="s">
        <v>102</v>
      </c>
      <c r="BS371" t="s">
        <v>7524</v>
      </c>
      <c r="BT371" t="str">
        <f>HYPERLINK("https%3A%2F%2Fwww.webofscience.com%2Fwos%2Fwoscc%2Ffull-record%2FWOS:000675576300011","View Full Record in Web of Science")</f>
        <v>View Full Record in Web of Science</v>
      </c>
    </row>
    <row r="372" spans="1:72" x14ac:dyDescent="0.15">
      <c r="A372" t="s">
        <v>72</v>
      </c>
      <c r="B372" t="s">
        <v>7525</v>
      </c>
      <c r="C372" t="s">
        <v>74</v>
      </c>
      <c r="D372" t="s">
        <v>74</v>
      </c>
      <c r="E372" t="s">
        <v>74</v>
      </c>
      <c r="F372" t="s">
        <v>7526</v>
      </c>
      <c r="G372" t="s">
        <v>74</v>
      </c>
      <c r="H372" t="s">
        <v>74</v>
      </c>
      <c r="I372" t="s">
        <v>7527</v>
      </c>
      <c r="J372" t="s">
        <v>1088</v>
      </c>
      <c r="K372" t="s">
        <v>74</v>
      </c>
      <c r="L372" t="s">
        <v>74</v>
      </c>
      <c r="M372" t="s">
        <v>78</v>
      </c>
      <c r="N372" t="s">
        <v>79</v>
      </c>
      <c r="O372" t="s">
        <v>74</v>
      </c>
      <c r="P372" t="s">
        <v>74</v>
      </c>
      <c r="Q372" t="s">
        <v>74</v>
      </c>
      <c r="R372" t="s">
        <v>74</v>
      </c>
      <c r="S372" t="s">
        <v>74</v>
      </c>
      <c r="T372" t="s">
        <v>7528</v>
      </c>
      <c r="U372" t="s">
        <v>7529</v>
      </c>
      <c r="V372" t="s">
        <v>7530</v>
      </c>
      <c r="W372" t="s">
        <v>7531</v>
      </c>
      <c r="X372" t="s">
        <v>7532</v>
      </c>
      <c r="Y372" t="s">
        <v>7533</v>
      </c>
      <c r="Z372" t="s">
        <v>7534</v>
      </c>
      <c r="AA372" t="s">
        <v>7535</v>
      </c>
      <c r="AB372" t="s">
        <v>7536</v>
      </c>
      <c r="AC372" t="s">
        <v>7537</v>
      </c>
      <c r="AD372" t="s">
        <v>7538</v>
      </c>
      <c r="AE372" t="s">
        <v>7539</v>
      </c>
      <c r="AF372" t="s">
        <v>74</v>
      </c>
      <c r="AG372">
        <v>29</v>
      </c>
      <c r="AH372">
        <v>9</v>
      </c>
      <c r="AI372">
        <v>9</v>
      </c>
      <c r="AJ372">
        <v>1</v>
      </c>
      <c r="AK372">
        <v>16</v>
      </c>
      <c r="AL372" t="s">
        <v>1101</v>
      </c>
      <c r="AM372" t="s">
        <v>1102</v>
      </c>
      <c r="AN372" t="s">
        <v>1103</v>
      </c>
      <c r="AO372" t="s">
        <v>74</v>
      </c>
      <c r="AP372" t="s">
        <v>1104</v>
      </c>
      <c r="AQ372" t="s">
        <v>74</v>
      </c>
      <c r="AR372" t="s">
        <v>1105</v>
      </c>
      <c r="AS372" t="s">
        <v>1106</v>
      </c>
      <c r="AT372" t="s">
        <v>430</v>
      </c>
      <c r="AU372">
        <v>2021</v>
      </c>
      <c r="AV372">
        <v>19</v>
      </c>
      <c r="AW372">
        <v>7</v>
      </c>
      <c r="AX372" t="s">
        <v>74</v>
      </c>
      <c r="AY372" t="s">
        <v>74</v>
      </c>
      <c r="AZ372" t="s">
        <v>74</v>
      </c>
      <c r="BA372" t="s">
        <v>74</v>
      </c>
      <c r="BB372" t="s">
        <v>74</v>
      </c>
      <c r="BC372" t="s">
        <v>74</v>
      </c>
      <c r="BD372">
        <v>382</v>
      </c>
      <c r="BE372" t="s">
        <v>7540</v>
      </c>
      <c r="BF372" t="str">
        <f>HYPERLINK("http://dx.doi.org/10.3390/md19070382","http://dx.doi.org/10.3390/md19070382")</f>
        <v>http://dx.doi.org/10.3390/md19070382</v>
      </c>
      <c r="BG372" t="s">
        <v>74</v>
      </c>
      <c r="BH372" t="s">
        <v>74</v>
      </c>
      <c r="BI372">
        <v>11</v>
      </c>
      <c r="BJ372" t="s">
        <v>1108</v>
      </c>
      <c r="BK372" t="s">
        <v>128</v>
      </c>
      <c r="BL372" t="s">
        <v>1109</v>
      </c>
      <c r="BM372" t="s">
        <v>7541</v>
      </c>
      <c r="BN372">
        <v>34356807</v>
      </c>
      <c r="BO372" t="s">
        <v>7542</v>
      </c>
      <c r="BP372" t="s">
        <v>74</v>
      </c>
      <c r="BQ372" t="s">
        <v>74</v>
      </c>
      <c r="BR372" t="s">
        <v>102</v>
      </c>
      <c r="BS372" t="s">
        <v>7543</v>
      </c>
      <c r="BT372" t="str">
        <f>HYPERLINK("https%3A%2F%2Fwww.webofscience.com%2Fwos%2Fwoscc%2Ffull-record%2FWOS:000676595000001","View Full Record in Web of Science")</f>
        <v>View Full Record in Web of Science</v>
      </c>
    </row>
    <row r="373" spans="1:72" x14ac:dyDescent="0.15">
      <c r="A373" t="s">
        <v>72</v>
      </c>
      <c r="B373" t="s">
        <v>7544</v>
      </c>
      <c r="C373" t="s">
        <v>74</v>
      </c>
      <c r="D373" t="s">
        <v>74</v>
      </c>
      <c r="E373" t="s">
        <v>74</v>
      </c>
      <c r="F373" t="s">
        <v>7545</v>
      </c>
      <c r="G373" t="s">
        <v>74</v>
      </c>
      <c r="H373" t="s">
        <v>74</v>
      </c>
      <c r="I373" t="s">
        <v>7546</v>
      </c>
      <c r="J373" t="s">
        <v>1088</v>
      </c>
      <c r="K373" t="s">
        <v>74</v>
      </c>
      <c r="L373" t="s">
        <v>74</v>
      </c>
      <c r="M373" t="s">
        <v>78</v>
      </c>
      <c r="N373" t="s">
        <v>79</v>
      </c>
      <c r="O373" t="s">
        <v>74</v>
      </c>
      <c r="P373" t="s">
        <v>74</v>
      </c>
      <c r="Q373" t="s">
        <v>74</v>
      </c>
      <c r="R373" t="s">
        <v>74</v>
      </c>
      <c r="S373" t="s">
        <v>74</v>
      </c>
      <c r="T373" t="s">
        <v>7547</v>
      </c>
      <c r="U373" t="s">
        <v>7548</v>
      </c>
      <c r="V373" t="s">
        <v>7549</v>
      </c>
      <c r="W373" t="s">
        <v>7550</v>
      </c>
      <c r="X373" t="s">
        <v>7551</v>
      </c>
      <c r="Y373" t="s">
        <v>7552</v>
      </c>
      <c r="Z373" t="s">
        <v>7553</v>
      </c>
      <c r="AA373" t="s">
        <v>7554</v>
      </c>
      <c r="AB373" t="s">
        <v>7555</v>
      </c>
      <c r="AC373" t="s">
        <v>7556</v>
      </c>
      <c r="AD373" t="s">
        <v>7557</v>
      </c>
      <c r="AE373" t="s">
        <v>7558</v>
      </c>
      <c r="AF373" t="s">
        <v>74</v>
      </c>
      <c r="AG373">
        <v>60</v>
      </c>
      <c r="AH373">
        <v>13</v>
      </c>
      <c r="AI373">
        <v>13</v>
      </c>
      <c r="AJ373">
        <v>3</v>
      </c>
      <c r="AK373">
        <v>20</v>
      </c>
      <c r="AL373" t="s">
        <v>1101</v>
      </c>
      <c r="AM373" t="s">
        <v>1102</v>
      </c>
      <c r="AN373" t="s">
        <v>1103</v>
      </c>
      <c r="AO373" t="s">
        <v>74</v>
      </c>
      <c r="AP373" t="s">
        <v>1104</v>
      </c>
      <c r="AQ373" t="s">
        <v>74</v>
      </c>
      <c r="AR373" t="s">
        <v>1105</v>
      </c>
      <c r="AS373" t="s">
        <v>1106</v>
      </c>
      <c r="AT373" t="s">
        <v>430</v>
      </c>
      <c r="AU373">
        <v>2021</v>
      </c>
      <c r="AV373">
        <v>19</v>
      </c>
      <c r="AW373">
        <v>7</v>
      </c>
      <c r="AX373" t="s">
        <v>74</v>
      </c>
      <c r="AY373" t="s">
        <v>74</v>
      </c>
      <c r="AZ373" t="s">
        <v>74</v>
      </c>
      <c r="BA373" t="s">
        <v>74</v>
      </c>
      <c r="BB373" t="s">
        <v>74</v>
      </c>
      <c r="BC373" t="s">
        <v>74</v>
      </c>
      <c r="BD373">
        <v>386</v>
      </c>
      <c r="BE373" t="s">
        <v>7559</v>
      </c>
      <c r="BF373" t="str">
        <f>HYPERLINK("http://dx.doi.org/10.3390/md19070386","http://dx.doi.org/10.3390/md19070386")</f>
        <v>http://dx.doi.org/10.3390/md19070386</v>
      </c>
      <c r="BG373" t="s">
        <v>74</v>
      </c>
      <c r="BH373" t="s">
        <v>74</v>
      </c>
      <c r="BI373">
        <v>16</v>
      </c>
      <c r="BJ373" t="s">
        <v>1108</v>
      </c>
      <c r="BK373" t="s">
        <v>128</v>
      </c>
      <c r="BL373" t="s">
        <v>1109</v>
      </c>
      <c r="BM373" t="s">
        <v>7560</v>
      </c>
      <c r="BN373">
        <v>34356811</v>
      </c>
      <c r="BO373" t="s">
        <v>1377</v>
      </c>
      <c r="BP373" t="s">
        <v>74</v>
      </c>
      <c r="BQ373" t="s">
        <v>74</v>
      </c>
      <c r="BR373" t="s">
        <v>102</v>
      </c>
      <c r="BS373" t="s">
        <v>7561</v>
      </c>
      <c r="BT373" t="str">
        <f>HYPERLINK("https%3A%2F%2Fwww.webofscience.com%2Fwos%2Fwoscc%2Ffull-record%2FWOS:000676391000001","View Full Record in Web of Science")</f>
        <v>View Full Record in Web of Science</v>
      </c>
    </row>
    <row r="374" spans="1:72" x14ac:dyDescent="0.15">
      <c r="A374" t="s">
        <v>72</v>
      </c>
      <c r="B374" t="s">
        <v>7562</v>
      </c>
      <c r="C374" t="s">
        <v>74</v>
      </c>
      <c r="D374" t="s">
        <v>74</v>
      </c>
      <c r="E374" t="s">
        <v>74</v>
      </c>
      <c r="F374" t="s">
        <v>7563</v>
      </c>
      <c r="G374" t="s">
        <v>74</v>
      </c>
      <c r="H374" t="s">
        <v>74</v>
      </c>
      <c r="I374" t="s">
        <v>7564</v>
      </c>
      <c r="J374" t="s">
        <v>1826</v>
      </c>
      <c r="K374" t="s">
        <v>74</v>
      </c>
      <c r="L374" t="s">
        <v>74</v>
      </c>
      <c r="M374" t="s">
        <v>78</v>
      </c>
      <c r="N374" t="s">
        <v>79</v>
      </c>
      <c r="O374" t="s">
        <v>74</v>
      </c>
      <c r="P374" t="s">
        <v>74</v>
      </c>
      <c r="Q374" t="s">
        <v>74</v>
      </c>
      <c r="R374" t="s">
        <v>74</v>
      </c>
      <c r="S374" t="s">
        <v>74</v>
      </c>
      <c r="T374" t="s">
        <v>7565</v>
      </c>
      <c r="U374" t="s">
        <v>7566</v>
      </c>
      <c r="V374" t="s">
        <v>7567</v>
      </c>
      <c r="W374" t="s">
        <v>7568</v>
      </c>
      <c r="X374" t="s">
        <v>7569</v>
      </c>
      <c r="Y374" t="s">
        <v>7570</v>
      </c>
      <c r="Z374" t="s">
        <v>7571</v>
      </c>
      <c r="AA374" t="s">
        <v>7572</v>
      </c>
      <c r="AB374" t="s">
        <v>7573</v>
      </c>
      <c r="AC374" t="s">
        <v>7574</v>
      </c>
      <c r="AD374" t="s">
        <v>7575</v>
      </c>
      <c r="AE374" t="s">
        <v>7576</v>
      </c>
      <c r="AF374" t="s">
        <v>74</v>
      </c>
      <c r="AG374">
        <v>96</v>
      </c>
      <c r="AH374">
        <v>9</v>
      </c>
      <c r="AI374">
        <v>9</v>
      </c>
      <c r="AJ374">
        <v>1</v>
      </c>
      <c r="AK374">
        <v>10</v>
      </c>
      <c r="AL374" t="s">
        <v>557</v>
      </c>
      <c r="AM374" t="s">
        <v>558</v>
      </c>
      <c r="AN374" t="s">
        <v>584</v>
      </c>
      <c r="AO374" t="s">
        <v>1839</v>
      </c>
      <c r="AP374" t="s">
        <v>1840</v>
      </c>
      <c r="AQ374" t="s">
        <v>74</v>
      </c>
      <c r="AR374" t="s">
        <v>1841</v>
      </c>
      <c r="AS374" t="s">
        <v>1842</v>
      </c>
      <c r="AT374" t="s">
        <v>430</v>
      </c>
      <c r="AU374">
        <v>2021</v>
      </c>
      <c r="AV374">
        <v>51</v>
      </c>
      <c r="AW374">
        <v>7</v>
      </c>
      <c r="AX374" t="s">
        <v>74</v>
      </c>
      <c r="AY374" t="s">
        <v>74</v>
      </c>
      <c r="AZ374" t="s">
        <v>74</v>
      </c>
      <c r="BA374" t="s">
        <v>74</v>
      </c>
      <c r="BB374">
        <v>2103</v>
      </c>
      <c r="BC374">
        <v>2128</v>
      </c>
      <c r="BD374" t="s">
        <v>74</v>
      </c>
      <c r="BE374" t="s">
        <v>7577</v>
      </c>
      <c r="BF374" t="str">
        <f>HYPERLINK("http://dx.doi.org/10.1175/JPO-D-20-0036.1","http://dx.doi.org/10.1175/JPO-D-20-0036.1")</f>
        <v>http://dx.doi.org/10.1175/JPO-D-20-0036.1</v>
      </c>
      <c r="BG374" t="s">
        <v>74</v>
      </c>
      <c r="BH374" t="s">
        <v>74</v>
      </c>
      <c r="BI374">
        <v>26</v>
      </c>
      <c r="BJ374" t="s">
        <v>1134</v>
      </c>
      <c r="BK374" t="s">
        <v>128</v>
      </c>
      <c r="BL374" t="s">
        <v>1134</v>
      </c>
      <c r="BM374" t="s">
        <v>7578</v>
      </c>
      <c r="BN374" t="s">
        <v>74</v>
      </c>
      <c r="BO374" t="s">
        <v>7579</v>
      </c>
      <c r="BP374" t="s">
        <v>74</v>
      </c>
      <c r="BQ374" t="s">
        <v>74</v>
      </c>
      <c r="BR374" t="s">
        <v>102</v>
      </c>
      <c r="BS374" t="s">
        <v>7580</v>
      </c>
      <c r="BT374" t="str">
        <f>HYPERLINK("https%3A%2F%2Fwww.webofscience.com%2Fwos%2Fwoscc%2Ffull-record%2FWOS:000674887900003","View Full Record in Web of Science")</f>
        <v>View Full Record in Web of Science</v>
      </c>
    </row>
    <row r="375" spans="1:72" x14ac:dyDescent="0.15">
      <c r="A375" t="s">
        <v>72</v>
      </c>
      <c r="B375" t="s">
        <v>7581</v>
      </c>
      <c r="C375" t="s">
        <v>74</v>
      </c>
      <c r="D375" t="s">
        <v>74</v>
      </c>
      <c r="E375" t="s">
        <v>74</v>
      </c>
      <c r="F375" t="s">
        <v>7582</v>
      </c>
      <c r="G375" t="s">
        <v>74</v>
      </c>
      <c r="H375" t="s">
        <v>74</v>
      </c>
      <c r="I375" t="s">
        <v>7583</v>
      </c>
      <c r="J375" t="s">
        <v>1826</v>
      </c>
      <c r="K375" t="s">
        <v>74</v>
      </c>
      <c r="L375" t="s">
        <v>74</v>
      </c>
      <c r="M375" t="s">
        <v>78</v>
      </c>
      <c r="N375" t="s">
        <v>79</v>
      </c>
      <c r="O375" t="s">
        <v>74</v>
      </c>
      <c r="P375" t="s">
        <v>74</v>
      </c>
      <c r="Q375" t="s">
        <v>74</v>
      </c>
      <c r="R375" t="s">
        <v>74</v>
      </c>
      <c r="S375" t="s">
        <v>74</v>
      </c>
      <c r="T375" t="s">
        <v>7584</v>
      </c>
      <c r="U375" t="s">
        <v>7585</v>
      </c>
      <c r="V375" t="s">
        <v>7586</v>
      </c>
      <c r="W375" t="s">
        <v>7587</v>
      </c>
      <c r="X375" t="s">
        <v>7588</v>
      </c>
      <c r="Y375" t="s">
        <v>7589</v>
      </c>
      <c r="Z375" t="s">
        <v>7590</v>
      </c>
      <c r="AA375" t="s">
        <v>7591</v>
      </c>
      <c r="AB375" t="s">
        <v>7592</v>
      </c>
      <c r="AC375" t="s">
        <v>7593</v>
      </c>
      <c r="AD375" t="s">
        <v>7594</v>
      </c>
      <c r="AE375" t="s">
        <v>7595</v>
      </c>
      <c r="AF375" t="s">
        <v>74</v>
      </c>
      <c r="AG375">
        <v>103</v>
      </c>
      <c r="AH375">
        <v>13</v>
      </c>
      <c r="AI375">
        <v>14</v>
      </c>
      <c r="AJ375">
        <v>5</v>
      </c>
      <c r="AK375">
        <v>24</v>
      </c>
      <c r="AL375" t="s">
        <v>557</v>
      </c>
      <c r="AM375" t="s">
        <v>558</v>
      </c>
      <c r="AN375" t="s">
        <v>584</v>
      </c>
      <c r="AO375" t="s">
        <v>1839</v>
      </c>
      <c r="AP375" t="s">
        <v>1840</v>
      </c>
      <c r="AQ375" t="s">
        <v>74</v>
      </c>
      <c r="AR375" t="s">
        <v>1841</v>
      </c>
      <c r="AS375" t="s">
        <v>1842</v>
      </c>
      <c r="AT375" t="s">
        <v>430</v>
      </c>
      <c r="AU375">
        <v>2021</v>
      </c>
      <c r="AV375">
        <v>51</v>
      </c>
      <c r="AW375">
        <v>7</v>
      </c>
      <c r="AX375" t="s">
        <v>74</v>
      </c>
      <c r="AY375" t="s">
        <v>74</v>
      </c>
      <c r="AZ375" t="s">
        <v>74</v>
      </c>
      <c r="BA375" t="s">
        <v>74</v>
      </c>
      <c r="BB375">
        <v>2203</v>
      </c>
      <c r="BC375">
        <v>2221</v>
      </c>
      <c r="BD375" t="s">
        <v>74</v>
      </c>
      <c r="BE375" t="s">
        <v>7596</v>
      </c>
      <c r="BF375" t="str">
        <f>HYPERLINK("http://dx.doi.org/10.1175/JPO-D-20-0254.1","http://dx.doi.org/10.1175/JPO-D-20-0254.1")</f>
        <v>http://dx.doi.org/10.1175/JPO-D-20-0254.1</v>
      </c>
      <c r="BG375" t="s">
        <v>74</v>
      </c>
      <c r="BH375" t="s">
        <v>74</v>
      </c>
      <c r="BI375">
        <v>19</v>
      </c>
      <c r="BJ375" t="s">
        <v>1134</v>
      </c>
      <c r="BK375" t="s">
        <v>128</v>
      </c>
      <c r="BL375" t="s">
        <v>1134</v>
      </c>
      <c r="BM375" t="s">
        <v>7578</v>
      </c>
      <c r="BN375" t="s">
        <v>74</v>
      </c>
      <c r="BO375" t="s">
        <v>1845</v>
      </c>
      <c r="BP375" t="s">
        <v>74</v>
      </c>
      <c r="BQ375" t="s">
        <v>74</v>
      </c>
      <c r="BR375" t="s">
        <v>102</v>
      </c>
      <c r="BS375" t="s">
        <v>7597</v>
      </c>
      <c r="BT375" t="str">
        <f>HYPERLINK("https%3A%2F%2Fwww.webofscience.com%2Fwos%2Fwoscc%2Ffull-record%2FWOS:000674887900008","View Full Record in Web of Science")</f>
        <v>View Full Record in Web of Science</v>
      </c>
    </row>
    <row r="376" spans="1:72" x14ac:dyDescent="0.15">
      <c r="A376" t="s">
        <v>72</v>
      </c>
      <c r="B376" t="s">
        <v>7598</v>
      </c>
      <c r="C376" t="s">
        <v>74</v>
      </c>
      <c r="D376" t="s">
        <v>74</v>
      </c>
      <c r="E376" t="s">
        <v>74</v>
      </c>
      <c r="F376" t="s">
        <v>7599</v>
      </c>
      <c r="G376" t="s">
        <v>74</v>
      </c>
      <c r="H376" t="s">
        <v>74</v>
      </c>
      <c r="I376" t="s">
        <v>7600</v>
      </c>
      <c r="J376" t="s">
        <v>1826</v>
      </c>
      <c r="K376" t="s">
        <v>74</v>
      </c>
      <c r="L376" t="s">
        <v>74</v>
      </c>
      <c r="M376" t="s">
        <v>78</v>
      </c>
      <c r="N376" t="s">
        <v>79</v>
      </c>
      <c r="O376" t="s">
        <v>74</v>
      </c>
      <c r="P376" t="s">
        <v>74</v>
      </c>
      <c r="Q376" t="s">
        <v>74</v>
      </c>
      <c r="R376" t="s">
        <v>74</v>
      </c>
      <c r="S376" t="s">
        <v>74</v>
      </c>
      <c r="T376" t="s">
        <v>7601</v>
      </c>
      <c r="U376" t="s">
        <v>7602</v>
      </c>
      <c r="V376" t="s">
        <v>7603</v>
      </c>
      <c r="W376" t="s">
        <v>7604</v>
      </c>
      <c r="X376" t="s">
        <v>7605</v>
      </c>
      <c r="Y376" t="s">
        <v>7606</v>
      </c>
      <c r="Z376" t="s">
        <v>7607</v>
      </c>
      <c r="AA376" t="s">
        <v>7608</v>
      </c>
      <c r="AB376" t="s">
        <v>7609</v>
      </c>
      <c r="AC376" t="s">
        <v>7610</v>
      </c>
      <c r="AD376" t="s">
        <v>7611</v>
      </c>
      <c r="AE376" t="s">
        <v>7612</v>
      </c>
      <c r="AF376" t="s">
        <v>74</v>
      </c>
      <c r="AG376">
        <v>71</v>
      </c>
      <c r="AH376">
        <v>1</v>
      </c>
      <c r="AI376">
        <v>2</v>
      </c>
      <c r="AJ376">
        <v>0</v>
      </c>
      <c r="AK376">
        <v>3</v>
      </c>
      <c r="AL376" t="s">
        <v>557</v>
      </c>
      <c r="AM376" t="s">
        <v>558</v>
      </c>
      <c r="AN376" t="s">
        <v>584</v>
      </c>
      <c r="AO376" t="s">
        <v>1839</v>
      </c>
      <c r="AP376" t="s">
        <v>1840</v>
      </c>
      <c r="AQ376" t="s">
        <v>74</v>
      </c>
      <c r="AR376" t="s">
        <v>1841</v>
      </c>
      <c r="AS376" t="s">
        <v>1842</v>
      </c>
      <c r="AT376" t="s">
        <v>430</v>
      </c>
      <c r="AU376">
        <v>2021</v>
      </c>
      <c r="AV376">
        <v>51</v>
      </c>
      <c r="AW376">
        <v>7</v>
      </c>
      <c r="AX376" t="s">
        <v>74</v>
      </c>
      <c r="AY376" t="s">
        <v>74</v>
      </c>
      <c r="AZ376" t="s">
        <v>74</v>
      </c>
      <c r="BA376" t="s">
        <v>74</v>
      </c>
      <c r="BB376">
        <v>2257</v>
      </c>
      <c r="BC376">
        <v>2270</v>
      </c>
      <c r="BD376" t="s">
        <v>74</v>
      </c>
      <c r="BE376" t="s">
        <v>7613</v>
      </c>
      <c r="BF376" t="str">
        <f>HYPERLINK("http://dx.doi.org/10.1175/JPO-D-20-0286.1","http://dx.doi.org/10.1175/JPO-D-20-0286.1")</f>
        <v>http://dx.doi.org/10.1175/JPO-D-20-0286.1</v>
      </c>
      <c r="BG376" t="s">
        <v>74</v>
      </c>
      <c r="BH376" t="s">
        <v>74</v>
      </c>
      <c r="BI376">
        <v>14</v>
      </c>
      <c r="BJ376" t="s">
        <v>1134</v>
      </c>
      <c r="BK376" t="s">
        <v>128</v>
      </c>
      <c r="BL376" t="s">
        <v>1134</v>
      </c>
      <c r="BM376" t="s">
        <v>7578</v>
      </c>
      <c r="BN376" t="s">
        <v>74</v>
      </c>
      <c r="BO376" t="s">
        <v>2152</v>
      </c>
      <c r="BP376" t="s">
        <v>74</v>
      </c>
      <c r="BQ376" t="s">
        <v>74</v>
      </c>
      <c r="BR376" t="s">
        <v>102</v>
      </c>
      <c r="BS376" t="s">
        <v>7614</v>
      </c>
      <c r="BT376" t="str">
        <f>HYPERLINK("https%3A%2F%2Fwww.webofscience.com%2Fwos%2Fwoscc%2Ffull-record%2FWOS:000674887900011","View Full Record in Web of Science")</f>
        <v>View Full Record in Web of Science</v>
      </c>
    </row>
    <row r="377" spans="1:72" x14ac:dyDescent="0.15">
      <c r="A377" t="s">
        <v>72</v>
      </c>
      <c r="B377" t="s">
        <v>7615</v>
      </c>
      <c r="C377" t="s">
        <v>74</v>
      </c>
      <c r="D377" t="s">
        <v>74</v>
      </c>
      <c r="E377" t="s">
        <v>74</v>
      </c>
      <c r="F377" t="s">
        <v>7616</v>
      </c>
      <c r="G377" t="s">
        <v>74</v>
      </c>
      <c r="H377" t="s">
        <v>74</v>
      </c>
      <c r="I377" t="s">
        <v>7617</v>
      </c>
      <c r="J377" t="s">
        <v>7618</v>
      </c>
      <c r="K377" t="s">
        <v>74</v>
      </c>
      <c r="L377" t="s">
        <v>74</v>
      </c>
      <c r="M377" t="s">
        <v>78</v>
      </c>
      <c r="N377" t="s">
        <v>79</v>
      </c>
      <c r="O377" t="s">
        <v>74</v>
      </c>
      <c r="P377" t="s">
        <v>74</v>
      </c>
      <c r="Q377" t="s">
        <v>74</v>
      </c>
      <c r="R377" t="s">
        <v>74</v>
      </c>
      <c r="S377" t="s">
        <v>74</v>
      </c>
      <c r="T377" t="s">
        <v>74</v>
      </c>
      <c r="U377" t="s">
        <v>7619</v>
      </c>
      <c r="V377" t="s">
        <v>7620</v>
      </c>
      <c r="W377" t="s">
        <v>7621</v>
      </c>
      <c r="X377" t="s">
        <v>7622</v>
      </c>
      <c r="Y377" t="s">
        <v>7623</v>
      </c>
      <c r="Z377" t="s">
        <v>7624</v>
      </c>
      <c r="AA377" t="s">
        <v>7625</v>
      </c>
      <c r="AB377" t="s">
        <v>7626</v>
      </c>
      <c r="AC377" t="s">
        <v>7627</v>
      </c>
      <c r="AD377" t="s">
        <v>7628</v>
      </c>
      <c r="AE377" t="s">
        <v>7629</v>
      </c>
      <c r="AF377" t="s">
        <v>74</v>
      </c>
      <c r="AG377">
        <v>76</v>
      </c>
      <c r="AH377">
        <v>8</v>
      </c>
      <c r="AI377">
        <v>9</v>
      </c>
      <c r="AJ377">
        <v>5</v>
      </c>
      <c r="AK377">
        <v>26</v>
      </c>
      <c r="AL377" t="s">
        <v>1980</v>
      </c>
      <c r="AM377" t="s">
        <v>1981</v>
      </c>
      <c r="AN377" t="s">
        <v>1982</v>
      </c>
      <c r="AO377" t="s">
        <v>7630</v>
      </c>
      <c r="AP377" t="s">
        <v>7631</v>
      </c>
      <c r="AQ377" t="s">
        <v>74</v>
      </c>
      <c r="AR377" t="s">
        <v>7632</v>
      </c>
      <c r="AS377" t="s">
        <v>7633</v>
      </c>
      <c r="AT377" t="s">
        <v>3434</v>
      </c>
      <c r="AU377">
        <v>2021</v>
      </c>
      <c r="AV377">
        <v>133</v>
      </c>
      <c r="AW377" t="s">
        <v>3640</v>
      </c>
      <c r="AX377" t="s">
        <v>74</v>
      </c>
      <c r="AY377" t="s">
        <v>74</v>
      </c>
      <c r="AZ377" t="s">
        <v>74</v>
      </c>
      <c r="BA377" t="s">
        <v>74</v>
      </c>
      <c r="BB377">
        <v>1421</v>
      </c>
      <c r="BC377">
        <v>1440</v>
      </c>
      <c r="BD377" t="s">
        <v>74</v>
      </c>
      <c r="BE377" t="s">
        <v>7634</v>
      </c>
      <c r="BF377" t="str">
        <f>HYPERLINK("http://dx.doi.org/10.1130/B35612.1","http://dx.doi.org/10.1130/B35612.1")</f>
        <v>http://dx.doi.org/10.1130/B35612.1</v>
      </c>
      <c r="BG377" t="s">
        <v>74</v>
      </c>
      <c r="BH377" t="s">
        <v>74</v>
      </c>
      <c r="BI377">
        <v>20</v>
      </c>
      <c r="BJ377" t="s">
        <v>405</v>
      </c>
      <c r="BK377" t="s">
        <v>128</v>
      </c>
      <c r="BL377" t="s">
        <v>406</v>
      </c>
      <c r="BM377" t="s">
        <v>7635</v>
      </c>
      <c r="BN377" t="s">
        <v>74</v>
      </c>
      <c r="BO377" t="s">
        <v>74</v>
      </c>
      <c r="BP377" t="s">
        <v>74</v>
      </c>
      <c r="BQ377" t="s">
        <v>74</v>
      </c>
      <c r="BR377" t="s">
        <v>102</v>
      </c>
      <c r="BS377" t="s">
        <v>7636</v>
      </c>
      <c r="BT377" t="str">
        <f>HYPERLINK("https%3A%2F%2Fwww.webofscience.com%2Fwos%2Fwoscc%2Ffull-record%2FWOS:000672732700005","View Full Record in Web of Science")</f>
        <v>View Full Record in Web of Science</v>
      </c>
    </row>
    <row r="378" spans="1:72" x14ac:dyDescent="0.15">
      <c r="A378" t="s">
        <v>72</v>
      </c>
      <c r="B378" t="s">
        <v>7637</v>
      </c>
      <c r="C378" t="s">
        <v>74</v>
      </c>
      <c r="D378" t="s">
        <v>74</v>
      </c>
      <c r="E378" t="s">
        <v>74</v>
      </c>
      <c r="F378" t="s">
        <v>7638</v>
      </c>
      <c r="G378" t="s">
        <v>74</v>
      </c>
      <c r="H378" t="s">
        <v>74</v>
      </c>
      <c r="I378" t="s">
        <v>7639</v>
      </c>
      <c r="J378" t="s">
        <v>7640</v>
      </c>
      <c r="K378" t="s">
        <v>74</v>
      </c>
      <c r="L378" t="s">
        <v>74</v>
      </c>
      <c r="M378" t="s">
        <v>78</v>
      </c>
      <c r="N378" t="s">
        <v>79</v>
      </c>
      <c r="O378" t="s">
        <v>74</v>
      </c>
      <c r="P378" t="s">
        <v>74</v>
      </c>
      <c r="Q378" t="s">
        <v>74</v>
      </c>
      <c r="R378" t="s">
        <v>74</v>
      </c>
      <c r="S378" t="s">
        <v>74</v>
      </c>
      <c r="T378" t="s">
        <v>7641</v>
      </c>
      <c r="U378" t="s">
        <v>7642</v>
      </c>
      <c r="V378" t="s">
        <v>7643</v>
      </c>
      <c r="W378" t="s">
        <v>7644</v>
      </c>
      <c r="X378" t="s">
        <v>7645</v>
      </c>
      <c r="Y378" t="s">
        <v>7646</v>
      </c>
      <c r="Z378" t="s">
        <v>7647</v>
      </c>
      <c r="AA378" t="s">
        <v>7648</v>
      </c>
      <c r="AB378" t="s">
        <v>7649</v>
      </c>
      <c r="AC378" t="s">
        <v>7650</v>
      </c>
      <c r="AD378" t="s">
        <v>7651</v>
      </c>
      <c r="AE378" t="s">
        <v>7652</v>
      </c>
      <c r="AF378" t="s">
        <v>74</v>
      </c>
      <c r="AG378">
        <v>46</v>
      </c>
      <c r="AH378">
        <v>2</v>
      </c>
      <c r="AI378">
        <v>2</v>
      </c>
      <c r="AJ378">
        <v>0</v>
      </c>
      <c r="AK378">
        <v>7</v>
      </c>
      <c r="AL378" t="s">
        <v>7653</v>
      </c>
      <c r="AM378" t="s">
        <v>396</v>
      </c>
      <c r="AN378" t="s">
        <v>7654</v>
      </c>
      <c r="AO378" t="s">
        <v>7655</v>
      </c>
      <c r="AP378" t="s">
        <v>7656</v>
      </c>
      <c r="AQ378" t="s">
        <v>74</v>
      </c>
      <c r="AR378" t="s">
        <v>7657</v>
      </c>
      <c r="AS378" t="s">
        <v>7658</v>
      </c>
      <c r="AT378" t="s">
        <v>430</v>
      </c>
      <c r="AU378">
        <v>2021</v>
      </c>
      <c r="AV378">
        <v>15</v>
      </c>
      <c r="AW378">
        <v>3</v>
      </c>
      <c r="AX378" t="s">
        <v>74</v>
      </c>
      <c r="AY378" t="s">
        <v>74</v>
      </c>
      <c r="AZ378" t="s">
        <v>74</v>
      </c>
      <c r="BA378" t="s">
        <v>74</v>
      </c>
      <c r="BB378">
        <v>269</v>
      </c>
      <c r="BC378">
        <v>277</v>
      </c>
      <c r="BD378" t="s">
        <v>74</v>
      </c>
      <c r="BE378" t="s">
        <v>7659</v>
      </c>
      <c r="BF378" t="str">
        <f>HYPERLINK("http://dx.doi.org/10.1515/jag-2021-0033","http://dx.doi.org/10.1515/jag-2021-0033")</f>
        <v>http://dx.doi.org/10.1515/jag-2021-0033</v>
      </c>
      <c r="BG378" t="s">
        <v>74</v>
      </c>
      <c r="BH378" t="s">
        <v>74</v>
      </c>
      <c r="BI378">
        <v>9</v>
      </c>
      <c r="BJ378" t="s">
        <v>7660</v>
      </c>
      <c r="BK378" t="s">
        <v>1819</v>
      </c>
      <c r="BL378" t="s">
        <v>7660</v>
      </c>
      <c r="BM378" t="s">
        <v>7661</v>
      </c>
      <c r="BN378" t="s">
        <v>74</v>
      </c>
      <c r="BO378" t="s">
        <v>74</v>
      </c>
      <c r="BP378" t="s">
        <v>74</v>
      </c>
      <c r="BQ378" t="s">
        <v>74</v>
      </c>
      <c r="BR378" t="s">
        <v>102</v>
      </c>
      <c r="BS378" t="s">
        <v>7662</v>
      </c>
      <c r="BT378" t="str">
        <f>HYPERLINK("https%3A%2F%2Fwww.webofscience.com%2Fwos%2Fwoscc%2Ffull-record%2FWOS:000672560700007","View Full Record in Web of Science")</f>
        <v>View Full Record in Web of Science</v>
      </c>
    </row>
    <row r="379" spans="1:72" x14ac:dyDescent="0.15">
      <c r="A379" t="s">
        <v>72</v>
      </c>
      <c r="B379" t="s">
        <v>7663</v>
      </c>
      <c r="C379" t="s">
        <v>74</v>
      </c>
      <c r="D379" t="s">
        <v>74</v>
      </c>
      <c r="E379" t="s">
        <v>74</v>
      </c>
      <c r="F379" t="s">
        <v>7664</v>
      </c>
      <c r="G379" t="s">
        <v>74</v>
      </c>
      <c r="H379" t="s">
        <v>74</v>
      </c>
      <c r="I379" t="s">
        <v>7665</v>
      </c>
      <c r="J379" t="s">
        <v>7666</v>
      </c>
      <c r="K379" t="s">
        <v>74</v>
      </c>
      <c r="L379" t="s">
        <v>74</v>
      </c>
      <c r="M379" t="s">
        <v>78</v>
      </c>
      <c r="N379" t="s">
        <v>79</v>
      </c>
      <c r="O379" t="s">
        <v>74</v>
      </c>
      <c r="P379" t="s">
        <v>74</v>
      </c>
      <c r="Q379" t="s">
        <v>74</v>
      </c>
      <c r="R379" t="s">
        <v>74</v>
      </c>
      <c r="S379" t="s">
        <v>74</v>
      </c>
      <c r="T379" t="s">
        <v>74</v>
      </c>
      <c r="U379" t="s">
        <v>74</v>
      </c>
      <c r="V379" t="s">
        <v>7667</v>
      </c>
      <c r="W379" t="s">
        <v>7668</v>
      </c>
      <c r="X379" t="s">
        <v>7669</v>
      </c>
      <c r="Y379" t="s">
        <v>7670</v>
      </c>
      <c r="Z379" t="s">
        <v>7671</v>
      </c>
      <c r="AA379" t="s">
        <v>74</v>
      </c>
      <c r="AB379" t="s">
        <v>7672</v>
      </c>
      <c r="AC379" t="s">
        <v>7673</v>
      </c>
      <c r="AD379" t="s">
        <v>4088</v>
      </c>
      <c r="AE379" t="s">
        <v>7674</v>
      </c>
      <c r="AF379" t="s">
        <v>74</v>
      </c>
      <c r="AG379">
        <v>11</v>
      </c>
      <c r="AH379">
        <v>0</v>
      </c>
      <c r="AI379">
        <v>0</v>
      </c>
      <c r="AJ379">
        <v>0</v>
      </c>
      <c r="AK379">
        <v>2</v>
      </c>
      <c r="AL379" t="s">
        <v>6362</v>
      </c>
      <c r="AM379" t="s">
        <v>865</v>
      </c>
      <c r="AN379" t="s">
        <v>6363</v>
      </c>
      <c r="AO379" t="s">
        <v>7675</v>
      </c>
      <c r="AP379" t="s">
        <v>74</v>
      </c>
      <c r="AQ379" t="s">
        <v>74</v>
      </c>
      <c r="AR379" t="s">
        <v>7676</v>
      </c>
      <c r="AS379" t="s">
        <v>7677</v>
      </c>
      <c r="AT379" t="s">
        <v>430</v>
      </c>
      <c r="AU379">
        <v>2021</v>
      </c>
      <c r="AV379">
        <v>10</v>
      </c>
      <c r="AW379">
        <v>26</v>
      </c>
      <c r="AX379" t="s">
        <v>74</v>
      </c>
      <c r="AY379" t="s">
        <v>74</v>
      </c>
      <c r="AZ379" t="s">
        <v>74</v>
      </c>
      <c r="BA379" t="s">
        <v>74</v>
      </c>
      <c r="BB379" t="s">
        <v>74</v>
      </c>
      <c r="BC379" t="s">
        <v>74</v>
      </c>
      <c r="BD379" t="s">
        <v>7678</v>
      </c>
      <c r="BE379" t="s">
        <v>7679</v>
      </c>
      <c r="BF379" t="str">
        <f>HYPERLINK("http://dx.doi.org/10.1128/MRA.00523-21","http://dx.doi.org/10.1128/MRA.00523-21")</f>
        <v>http://dx.doi.org/10.1128/MRA.00523-21</v>
      </c>
      <c r="BG379" t="s">
        <v>74</v>
      </c>
      <c r="BH379" t="s">
        <v>74</v>
      </c>
      <c r="BI379">
        <v>2</v>
      </c>
      <c r="BJ379" t="s">
        <v>1499</v>
      </c>
      <c r="BK379" t="s">
        <v>1819</v>
      </c>
      <c r="BL379" t="s">
        <v>1499</v>
      </c>
      <c r="BM379" t="s">
        <v>7680</v>
      </c>
      <c r="BN379">
        <v>34197196</v>
      </c>
      <c r="BO379" t="s">
        <v>238</v>
      </c>
      <c r="BP379" t="s">
        <v>74</v>
      </c>
      <c r="BQ379" t="s">
        <v>74</v>
      </c>
      <c r="BR379" t="s">
        <v>102</v>
      </c>
      <c r="BS379" t="s">
        <v>7681</v>
      </c>
      <c r="BT379" t="str">
        <f>HYPERLINK("https%3A%2F%2Fwww.webofscience.com%2Fwos%2Fwoscc%2Ffull-record%2FWOS:000672386500020","View Full Record in Web of Science")</f>
        <v>View Full Record in Web of Science</v>
      </c>
    </row>
    <row r="380" spans="1:72" x14ac:dyDescent="0.15">
      <c r="A380" t="s">
        <v>72</v>
      </c>
      <c r="B380" t="s">
        <v>7682</v>
      </c>
      <c r="C380" t="s">
        <v>74</v>
      </c>
      <c r="D380" t="s">
        <v>74</v>
      </c>
      <c r="E380" t="s">
        <v>74</v>
      </c>
      <c r="F380" t="s">
        <v>7683</v>
      </c>
      <c r="G380" t="s">
        <v>74</v>
      </c>
      <c r="H380" t="s">
        <v>74</v>
      </c>
      <c r="I380" t="s">
        <v>7684</v>
      </c>
      <c r="J380" t="s">
        <v>7685</v>
      </c>
      <c r="K380" t="s">
        <v>74</v>
      </c>
      <c r="L380" t="s">
        <v>74</v>
      </c>
      <c r="M380" t="s">
        <v>78</v>
      </c>
      <c r="N380" t="s">
        <v>79</v>
      </c>
      <c r="O380" t="s">
        <v>74</v>
      </c>
      <c r="P380" t="s">
        <v>74</v>
      </c>
      <c r="Q380" t="s">
        <v>74</v>
      </c>
      <c r="R380" t="s">
        <v>74</v>
      </c>
      <c r="S380" t="s">
        <v>74</v>
      </c>
      <c r="T380" t="s">
        <v>7686</v>
      </c>
      <c r="U380" t="s">
        <v>7687</v>
      </c>
      <c r="V380" t="s">
        <v>7688</v>
      </c>
      <c r="W380" t="s">
        <v>7689</v>
      </c>
      <c r="X380" t="s">
        <v>7690</v>
      </c>
      <c r="Y380" t="s">
        <v>7691</v>
      </c>
      <c r="Z380" t="s">
        <v>7692</v>
      </c>
      <c r="AA380" t="s">
        <v>7693</v>
      </c>
      <c r="AB380" t="s">
        <v>7694</v>
      </c>
      <c r="AC380" t="s">
        <v>7695</v>
      </c>
      <c r="AD380" t="s">
        <v>7696</v>
      </c>
      <c r="AE380" t="s">
        <v>7697</v>
      </c>
      <c r="AF380" t="s">
        <v>74</v>
      </c>
      <c r="AG380">
        <v>85</v>
      </c>
      <c r="AH380">
        <v>1</v>
      </c>
      <c r="AI380">
        <v>1</v>
      </c>
      <c r="AJ380">
        <v>2</v>
      </c>
      <c r="AK380">
        <v>14</v>
      </c>
      <c r="AL380" t="s">
        <v>89</v>
      </c>
      <c r="AM380" t="s">
        <v>90</v>
      </c>
      <c r="AN380" t="s">
        <v>91</v>
      </c>
      <c r="AO380" t="s">
        <v>7698</v>
      </c>
      <c r="AP380" t="s">
        <v>7699</v>
      </c>
      <c r="AQ380" t="s">
        <v>74</v>
      </c>
      <c r="AR380" t="s">
        <v>7700</v>
      </c>
      <c r="AS380" t="s">
        <v>7701</v>
      </c>
      <c r="AT380" t="s">
        <v>535</v>
      </c>
      <c r="AU380">
        <v>2021</v>
      </c>
      <c r="AV380">
        <v>58</v>
      </c>
      <c r="AW380" t="s">
        <v>74</v>
      </c>
      <c r="AX380" t="s">
        <v>74</v>
      </c>
      <c r="AY380" t="s">
        <v>74</v>
      </c>
      <c r="AZ380" t="s">
        <v>74</v>
      </c>
      <c r="BA380" t="s">
        <v>74</v>
      </c>
      <c r="BB380" t="s">
        <v>74</v>
      </c>
      <c r="BC380" t="s">
        <v>74</v>
      </c>
      <c r="BD380">
        <v>100847</v>
      </c>
      <c r="BE380" t="s">
        <v>7702</v>
      </c>
      <c r="BF380" t="str">
        <f>HYPERLINK("http://dx.doi.org/10.1016/j.margen.2021.100847","http://dx.doi.org/10.1016/j.margen.2021.100847")</f>
        <v>http://dx.doi.org/10.1016/j.margen.2021.100847</v>
      </c>
      <c r="BG380" t="s">
        <v>74</v>
      </c>
      <c r="BH380" t="s">
        <v>2323</v>
      </c>
      <c r="BI380">
        <v>9</v>
      </c>
      <c r="BJ380" t="s">
        <v>7703</v>
      </c>
      <c r="BK380" t="s">
        <v>128</v>
      </c>
      <c r="BL380" t="s">
        <v>7703</v>
      </c>
      <c r="BM380" t="s">
        <v>7704</v>
      </c>
      <c r="BN380">
        <v>33637426</v>
      </c>
      <c r="BO380" t="s">
        <v>408</v>
      </c>
      <c r="BP380" t="s">
        <v>74</v>
      </c>
      <c r="BQ380" t="s">
        <v>74</v>
      </c>
      <c r="BR380" t="s">
        <v>102</v>
      </c>
      <c r="BS380" t="s">
        <v>7705</v>
      </c>
      <c r="BT380" t="str">
        <f>HYPERLINK("https%3A%2F%2Fwww.webofscience.com%2Fwos%2Fwoscc%2Ffull-record%2FWOS:000671438600007","View Full Record in Web of Science")</f>
        <v>View Full Record in Web of Science</v>
      </c>
    </row>
    <row r="381" spans="1:72" x14ac:dyDescent="0.15">
      <c r="A381" t="s">
        <v>72</v>
      </c>
      <c r="B381" t="s">
        <v>7706</v>
      </c>
      <c r="C381" t="s">
        <v>74</v>
      </c>
      <c r="D381" t="s">
        <v>74</v>
      </c>
      <c r="E381" t="s">
        <v>74</v>
      </c>
      <c r="F381" t="s">
        <v>7707</v>
      </c>
      <c r="G381" t="s">
        <v>74</v>
      </c>
      <c r="H381" t="s">
        <v>74</v>
      </c>
      <c r="I381" t="s">
        <v>7708</v>
      </c>
      <c r="J381" t="s">
        <v>7709</v>
      </c>
      <c r="K381" t="s">
        <v>74</v>
      </c>
      <c r="L381" t="s">
        <v>74</v>
      </c>
      <c r="M381" t="s">
        <v>78</v>
      </c>
      <c r="N381" t="s">
        <v>79</v>
      </c>
      <c r="O381" t="s">
        <v>74</v>
      </c>
      <c r="P381" t="s">
        <v>74</v>
      </c>
      <c r="Q381" t="s">
        <v>74</v>
      </c>
      <c r="R381" t="s">
        <v>74</v>
      </c>
      <c r="S381" t="s">
        <v>74</v>
      </c>
      <c r="T381" t="s">
        <v>7710</v>
      </c>
      <c r="U381" t="s">
        <v>7711</v>
      </c>
      <c r="V381" t="s">
        <v>7712</v>
      </c>
      <c r="W381" t="s">
        <v>7713</v>
      </c>
      <c r="X381" t="s">
        <v>7714</v>
      </c>
      <c r="Y381" t="s">
        <v>7715</v>
      </c>
      <c r="Z381" t="s">
        <v>7716</v>
      </c>
      <c r="AA381" t="s">
        <v>7717</v>
      </c>
      <c r="AB381" t="s">
        <v>7718</v>
      </c>
      <c r="AC381" t="s">
        <v>7719</v>
      </c>
      <c r="AD381" t="s">
        <v>7720</v>
      </c>
      <c r="AE381" t="s">
        <v>7721</v>
      </c>
      <c r="AF381" t="s">
        <v>74</v>
      </c>
      <c r="AG381">
        <v>57</v>
      </c>
      <c r="AH381">
        <v>6</v>
      </c>
      <c r="AI381">
        <v>6</v>
      </c>
      <c r="AJ381">
        <v>0</v>
      </c>
      <c r="AK381">
        <v>3</v>
      </c>
      <c r="AL381" t="s">
        <v>1101</v>
      </c>
      <c r="AM381" t="s">
        <v>1102</v>
      </c>
      <c r="AN381" t="s">
        <v>1103</v>
      </c>
      <c r="AO381" t="s">
        <v>74</v>
      </c>
      <c r="AP381" t="s">
        <v>7722</v>
      </c>
      <c r="AQ381" t="s">
        <v>74</v>
      </c>
      <c r="AR381" t="s">
        <v>7709</v>
      </c>
      <c r="AS381" t="s">
        <v>7723</v>
      </c>
      <c r="AT381" t="s">
        <v>430</v>
      </c>
      <c r="AU381">
        <v>2021</v>
      </c>
      <c r="AV381">
        <v>14</v>
      </c>
      <c r="AW381">
        <v>13</v>
      </c>
      <c r="AX381" t="s">
        <v>74</v>
      </c>
      <c r="AY381" t="s">
        <v>74</v>
      </c>
      <c r="AZ381" t="s">
        <v>74</v>
      </c>
      <c r="BA381" t="s">
        <v>74</v>
      </c>
      <c r="BB381" t="s">
        <v>74</v>
      </c>
      <c r="BC381" t="s">
        <v>74</v>
      </c>
      <c r="BD381">
        <v>3819</v>
      </c>
      <c r="BE381" t="s">
        <v>7724</v>
      </c>
      <c r="BF381" t="str">
        <f>HYPERLINK("http://dx.doi.org/10.3390/en14133819","http://dx.doi.org/10.3390/en14133819")</f>
        <v>http://dx.doi.org/10.3390/en14133819</v>
      </c>
      <c r="BG381" t="s">
        <v>74</v>
      </c>
      <c r="BH381" t="s">
        <v>74</v>
      </c>
      <c r="BI381">
        <v>16</v>
      </c>
      <c r="BJ381" t="s">
        <v>7725</v>
      </c>
      <c r="BK381" t="s">
        <v>128</v>
      </c>
      <c r="BL381" t="s">
        <v>7725</v>
      </c>
      <c r="BM381" t="s">
        <v>7726</v>
      </c>
      <c r="BN381" t="s">
        <v>74</v>
      </c>
      <c r="BO381" t="s">
        <v>311</v>
      </c>
      <c r="BP381" t="s">
        <v>74</v>
      </c>
      <c r="BQ381" t="s">
        <v>74</v>
      </c>
      <c r="BR381" t="s">
        <v>102</v>
      </c>
      <c r="BS381" t="s">
        <v>7727</v>
      </c>
      <c r="BT381" t="str">
        <f>HYPERLINK("https%3A%2F%2Fwww.webofscience.com%2Fwos%2Fwoscc%2Ffull-record%2FWOS:000671098700001","View Full Record in Web of Science")</f>
        <v>View Full Record in Web of Science</v>
      </c>
    </row>
    <row r="382" spans="1:72" x14ac:dyDescent="0.15">
      <c r="A382" t="s">
        <v>72</v>
      </c>
      <c r="B382" t="s">
        <v>7728</v>
      </c>
      <c r="C382" t="s">
        <v>74</v>
      </c>
      <c r="D382" t="s">
        <v>74</v>
      </c>
      <c r="E382" t="s">
        <v>74</v>
      </c>
      <c r="F382" t="s">
        <v>7729</v>
      </c>
      <c r="G382" t="s">
        <v>74</v>
      </c>
      <c r="H382" t="s">
        <v>74</v>
      </c>
      <c r="I382" t="s">
        <v>7730</v>
      </c>
      <c r="J382" t="s">
        <v>7731</v>
      </c>
      <c r="K382" t="s">
        <v>74</v>
      </c>
      <c r="L382" t="s">
        <v>74</v>
      </c>
      <c r="M382" t="s">
        <v>78</v>
      </c>
      <c r="N382" t="s">
        <v>79</v>
      </c>
      <c r="O382" t="s">
        <v>74</v>
      </c>
      <c r="P382" t="s">
        <v>74</v>
      </c>
      <c r="Q382" t="s">
        <v>74</v>
      </c>
      <c r="R382" t="s">
        <v>74</v>
      </c>
      <c r="S382" t="s">
        <v>74</v>
      </c>
      <c r="T382" t="s">
        <v>7732</v>
      </c>
      <c r="U382" t="s">
        <v>7733</v>
      </c>
      <c r="V382" t="s">
        <v>7734</v>
      </c>
      <c r="W382" t="s">
        <v>7735</v>
      </c>
      <c r="X382" t="s">
        <v>7736</v>
      </c>
      <c r="Y382" t="s">
        <v>7737</v>
      </c>
      <c r="Z382" t="s">
        <v>7738</v>
      </c>
      <c r="AA382" t="s">
        <v>7739</v>
      </c>
      <c r="AB382" t="s">
        <v>7740</v>
      </c>
      <c r="AC382" t="s">
        <v>7741</v>
      </c>
      <c r="AD382" t="s">
        <v>7742</v>
      </c>
      <c r="AE382" t="s">
        <v>7743</v>
      </c>
      <c r="AF382" t="s">
        <v>74</v>
      </c>
      <c r="AG382">
        <v>65</v>
      </c>
      <c r="AH382">
        <v>5</v>
      </c>
      <c r="AI382">
        <v>5</v>
      </c>
      <c r="AJ382">
        <v>1</v>
      </c>
      <c r="AK382">
        <v>5</v>
      </c>
      <c r="AL382" t="s">
        <v>1101</v>
      </c>
      <c r="AM382" t="s">
        <v>1102</v>
      </c>
      <c r="AN382" t="s">
        <v>1103</v>
      </c>
      <c r="AO382" t="s">
        <v>74</v>
      </c>
      <c r="AP382" t="s">
        <v>7744</v>
      </c>
      <c r="AQ382" t="s">
        <v>74</v>
      </c>
      <c r="AR382" t="s">
        <v>7745</v>
      </c>
      <c r="AS382" t="s">
        <v>7746</v>
      </c>
      <c r="AT382" t="s">
        <v>430</v>
      </c>
      <c r="AU382">
        <v>2021</v>
      </c>
      <c r="AV382">
        <v>13</v>
      </c>
      <c r="AW382">
        <v>13</v>
      </c>
      <c r="AX382" t="s">
        <v>74</v>
      </c>
      <c r="AY382" t="s">
        <v>74</v>
      </c>
      <c r="AZ382" t="s">
        <v>74</v>
      </c>
      <c r="BA382" t="s">
        <v>74</v>
      </c>
      <c r="BB382" t="s">
        <v>74</v>
      </c>
      <c r="BC382" t="s">
        <v>74</v>
      </c>
      <c r="BD382">
        <v>1742</v>
      </c>
      <c r="BE382" t="s">
        <v>7747</v>
      </c>
      <c r="BF382" t="str">
        <f>HYPERLINK("http://dx.doi.org/10.3390/w13131742","http://dx.doi.org/10.3390/w13131742")</f>
        <v>http://dx.doi.org/10.3390/w13131742</v>
      </c>
      <c r="BG382" t="s">
        <v>74</v>
      </c>
      <c r="BH382" t="s">
        <v>74</v>
      </c>
      <c r="BI382">
        <v>18</v>
      </c>
      <c r="BJ382" t="s">
        <v>7748</v>
      </c>
      <c r="BK382" t="s">
        <v>128</v>
      </c>
      <c r="BL382" t="s">
        <v>7749</v>
      </c>
      <c r="BM382" t="s">
        <v>7750</v>
      </c>
      <c r="BN382" t="s">
        <v>74</v>
      </c>
      <c r="BO382" t="s">
        <v>238</v>
      </c>
      <c r="BP382" t="s">
        <v>74</v>
      </c>
      <c r="BQ382" t="s">
        <v>74</v>
      </c>
      <c r="BR382" t="s">
        <v>102</v>
      </c>
      <c r="BS382" t="s">
        <v>7751</v>
      </c>
      <c r="BT382" t="str">
        <f>HYPERLINK("https%3A%2F%2Fwww.webofscience.com%2Fwos%2Fwoscc%2Ffull-record%2FWOS:000670928100001","View Full Record in Web of Science")</f>
        <v>View Full Record in Web of Science</v>
      </c>
    </row>
    <row r="383" spans="1:72" x14ac:dyDescent="0.15">
      <c r="A383" t="s">
        <v>72</v>
      </c>
      <c r="B383" t="s">
        <v>7752</v>
      </c>
      <c r="C383" t="s">
        <v>74</v>
      </c>
      <c r="D383" t="s">
        <v>74</v>
      </c>
      <c r="E383" t="s">
        <v>74</v>
      </c>
      <c r="F383" t="s">
        <v>7753</v>
      </c>
      <c r="G383" t="s">
        <v>74</v>
      </c>
      <c r="H383" t="s">
        <v>74</v>
      </c>
      <c r="I383" t="s">
        <v>7754</v>
      </c>
      <c r="J383" t="s">
        <v>7755</v>
      </c>
      <c r="K383" t="s">
        <v>74</v>
      </c>
      <c r="L383" t="s">
        <v>74</v>
      </c>
      <c r="M383" t="s">
        <v>78</v>
      </c>
      <c r="N383" t="s">
        <v>700</v>
      </c>
      <c r="O383" t="s">
        <v>74</v>
      </c>
      <c r="P383" t="s">
        <v>74</v>
      </c>
      <c r="Q383" t="s">
        <v>74</v>
      </c>
      <c r="R383" t="s">
        <v>74</v>
      </c>
      <c r="S383" t="s">
        <v>74</v>
      </c>
      <c r="T383" t="s">
        <v>74</v>
      </c>
      <c r="U383" t="s">
        <v>7756</v>
      </c>
      <c r="V383" t="s">
        <v>7757</v>
      </c>
      <c r="W383" t="s">
        <v>7758</v>
      </c>
      <c r="X383" t="s">
        <v>7759</v>
      </c>
      <c r="Y383" t="s">
        <v>7760</v>
      </c>
      <c r="Z383" t="s">
        <v>7761</v>
      </c>
      <c r="AA383" t="s">
        <v>7762</v>
      </c>
      <c r="AB383" t="s">
        <v>7763</v>
      </c>
      <c r="AC383" t="s">
        <v>7764</v>
      </c>
      <c r="AD383" t="s">
        <v>7765</v>
      </c>
      <c r="AE383" t="s">
        <v>7766</v>
      </c>
      <c r="AF383" t="s">
        <v>74</v>
      </c>
      <c r="AG383">
        <v>106</v>
      </c>
      <c r="AH383">
        <v>35</v>
      </c>
      <c r="AI383">
        <v>38</v>
      </c>
      <c r="AJ383">
        <v>15</v>
      </c>
      <c r="AK383">
        <v>109</v>
      </c>
      <c r="AL383" t="s">
        <v>7767</v>
      </c>
      <c r="AM383" t="s">
        <v>865</v>
      </c>
      <c r="AN383" t="s">
        <v>7768</v>
      </c>
      <c r="AO383" t="s">
        <v>7769</v>
      </c>
      <c r="AP383" t="s">
        <v>74</v>
      </c>
      <c r="AQ383" t="s">
        <v>74</v>
      </c>
      <c r="AR383" t="s">
        <v>7770</v>
      </c>
      <c r="AS383" t="s">
        <v>7771</v>
      </c>
      <c r="AT383" t="s">
        <v>430</v>
      </c>
      <c r="AU383">
        <v>2021</v>
      </c>
      <c r="AV383">
        <v>7</v>
      </c>
      <c r="AW383">
        <v>28</v>
      </c>
      <c r="AX383" t="s">
        <v>74</v>
      </c>
      <c r="AY383" t="s">
        <v>74</v>
      </c>
      <c r="AZ383" t="s">
        <v>74</v>
      </c>
      <c r="BA383" t="s">
        <v>74</v>
      </c>
      <c r="BB383" t="s">
        <v>74</v>
      </c>
      <c r="BC383" t="s">
        <v>74</v>
      </c>
      <c r="BD383" t="s">
        <v>7772</v>
      </c>
      <c r="BE383" t="s">
        <v>7773</v>
      </c>
      <c r="BF383" t="str">
        <f>HYPERLINK("http://dx.doi.org/10.1126/sciadv.abd8800","http://dx.doi.org/10.1126/sciadv.abd8800")</f>
        <v>http://dx.doi.org/10.1126/sciadv.abd8800</v>
      </c>
      <c r="BG383" t="s">
        <v>74</v>
      </c>
      <c r="BH383" t="s">
        <v>74</v>
      </c>
      <c r="BI383">
        <v>9</v>
      </c>
      <c r="BJ383" t="s">
        <v>2609</v>
      </c>
      <c r="BK383" t="s">
        <v>128</v>
      </c>
      <c r="BL383" t="s">
        <v>2610</v>
      </c>
      <c r="BM383" t="s">
        <v>7774</v>
      </c>
      <c r="BN383">
        <v>34233872</v>
      </c>
      <c r="BO383" t="s">
        <v>569</v>
      </c>
      <c r="BP383" t="s">
        <v>74</v>
      </c>
      <c r="BQ383" t="s">
        <v>74</v>
      </c>
      <c r="BR383" t="s">
        <v>102</v>
      </c>
      <c r="BS383" t="s">
        <v>7775</v>
      </c>
      <c r="BT383" t="str">
        <f>HYPERLINK("https%3A%2F%2Fwww.webofscience.com%2Fwos%2Fwoscc%2Ffull-record%2FWOS:000670435700005","View Full Record in Web of Science")</f>
        <v>View Full Record in Web of Science</v>
      </c>
    </row>
    <row r="384" spans="1:72" x14ac:dyDescent="0.15">
      <c r="A384" t="s">
        <v>72</v>
      </c>
      <c r="B384" t="s">
        <v>7776</v>
      </c>
      <c r="C384" t="s">
        <v>74</v>
      </c>
      <c r="D384" t="s">
        <v>74</v>
      </c>
      <c r="E384" t="s">
        <v>74</v>
      </c>
      <c r="F384" t="s">
        <v>7777</v>
      </c>
      <c r="G384" t="s">
        <v>74</v>
      </c>
      <c r="H384" t="s">
        <v>74</v>
      </c>
      <c r="I384" t="s">
        <v>7778</v>
      </c>
      <c r="J384" t="s">
        <v>7288</v>
      </c>
      <c r="K384" t="s">
        <v>74</v>
      </c>
      <c r="L384" t="s">
        <v>74</v>
      </c>
      <c r="M384" t="s">
        <v>78</v>
      </c>
      <c r="N384" t="s">
        <v>700</v>
      </c>
      <c r="O384" t="s">
        <v>74</v>
      </c>
      <c r="P384" t="s">
        <v>74</v>
      </c>
      <c r="Q384" t="s">
        <v>74</v>
      </c>
      <c r="R384" t="s">
        <v>74</v>
      </c>
      <c r="S384" t="s">
        <v>74</v>
      </c>
      <c r="T384" t="s">
        <v>7779</v>
      </c>
      <c r="U384" t="s">
        <v>7780</v>
      </c>
      <c r="V384" t="s">
        <v>7781</v>
      </c>
      <c r="W384" t="s">
        <v>7782</v>
      </c>
      <c r="X384" t="s">
        <v>7783</v>
      </c>
      <c r="Y384" t="s">
        <v>7784</v>
      </c>
      <c r="Z384" t="s">
        <v>7785</v>
      </c>
      <c r="AA384" t="s">
        <v>7786</v>
      </c>
      <c r="AB384" t="s">
        <v>7787</v>
      </c>
      <c r="AC384" t="s">
        <v>7788</v>
      </c>
      <c r="AD384" t="s">
        <v>7788</v>
      </c>
      <c r="AE384" t="s">
        <v>7789</v>
      </c>
      <c r="AF384" t="s">
        <v>74</v>
      </c>
      <c r="AG384">
        <v>114</v>
      </c>
      <c r="AH384">
        <v>2</v>
      </c>
      <c r="AI384">
        <v>2</v>
      </c>
      <c r="AJ384">
        <v>0</v>
      </c>
      <c r="AK384">
        <v>10</v>
      </c>
      <c r="AL384" t="s">
        <v>1101</v>
      </c>
      <c r="AM384" t="s">
        <v>1102</v>
      </c>
      <c r="AN384" t="s">
        <v>1103</v>
      </c>
      <c r="AO384" t="s">
        <v>74</v>
      </c>
      <c r="AP384" t="s">
        <v>7301</v>
      </c>
      <c r="AQ384" t="s">
        <v>74</v>
      </c>
      <c r="AR384" t="s">
        <v>7302</v>
      </c>
      <c r="AS384" t="s">
        <v>7303</v>
      </c>
      <c r="AT384" t="s">
        <v>430</v>
      </c>
      <c r="AU384">
        <v>2021</v>
      </c>
      <c r="AV384">
        <v>13</v>
      </c>
      <c r="AW384">
        <v>13</v>
      </c>
      <c r="AX384" t="s">
        <v>74</v>
      </c>
      <c r="AY384" t="s">
        <v>74</v>
      </c>
      <c r="AZ384" t="s">
        <v>74</v>
      </c>
      <c r="BA384" t="s">
        <v>74</v>
      </c>
      <c r="BB384" t="s">
        <v>74</v>
      </c>
      <c r="BC384" t="s">
        <v>74</v>
      </c>
      <c r="BD384">
        <v>7064</v>
      </c>
      <c r="BE384" t="s">
        <v>7790</v>
      </c>
      <c r="BF384" t="str">
        <f>HYPERLINK("http://dx.doi.org/10.3390/su13137064","http://dx.doi.org/10.3390/su13137064")</f>
        <v>http://dx.doi.org/10.3390/su13137064</v>
      </c>
      <c r="BG384" t="s">
        <v>74</v>
      </c>
      <c r="BH384" t="s">
        <v>74</v>
      </c>
      <c r="BI384">
        <v>24</v>
      </c>
      <c r="BJ384" t="s">
        <v>7305</v>
      </c>
      <c r="BK384" t="s">
        <v>100</v>
      </c>
      <c r="BL384" t="s">
        <v>7306</v>
      </c>
      <c r="BM384" t="s">
        <v>7791</v>
      </c>
      <c r="BN384" t="s">
        <v>74</v>
      </c>
      <c r="BO384" t="s">
        <v>7792</v>
      </c>
      <c r="BP384" t="s">
        <v>74</v>
      </c>
      <c r="BQ384" t="s">
        <v>74</v>
      </c>
      <c r="BR384" t="s">
        <v>102</v>
      </c>
      <c r="BS384" t="s">
        <v>7793</v>
      </c>
      <c r="BT384" t="str">
        <f>HYPERLINK("https%3A%2F%2Fwww.webofscience.com%2Fwos%2Fwoscc%2Ffull-record%2FWOS:000671103700001","View Full Record in Web of Science")</f>
        <v>View Full Record in Web of Science</v>
      </c>
    </row>
    <row r="385" spans="1:72" x14ac:dyDescent="0.15">
      <c r="A385" t="s">
        <v>72</v>
      </c>
      <c r="B385" t="s">
        <v>7794</v>
      </c>
      <c r="C385" t="s">
        <v>74</v>
      </c>
      <c r="D385" t="s">
        <v>74</v>
      </c>
      <c r="E385" t="s">
        <v>74</v>
      </c>
      <c r="F385" t="s">
        <v>7795</v>
      </c>
      <c r="G385" t="s">
        <v>74</v>
      </c>
      <c r="H385" t="s">
        <v>74</v>
      </c>
      <c r="I385" t="s">
        <v>7796</v>
      </c>
      <c r="J385" t="s">
        <v>2204</v>
      </c>
      <c r="K385" t="s">
        <v>74</v>
      </c>
      <c r="L385" t="s">
        <v>74</v>
      </c>
      <c r="M385" t="s">
        <v>78</v>
      </c>
      <c r="N385" t="s">
        <v>79</v>
      </c>
      <c r="O385" t="s">
        <v>74</v>
      </c>
      <c r="P385" t="s">
        <v>74</v>
      </c>
      <c r="Q385" t="s">
        <v>74</v>
      </c>
      <c r="R385" t="s">
        <v>74</v>
      </c>
      <c r="S385" t="s">
        <v>74</v>
      </c>
      <c r="T385" t="s">
        <v>7797</v>
      </c>
      <c r="U385" t="s">
        <v>7798</v>
      </c>
      <c r="V385" t="s">
        <v>7799</v>
      </c>
      <c r="W385" t="s">
        <v>7800</v>
      </c>
      <c r="X385" t="s">
        <v>1198</v>
      </c>
      <c r="Y385" t="s">
        <v>7801</v>
      </c>
      <c r="Z385" t="s">
        <v>7802</v>
      </c>
      <c r="AA385" t="s">
        <v>74</v>
      </c>
      <c r="AB385" t="s">
        <v>7803</v>
      </c>
      <c r="AC385" t="s">
        <v>7804</v>
      </c>
      <c r="AD385" t="s">
        <v>7805</v>
      </c>
      <c r="AE385" t="s">
        <v>7806</v>
      </c>
      <c r="AF385" t="s">
        <v>74</v>
      </c>
      <c r="AG385">
        <v>34</v>
      </c>
      <c r="AH385">
        <v>6</v>
      </c>
      <c r="AI385">
        <v>6</v>
      </c>
      <c r="AJ385">
        <v>6</v>
      </c>
      <c r="AK385">
        <v>32</v>
      </c>
      <c r="AL385" t="s">
        <v>7807</v>
      </c>
      <c r="AM385" t="s">
        <v>2144</v>
      </c>
      <c r="AN385" t="s">
        <v>2145</v>
      </c>
      <c r="AO385" t="s">
        <v>2217</v>
      </c>
      <c r="AP385" t="s">
        <v>74</v>
      </c>
      <c r="AQ385" t="s">
        <v>74</v>
      </c>
      <c r="AR385" t="s">
        <v>2218</v>
      </c>
      <c r="AS385" t="s">
        <v>2219</v>
      </c>
      <c r="AT385" t="s">
        <v>430</v>
      </c>
      <c r="AU385">
        <v>2021</v>
      </c>
      <c r="AV385">
        <v>16</v>
      </c>
      <c r="AW385">
        <v>7</v>
      </c>
      <c r="AX385" t="s">
        <v>74</v>
      </c>
      <c r="AY385" t="s">
        <v>74</v>
      </c>
      <c r="AZ385" t="s">
        <v>74</v>
      </c>
      <c r="BA385" t="s">
        <v>74</v>
      </c>
      <c r="BB385" t="s">
        <v>74</v>
      </c>
      <c r="BC385" t="s">
        <v>74</v>
      </c>
      <c r="BD385">
        <v>74042</v>
      </c>
      <c r="BE385" t="s">
        <v>7808</v>
      </c>
      <c r="BF385" t="str">
        <f>HYPERLINK("http://dx.doi.org/10.1088/1748-9326/ac0de0","http://dx.doi.org/10.1088/1748-9326/ac0de0")</f>
        <v>http://dx.doi.org/10.1088/1748-9326/ac0de0</v>
      </c>
      <c r="BG385" t="s">
        <v>74</v>
      </c>
      <c r="BH385" t="s">
        <v>74</v>
      </c>
      <c r="BI385">
        <v>10</v>
      </c>
      <c r="BJ385" t="s">
        <v>635</v>
      </c>
      <c r="BK385" t="s">
        <v>128</v>
      </c>
      <c r="BL385" t="s">
        <v>636</v>
      </c>
      <c r="BM385" t="s">
        <v>7809</v>
      </c>
      <c r="BN385" t="s">
        <v>74</v>
      </c>
      <c r="BO385" t="s">
        <v>638</v>
      </c>
      <c r="BP385" t="s">
        <v>74</v>
      </c>
      <c r="BQ385" t="s">
        <v>74</v>
      </c>
      <c r="BR385" t="s">
        <v>102</v>
      </c>
      <c r="BS385" t="s">
        <v>7810</v>
      </c>
      <c r="BT385" t="str">
        <f>HYPERLINK("https%3A%2F%2Fwww.webofscience.com%2Fwos%2Fwoscc%2Ffull-record%2FWOS:000671680600001","View Full Record in Web of Science")</f>
        <v>View Full Record in Web of Science</v>
      </c>
    </row>
    <row r="386" spans="1:72" x14ac:dyDescent="0.15">
      <c r="A386" t="s">
        <v>72</v>
      </c>
      <c r="B386" t="s">
        <v>7811</v>
      </c>
      <c r="C386" t="s">
        <v>74</v>
      </c>
      <c r="D386" t="s">
        <v>74</v>
      </c>
      <c r="E386" t="s">
        <v>74</v>
      </c>
      <c r="F386" t="s">
        <v>7812</v>
      </c>
      <c r="G386" t="s">
        <v>74</v>
      </c>
      <c r="H386" t="s">
        <v>74</v>
      </c>
      <c r="I386" t="s">
        <v>7813</v>
      </c>
      <c r="J386" t="s">
        <v>1404</v>
      </c>
      <c r="K386" t="s">
        <v>74</v>
      </c>
      <c r="L386" t="s">
        <v>74</v>
      </c>
      <c r="M386" t="s">
        <v>78</v>
      </c>
      <c r="N386" t="s">
        <v>79</v>
      </c>
      <c r="O386" t="s">
        <v>74</v>
      </c>
      <c r="P386" t="s">
        <v>74</v>
      </c>
      <c r="Q386" t="s">
        <v>74</v>
      </c>
      <c r="R386" t="s">
        <v>74</v>
      </c>
      <c r="S386" t="s">
        <v>74</v>
      </c>
      <c r="T386" t="s">
        <v>7814</v>
      </c>
      <c r="U386" t="s">
        <v>7815</v>
      </c>
      <c r="V386" t="s">
        <v>7816</v>
      </c>
      <c r="W386" t="s">
        <v>7817</v>
      </c>
      <c r="X386" t="s">
        <v>7818</v>
      </c>
      <c r="Y386" t="s">
        <v>7819</v>
      </c>
      <c r="Z386" t="s">
        <v>7820</v>
      </c>
      <c r="AA386" t="s">
        <v>74</v>
      </c>
      <c r="AB386" t="s">
        <v>7821</v>
      </c>
      <c r="AC386" t="s">
        <v>4087</v>
      </c>
      <c r="AD386" t="s">
        <v>4088</v>
      </c>
      <c r="AE386" t="s">
        <v>7822</v>
      </c>
      <c r="AF386" t="s">
        <v>74</v>
      </c>
      <c r="AG386">
        <v>54</v>
      </c>
      <c r="AH386">
        <v>9</v>
      </c>
      <c r="AI386">
        <v>9</v>
      </c>
      <c r="AJ386">
        <v>1</v>
      </c>
      <c r="AK386">
        <v>23</v>
      </c>
      <c r="AL386" t="s">
        <v>1101</v>
      </c>
      <c r="AM386" t="s">
        <v>1102</v>
      </c>
      <c r="AN386" t="s">
        <v>1103</v>
      </c>
      <c r="AO386" t="s">
        <v>74</v>
      </c>
      <c r="AP386" t="s">
        <v>1417</v>
      </c>
      <c r="AQ386" t="s">
        <v>74</v>
      </c>
      <c r="AR386" t="s">
        <v>1418</v>
      </c>
      <c r="AS386" t="s">
        <v>1419</v>
      </c>
      <c r="AT386" t="s">
        <v>430</v>
      </c>
      <c r="AU386">
        <v>2021</v>
      </c>
      <c r="AV386">
        <v>13</v>
      </c>
      <c r="AW386">
        <v>13</v>
      </c>
      <c r="AX386" t="s">
        <v>74</v>
      </c>
      <c r="AY386" t="s">
        <v>74</v>
      </c>
      <c r="AZ386" t="s">
        <v>74</v>
      </c>
      <c r="BA386" t="s">
        <v>74</v>
      </c>
      <c r="BB386" t="s">
        <v>74</v>
      </c>
      <c r="BC386" t="s">
        <v>74</v>
      </c>
      <c r="BD386">
        <v>2470</v>
      </c>
      <c r="BE386" t="s">
        <v>7823</v>
      </c>
      <c r="BF386" t="str">
        <f>HYPERLINK("http://dx.doi.org/10.3390/rs13132470","http://dx.doi.org/10.3390/rs13132470")</f>
        <v>http://dx.doi.org/10.3390/rs13132470</v>
      </c>
      <c r="BG386" t="s">
        <v>74</v>
      </c>
      <c r="BH386" t="s">
        <v>74</v>
      </c>
      <c r="BI386">
        <v>21</v>
      </c>
      <c r="BJ386" t="s">
        <v>1421</v>
      </c>
      <c r="BK386" t="s">
        <v>128</v>
      </c>
      <c r="BL386" t="s">
        <v>1422</v>
      </c>
      <c r="BM386" t="s">
        <v>7824</v>
      </c>
      <c r="BN386" t="s">
        <v>74</v>
      </c>
      <c r="BO386" t="s">
        <v>638</v>
      </c>
      <c r="BP386" t="s">
        <v>74</v>
      </c>
      <c r="BQ386" t="s">
        <v>74</v>
      </c>
      <c r="BR386" t="s">
        <v>102</v>
      </c>
      <c r="BS386" t="s">
        <v>7825</v>
      </c>
      <c r="BT386" t="str">
        <f>HYPERLINK("https%3A%2F%2Fwww.webofscience.com%2Fwos%2Fwoscc%2Ffull-record%2FWOS:000671383500001","View Full Record in Web of Science")</f>
        <v>View Full Record in Web of Science</v>
      </c>
    </row>
    <row r="387" spans="1:72" x14ac:dyDescent="0.15">
      <c r="A387" t="s">
        <v>72</v>
      </c>
      <c r="B387" t="s">
        <v>7826</v>
      </c>
      <c r="C387" t="s">
        <v>74</v>
      </c>
      <c r="D387" t="s">
        <v>74</v>
      </c>
      <c r="E387" t="s">
        <v>74</v>
      </c>
      <c r="F387" t="s">
        <v>7827</v>
      </c>
      <c r="G387" t="s">
        <v>74</v>
      </c>
      <c r="H387" t="s">
        <v>74</v>
      </c>
      <c r="I387" t="s">
        <v>7828</v>
      </c>
      <c r="J387" t="s">
        <v>1404</v>
      </c>
      <c r="K387" t="s">
        <v>74</v>
      </c>
      <c r="L387" t="s">
        <v>74</v>
      </c>
      <c r="M387" t="s">
        <v>78</v>
      </c>
      <c r="N387" t="s">
        <v>79</v>
      </c>
      <c r="O387" t="s">
        <v>74</v>
      </c>
      <c r="P387" t="s">
        <v>74</v>
      </c>
      <c r="Q387" t="s">
        <v>74</v>
      </c>
      <c r="R387" t="s">
        <v>74</v>
      </c>
      <c r="S387" t="s">
        <v>74</v>
      </c>
      <c r="T387" t="s">
        <v>7829</v>
      </c>
      <c r="U387" t="s">
        <v>7830</v>
      </c>
      <c r="V387" t="s">
        <v>7831</v>
      </c>
      <c r="W387" t="s">
        <v>7832</v>
      </c>
      <c r="X387" t="s">
        <v>7833</v>
      </c>
      <c r="Y387" t="s">
        <v>7834</v>
      </c>
      <c r="Z387" t="s">
        <v>7835</v>
      </c>
      <c r="AA387" t="s">
        <v>7836</v>
      </c>
      <c r="AB387" t="s">
        <v>7837</v>
      </c>
      <c r="AC387" t="s">
        <v>7838</v>
      </c>
      <c r="AD387" t="s">
        <v>7839</v>
      </c>
      <c r="AE387" t="s">
        <v>7840</v>
      </c>
      <c r="AF387" t="s">
        <v>74</v>
      </c>
      <c r="AG387">
        <v>34</v>
      </c>
      <c r="AH387">
        <v>4</v>
      </c>
      <c r="AI387">
        <v>4</v>
      </c>
      <c r="AJ387">
        <v>6</v>
      </c>
      <c r="AK387">
        <v>16</v>
      </c>
      <c r="AL387" t="s">
        <v>1101</v>
      </c>
      <c r="AM387" t="s">
        <v>1102</v>
      </c>
      <c r="AN387" t="s">
        <v>1103</v>
      </c>
      <c r="AO387" t="s">
        <v>74</v>
      </c>
      <c r="AP387" t="s">
        <v>1417</v>
      </c>
      <c r="AQ387" t="s">
        <v>74</v>
      </c>
      <c r="AR387" t="s">
        <v>1418</v>
      </c>
      <c r="AS387" t="s">
        <v>1419</v>
      </c>
      <c r="AT387" t="s">
        <v>430</v>
      </c>
      <c r="AU387">
        <v>2021</v>
      </c>
      <c r="AV387">
        <v>13</v>
      </c>
      <c r="AW387">
        <v>13</v>
      </c>
      <c r="AX387" t="s">
        <v>74</v>
      </c>
      <c r="AY387" t="s">
        <v>74</v>
      </c>
      <c r="AZ387" t="s">
        <v>74</v>
      </c>
      <c r="BA387" t="s">
        <v>74</v>
      </c>
      <c r="BB387" t="s">
        <v>74</v>
      </c>
      <c r="BC387" t="s">
        <v>74</v>
      </c>
      <c r="BD387">
        <v>2458</v>
      </c>
      <c r="BE387" t="s">
        <v>7841</v>
      </c>
      <c r="BF387" t="str">
        <f>HYPERLINK("http://dx.doi.org/10.3390/rs13132458","http://dx.doi.org/10.3390/rs13132458")</f>
        <v>http://dx.doi.org/10.3390/rs13132458</v>
      </c>
      <c r="BG387" t="s">
        <v>74</v>
      </c>
      <c r="BH387" t="s">
        <v>74</v>
      </c>
      <c r="BI387">
        <v>17</v>
      </c>
      <c r="BJ387" t="s">
        <v>1421</v>
      </c>
      <c r="BK387" t="s">
        <v>128</v>
      </c>
      <c r="BL387" t="s">
        <v>1422</v>
      </c>
      <c r="BM387" t="s">
        <v>7842</v>
      </c>
      <c r="BN387" t="s">
        <v>74</v>
      </c>
      <c r="BO387" t="s">
        <v>311</v>
      </c>
      <c r="BP387" t="s">
        <v>74</v>
      </c>
      <c r="BQ387" t="s">
        <v>74</v>
      </c>
      <c r="BR387" t="s">
        <v>102</v>
      </c>
      <c r="BS387" t="s">
        <v>7843</v>
      </c>
      <c r="BT387" t="str">
        <f>HYPERLINK("https%3A%2F%2Fwww.webofscience.com%2Fwos%2Fwoscc%2Ffull-record%2FWOS:000671160100001","View Full Record in Web of Science")</f>
        <v>View Full Record in Web of Science</v>
      </c>
    </row>
    <row r="388" spans="1:72" x14ac:dyDescent="0.15">
      <c r="A388" t="s">
        <v>72</v>
      </c>
      <c r="B388" t="s">
        <v>7844</v>
      </c>
      <c r="C388" t="s">
        <v>74</v>
      </c>
      <c r="D388" t="s">
        <v>74</v>
      </c>
      <c r="E388" t="s">
        <v>74</v>
      </c>
      <c r="F388" t="s">
        <v>7845</v>
      </c>
      <c r="G388" t="s">
        <v>74</v>
      </c>
      <c r="H388" t="s">
        <v>74</v>
      </c>
      <c r="I388" t="s">
        <v>7846</v>
      </c>
      <c r="J388" t="s">
        <v>2013</v>
      </c>
      <c r="K388" t="s">
        <v>74</v>
      </c>
      <c r="L388" t="s">
        <v>74</v>
      </c>
      <c r="M388" t="s">
        <v>78</v>
      </c>
      <c r="N388" t="s">
        <v>79</v>
      </c>
      <c r="O388" t="s">
        <v>74</v>
      </c>
      <c r="P388" t="s">
        <v>74</v>
      </c>
      <c r="Q388" t="s">
        <v>74</v>
      </c>
      <c r="R388" t="s">
        <v>74</v>
      </c>
      <c r="S388" t="s">
        <v>74</v>
      </c>
      <c r="T388" t="s">
        <v>7847</v>
      </c>
      <c r="U388" t="s">
        <v>7848</v>
      </c>
      <c r="V388" t="s">
        <v>7849</v>
      </c>
      <c r="W388" t="s">
        <v>7850</v>
      </c>
      <c r="X388" t="s">
        <v>7851</v>
      </c>
      <c r="Y388" t="s">
        <v>7852</v>
      </c>
      <c r="Z388" t="s">
        <v>7853</v>
      </c>
      <c r="AA388" t="s">
        <v>7854</v>
      </c>
      <c r="AB388" t="s">
        <v>7855</v>
      </c>
      <c r="AC388" t="s">
        <v>7856</v>
      </c>
      <c r="AD388" t="s">
        <v>7857</v>
      </c>
      <c r="AE388" t="s">
        <v>7858</v>
      </c>
      <c r="AF388" t="s">
        <v>74</v>
      </c>
      <c r="AG388">
        <v>70</v>
      </c>
      <c r="AH388">
        <v>4</v>
      </c>
      <c r="AI388">
        <v>4</v>
      </c>
      <c r="AJ388">
        <v>1</v>
      </c>
      <c r="AK388">
        <v>6</v>
      </c>
      <c r="AL388" t="s">
        <v>557</v>
      </c>
      <c r="AM388" t="s">
        <v>558</v>
      </c>
      <c r="AN388" t="s">
        <v>584</v>
      </c>
      <c r="AO388" t="s">
        <v>2023</v>
      </c>
      <c r="AP388" t="s">
        <v>2024</v>
      </c>
      <c r="AQ388" t="s">
        <v>74</v>
      </c>
      <c r="AR388" t="s">
        <v>2025</v>
      </c>
      <c r="AS388" t="s">
        <v>2026</v>
      </c>
      <c r="AT388" t="s">
        <v>430</v>
      </c>
      <c r="AU388">
        <v>2021</v>
      </c>
      <c r="AV388">
        <v>34</v>
      </c>
      <c r="AW388">
        <v>14</v>
      </c>
      <c r="AX388" t="s">
        <v>74</v>
      </c>
      <c r="AY388" t="s">
        <v>74</v>
      </c>
      <c r="AZ388" t="s">
        <v>74</v>
      </c>
      <c r="BA388" t="s">
        <v>74</v>
      </c>
      <c r="BB388">
        <v>5795</v>
      </c>
      <c r="BC388">
        <v>5811</v>
      </c>
      <c r="BD388" t="s">
        <v>74</v>
      </c>
      <c r="BE388" t="s">
        <v>7859</v>
      </c>
      <c r="BF388" t="str">
        <f>HYPERLINK("http://dx.doi.org/10.1175/JCLI-D-20-0498.1","http://dx.doi.org/10.1175/JCLI-D-20-0498.1")</f>
        <v>http://dx.doi.org/10.1175/JCLI-D-20-0498.1</v>
      </c>
      <c r="BG388" t="s">
        <v>74</v>
      </c>
      <c r="BH388" t="s">
        <v>74</v>
      </c>
      <c r="BI388">
        <v>17</v>
      </c>
      <c r="BJ388" t="s">
        <v>567</v>
      </c>
      <c r="BK388" t="s">
        <v>128</v>
      </c>
      <c r="BL388" t="s">
        <v>567</v>
      </c>
      <c r="BM388" t="s">
        <v>7860</v>
      </c>
      <c r="BN388" t="s">
        <v>74</v>
      </c>
      <c r="BO388" t="s">
        <v>74</v>
      </c>
      <c r="BP388" t="s">
        <v>74</v>
      </c>
      <c r="BQ388" t="s">
        <v>74</v>
      </c>
      <c r="BR388" t="s">
        <v>102</v>
      </c>
      <c r="BS388" t="s">
        <v>7861</v>
      </c>
      <c r="BT388" t="str">
        <f>HYPERLINK("https%3A%2F%2Fwww.webofscience.com%2Fwos%2Fwoscc%2Ffull-record%2FWOS:000668206100011","View Full Record in Web of Science")</f>
        <v>View Full Record in Web of Science</v>
      </c>
    </row>
    <row r="389" spans="1:72" x14ac:dyDescent="0.15">
      <c r="A389" t="s">
        <v>72</v>
      </c>
      <c r="B389" t="s">
        <v>7862</v>
      </c>
      <c r="C389" t="s">
        <v>74</v>
      </c>
      <c r="D389" t="s">
        <v>74</v>
      </c>
      <c r="E389" t="s">
        <v>74</v>
      </c>
      <c r="F389" t="s">
        <v>7863</v>
      </c>
      <c r="G389" t="s">
        <v>74</v>
      </c>
      <c r="H389" t="s">
        <v>74</v>
      </c>
      <c r="I389" t="s">
        <v>7864</v>
      </c>
      <c r="J389" t="s">
        <v>806</v>
      </c>
      <c r="K389" t="s">
        <v>74</v>
      </c>
      <c r="L389" t="s">
        <v>74</v>
      </c>
      <c r="M389" t="s">
        <v>78</v>
      </c>
      <c r="N389" t="s">
        <v>79</v>
      </c>
      <c r="O389" t="s">
        <v>74</v>
      </c>
      <c r="P389" t="s">
        <v>74</v>
      </c>
      <c r="Q389" t="s">
        <v>74</v>
      </c>
      <c r="R389" t="s">
        <v>74</v>
      </c>
      <c r="S389" t="s">
        <v>74</v>
      </c>
      <c r="T389" t="s">
        <v>74</v>
      </c>
      <c r="U389" t="s">
        <v>7865</v>
      </c>
      <c r="V389" t="s">
        <v>7866</v>
      </c>
      <c r="W389" t="s">
        <v>7867</v>
      </c>
      <c r="X389" t="s">
        <v>2640</v>
      </c>
      <c r="Y389" t="s">
        <v>7868</v>
      </c>
      <c r="Z389" t="s">
        <v>7869</v>
      </c>
      <c r="AA389" t="s">
        <v>7870</v>
      </c>
      <c r="AB389" t="s">
        <v>7871</v>
      </c>
      <c r="AC389" t="s">
        <v>7872</v>
      </c>
      <c r="AD389" t="s">
        <v>7873</v>
      </c>
      <c r="AE389" t="s">
        <v>7874</v>
      </c>
      <c r="AF389" t="s">
        <v>74</v>
      </c>
      <c r="AG389">
        <v>66</v>
      </c>
      <c r="AH389">
        <v>14</v>
      </c>
      <c r="AI389">
        <v>15</v>
      </c>
      <c r="AJ389">
        <v>3</v>
      </c>
      <c r="AK389">
        <v>18</v>
      </c>
      <c r="AL389" t="s">
        <v>814</v>
      </c>
      <c r="AM389" t="s">
        <v>815</v>
      </c>
      <c r="AN389" t="s">
        <v>816</v>
      </c>
      <c r="AO389" t="s">
        <v>817</v>
      </c>
      <c r="AP389" t="s">
        <v>818</v>
      </c>
      <c r="AQ389" t="s">
        <v>74</v>
      </c>
      <c r="AR389" t="s">
        <v>819</v>
      </c>
      <c r="AS389" t="s">
        <v>820</v>
      </c>
      <c r="AT389" t="s">
        <v>430</v>
      </c>
      <c r="AU389">
        <v>2021</v>
      </c>
      <c r="AV389">
        <v>168</v>
      </c>
      <c r="AW389">
        <v>7</v>
      </c>
      <c r="AX389" t="s">
        <v>74</v>
      </c>
      <c r="AY389" t="s">
        <v>74</v>
      </c>
      <c r="AZ389" t="s">
        <v>74</v>
      </c>
      <c r="BA389" t="s">
        <v>74</v>
      </c>
      <c r="BB389" t="s">
        <v>74</v>
      </c>
      <c r="BC389" t="s">
        <v>74</v>
      </c>
      <c r="BD389">
        <v>102</v>
      </c>
      <c r="BE389" t="s">
        <v>7875</v>
      </c>
      <c r="BF389" t="str">
        <f>HYPERLINK("http://dx.doi.org/10.1007/s00227-021-03911-1","http://dx.doi.org/10.1007/s00227-021-03911-1")</f>
        <v>http://dx.doi.org/10.1007/s00227-021-03911-1</v>
      </c>
      <c r="BG389" t="s">
        <v>74</v>
      </c>
      <c r="BH389" t="s">
        <v>74</v>
      </c>
      <c r="BI389">
        <v>12</v>
      </c>
      <c r="BJ389" t="s">
        <v>822</v>
      </c>
      <c r="BK389" t="s">
        <v>128</v>
      </c>
      <c r="BL389" t="s">
        <v>822</v>
      </c>
      <c r="BM389" t="s">
        <v>7876</v>
      </c>
      <c r="BN389" t="s">
        <v>74</v>
      </c>
      <c r="BO389" t="s">
        <v>2152</v>
      </c>
      <c r="BP389" t="s">
        <v>74</v>
      </c>
      <c r="BQ389" t="s">
        <v>74</v>
      </c>
      <c r="BR389" t="s">
        <v>102</v>
      </c>
      <c r="BS389" t="s">
        <v>7877</v>
      </c>
      <c r="BT389" t="str">
        <f>HYPERLINK("https%3A%2F%2Fwww.webofscience.com%2Fwos%2Fwoscc%2Ffull-record%2FWOS:000663539200008","View Full Record in Web of Science")</f>
        <v>View Full Record in Web of Science</v>
      </c>
    </row>
    <row r="390" spans="1:72" x14ac:dyDescent="0.15">
      <c r="A390" t="s">
        <v>72</v>
      </c>
      <c r="B390" t="s">
        <v>7878</v>
      </c>
      <c r="C390" t="s">
        <v>74</v>
      </c>
      <c r="D390" t="s">
        <v>74</v>
      </c>
      <c r="E390" t="s">
        <v>74</v>
      </c>
      <c r="F390" t="s">
        <v>7879</v>
      </c>
      <c r="G390" t="s">
        <v>74</v>
      </c>
      <c r="H390" t="s">
        <v>74</v>
      </c>
      <c r="I390" t="s">
        <v>7880</v>
      </c>
      <c r="J390" t="s">
        <v>806</v>
      </c>
      <c r="K390" t="s">
        <v>74</v>
      </c>
      <c r="L390" t="s">
        <v>74</v>
      </c>
      <c r="M390" t="s">
        <v>78</v>
      </c>
      <c r="N390" t="s">
        <v>79</v>
      </c>
      <c r="O390" t="s">
        <v>74</v>
      </c>
      <c r="P390" t="s">
        <v>74</v>
      </c>
      <c r="Q390" t="s">
        <v>74</v>
      </c>
      <c r="R390" t="s">
        <v>74</v>
      </c>
      <c r="S390" t="s">
        <v>74</v>
      </c>
      <c r="T390" t="s">
        <v>74</v>
      </c>
      <c r="U390" t="s">
        <v>7881</v>
      </c>
      <c r="V390" t="s">
        <v>7882</v>
      </c>
      <c r="W390" t="s">
        <v>7883</v>
      </c>
      <c r="X390" t="s">
        <v>7884</v>
      </c>
      <c r="Y390" t="s">
        <v>7885</v>
      </c>
      <c r="Z390" t="s">
        <v>7886</v>
      </c>
      <c r="AA390" t="s">
        <v>7887</v>
      </c>
      <c r="AB390" t="s">
        <v>74</v>
      </c>
      <c r="AC390" t="s">
        <v>7888</v>
      </c>
      <c r="AD390" t="s">
        <v>7889</v>
      </c>
      <c r="AE390" t="s">
        <v>7890</v>
      </c>
      <c r="AF390" t="s">
        <v>74</v>
      </c>
      <c r="AG390">
        <v>115</v>
      </c>
      <c r="AH390">
        <v>6</v>
      </c>
      <c r="AI390">
        <v>7</v>
      </c>
      <c r="AJ390">
        <v>1</v>
      </c>
      <c r="AK390">
        <v>12</v>
      </c>
      <c r="AL390" t="s">
        <v>814</v>
      </c>
      <c r="AM390" t="s">
        <v>815</v>
      </c>
      <c r="AN390" t="s">
        <v>816</v>
      </c>
      <c r="AO390" t="s">
        <v>817</v>
      </c>
      <c r="AP390" t="s">
        <v>818</v>
      </c>
      <c r="AQ390" t="s">
        <v>74</v>
      </c>
      <c r="AR390" t="s">
        <v>819</v>
      </c>
      <c r="AS390" t="s">
        <v>820</v>
      </c>
      <c r="AT390" t="s">
        <v>430</v>
      </c>
      <c r="AU390">
        <v>2021</v>
      </c>
      <c r="AV390">
        <v>168</v>
      </c>
      <c r="AW390">
        <v>7</v>
      </c>
      <c r="AX390" t="s">
        <v>74</v>
      </c>
      <c r="AY390" t="s">
        <v>74</v>
      </c>
      <c r="AZ390" t="s">
        <v>74</v>
      </c>
      <c r="BA390" t="s">
        <v>74</v>
      </c>
      <c r="BB390" t="s">
        <v>74</v>
      </c>
      <c r="BC390" t="s">
        <v>74</v>
      </c>
      <c r="BD390">
        <v>97</v>
      </c>
      <c r="BE390" t="s">
        <v>7891</v>
      </c>
      <c r="BF390" t="str">
        <f>HYPERLINK("http://dx.doi.org/10.1007/s00227-021-03899-8","http://dx.doi.org/10.1007/s00227-021-03899-8")</f>
        <v>http://dx.doi.org/10.1007/s00227-021-03899-8</v>
      </c>
      <c r="BG390" t="s">
        <v>74</v>
      </c>
      <c r="BH390" t="s">
        <v>74</v>
      </c>
      <c r="BI390">
        <v>22</v>
      </c>
      <c r="BJ390" t="s">
        <v>822</v>
      </c>
      <c r="BK390" t="s">
        <v>128</v>
      </c>
      <c r="BL390" t="s">
        <v>822</v>
      </c>
      <c r="BM390" t="s">
        <v>7876</v>
      </c>
      <c r="BN390" t="s">
        <v>74</v>
      </c>
      <c r="BO390" t="s">
        <v>74</v>
      </c>
      <c r="BP390" t="s">
        <v>74</v>
      </c>
      <c r="BQ390" t="s">
        <v>74</v>
      </c>
      <c r="BR390" t="s">
        <v>102</v>
      </c>
      <c r="BS390" t="s">
        <v>7892</v>
      </c>
      <c r="BT390" t="str">
        <f>HYPERLINK("https%3A%2F%2Fwww.webofscience.com%2Fwos%2Fwoscc%2Ffull-record%2FWOS:000663539200016","View Full Record in Web of Science")</f>
        <v>View Full Record in Web of Science</v>
      </c>
    </row>
    <row r="391" spans="1:72" x14ac:dyDescent="0.15">
      <c r="A391" t="s">
        <v>72</v>
      </c>
      <c r="B391" t="s">
        <v>7893</v>
      </c>
      <c r="C391" t="s">
        <v>74</v>
      </c>
      <c r="D391" t="s">
        <v>74</v>
      </c>
      <c r="E391" t="s">
        <v>74</v>
      </c>
      <c r="F391" t="s">
        <v>7894</v>
      </c>
      <c r="G391" t="s">
        <v>74</v>
      </c>
      <c r="H391" t="s">
        <v>74</v>
      </c>
      <c r="I391" t="s">
        <v>7895</v>
      </c>
      <c r="J391" t="s">
        <v>2862</v>
      </c>
      <c r="K391" t="s">
        <v>74</v>
      </c>
      <c r="L391" t="s">
        <v>74</v>
      </c>
      <c r="M391" t="s">
        <v>78</v>
      </c>
      <c r="N391" t="s">
        <v>700</v>
      </c>
      <c r="O391" t="s">
        <v>74</v>
      </c>
      <c r="P391" t="s">
        <v>74</v>
      </c>
      <c r="Q391" t="s">
        <v>74</v>
      </c>
      <c r="R391" t="s">
        <v>74</v>
      </c>
      <c r="S391" t="s">
        <v>74</v>
      </c>
      <c r="T391" t="s">
        <v>7896</v>
      </c>
      <c r="U391" t="s">
        <v>7897</v>
      </c>
      <c r="V391" t="s">
        <v>7898</v>
      </c>
      <c r="W391" t="s">
        <v>7899</v>
      </c>
      <c r="X391" t="s">
        <v>7900</v>
      </c>
      <c r="Y391" t="s">
        <v>7901</v>
      </c>
      <c r="Z391" t="s">
        <v>7902</v>
      </c>
      <c r="AA391" t="s">
        <v>74</v>
      </c>
      <c r="AB391" t="s">
        <v>7903</v>
      </c>
      <c r="AC391" t="s">
        <v>7904</v>
      </c>
      <c r="AD391" t="s">
        <v>7905</v>
      </c>
      <c r="AE391" t="s">
        <v>7906</v>
      </c>
      <c r="AF391" t="s">
        <v>74</v>
      </c>
      <c r="AG391">
        <v>173</v>
      </c>
      <c r="AH391">
        <v>2</v>
      </c>
      <c r="AI391">
        <v>2</v>
      </c>
      <c r="AJ391">
        <v>9</v>
      </c>
      <c r="AK391">
        <v>27</v>
      </c>
      <c r="AL391" t="s">
        <v>450</v>
      </c>
      <c r="AM391" t="s">
        <v>650</v>
      </c>
      <c r="AN391" t="s">
        <v>1957</v>
      </c>
      <c r="AO391" t="s">
        <v>2874</v>
      </c>
      <c r="AP391" t="s">
        <v>2875</v>
      </c>
      <c r="AQ391" t="s">
        <v>74</v>
      </c>
      <c r="AR391" t="s">
        <v>2876</v>
      </c>
      <c r="AS391" t="s">
        <v>2877</v>
      </c>
      <c r="AT391" t="s">
        <v>535</v>
      </c>
      <c r="AU391">
        <v>2021</v>
      </c>
      <c r="AV391">
        <v>44</v>
      </c>
      <c r="AW391">
        <v>8</v>
      </c>
      <c r="AX391" t="s">
        <v>74</v>
      </c>
      <c r="AY391" t="s">
        <v>74</v>
      </c>
      <c r="AZ391" t="s">
        <v>74</v>
      </c>
      <c r="BA391" t="s">
        <v>74</v>
      </c>
      <c r="BB391">
        <v>1485</v>
      </c>
      <c r="BC391">
        <v>1515</v>
      </c>
      <c r="BD391" t="s">
        <v>74</v>
      </c>
      <c r="BE391" t="s">
        <v>7907</v>
      </c>
      <c r="BF391" t="str">
        <f>HYPERLINK("http://dx.doi.org/10.1007/s00300-021-02899-0","http://dx.doi.org/10.1007/s00300-021-02899-0")</f>
        <v>http://dx.doi.org/10.1007/s00300-021-02899-0</v>
      </c>
      <c r="BG391" t="s">
        <v>74</v>
      </c>
      <c r="BH391" t="s">
        <v>2323</v>
      </c>
      <c r="BI391">
        <v>31</v>
      </c>
      <c r="BJ391" t="s">
        <v>1883</v>
      </c>
      <c r="BK391" t="s">
        <v>128</v>
      </c>
      <c r="BL391" t="s">
        <v>207</v>
      </c>
      <c r="BM391" t="s">
        <v>5619</v>
      </c>
      <c r="BN391" t="s">
        <v>74</v>
      </c>
      <c r="BO391" t="s">
        <v>1154</v>
      </c>
      <c r="BP391" t="s">
        <v>74</v>
      </c>
      <c r="BQ391" t="s">
        <v>74</v>
      </c>
      <c r="BR391" t="s">
        <v>102</v>
      </c>
      <c r="BS391" t="s">
        <v>7908</v>
      </c>
      <c r="BT391" t="str">
        <f>HYPERLINK("https%3A%2F%2Fwww.webofscience.com%2Fwos%2Fwoscc%2Ffull-record%2FWOS:000668879000001","View Full Record in Web of Science")</f>
        <v>View Full Record in Web of Science</v>
      </c>
    </row>
    <row r="392" spans="1:72" x14ac:dyDescent="0.15">
      <c r="A392" t="s">
        <v>72</v>
      </c>
      <c r="B392" t="s">
        <v>7909</v>
      </c>
      <c r="C392" t="s">
        <v>74</v>
      </c>
      <c r="D392" t="s">
        <v>74</v>
      </c>
      <c r="E392" t="s">
        <v>74</v>
      </c>
      <c r="F392" t="s">
        <v>7910</v>
      </c>
      <c r="G392" t="s">
        <v>74</v>
      </c>
      <c r="H392" t="s">
        <v>74</v>
      </c>
      <c r="I392" t="s">
        <v>7911</v>
      </c>
      <c r="J392" t="s">
        <v>7912</v>
      </c>
      <c r="K392" t="s">
        <v>74</v>
      </c>
      <c r="L392" t="s">
        <v>74</v>
      </c>
      <c r="M392" t="s">
        <v>78</v>
      </c>
      <c r="N392" t="s">
        <v>79</v>
      </c>
      <c r="O392" t="s">
        <v>74</v>
      </c>
      <c r="P392" t="s">
        <v>74</v>
      </c>
      <c r="Q392" t="s">
        <v>74</v>
      </c>
      <c r="R392" t="s">
        <v>74</v>
      </c>
      <c r="S392" t="s">
        <v>74</v>
      </c>
      <c r="T392" t="s">
        <v>7913</v>
      </c>
      <c r="U392" t="s">
        <v>7914</v>
      </c>
      <c r="V392" t="s">
        <v>7915</v>
      </c>
      <c r="W392" t="s">
        <v>7916</v>
      </c>
      <c r="X392" t="s">
        <v>7917</v>
      </c>
      <c r="Y392" t="s">
        <v>7918</v>
      </c>
      <c r="Z392" t="s">
        <v>7919</v>
      </c>
      <c r="AA392" t="s">
        <v>74</v>
      </c>
      <c r="AB392" t="s">
        <v>74</v>
      </c>
      <c r="AC392" t="s">
        <v>7920</v>
      </c>
      <c r="AD392" t="s">
        <v>7921</v>
      </c>
      <c r="AE392" t="s">
        <v>7922</v>
      </c>
      <c r="AF392" t="s">
        <v>74</v>
      </c>
      <c r="AG392">
        <v>33</v>
      </c>
      <c r="AH392">
        <v>2</v>
      </c>
      <c r="AI392">
        <v>2</v>
      </c>
      <c r="AJ392">
        <v>1</v>
      </c>
      <c r="AK392">
        <v>8</v>
      </c>
      <c r="AL392" t="s">
        <v>628</v>
      </c>
      <c r="AM392" t="s">
        <v>629</v>
      </c>
      <c r="AN392" t="s">
        <v>1933</v>
      </c>
      <c r="AO392" t="s">
        <v>7923</v>
      </c>
      <c r="AP392" t="s">
        <v>7924</v>
      </c>
      <c r="AQ392" t="s">
        <v>74</v>
      </c>
      <c r="AR392" t="s">
        <v>7925</v>
      </c>
      <c r="AS392" t="s">
        <v>7926</v>
      </c>
      <c r="AT392" t="s">
        <v>430</v>
      </c>
      <c r="AU392">
        <v>2021</v>
      </c>
      <c r="AV392">
        <v>105</v>
      </c>
      <c r="AW392" t="s">
        <v>74</v>
      </c>
      <c r="AX392" t="s">
        <v>74</v>
      </c>
      <c r="AY392" t="s">
        <v>74</v>
      </c>
      <c r="AZ392" t="s">
        <v>74</v>
      </c>
      <c r="BA392" t="s">
        <v>74</v>
      </c>
      <c r="BB392">
        <v>81</v>
      </c>
      <c r="BC392">
        <v>89</v>
      </c>
      <c r="BD392" t="s">
        <v>74</v>
      </c>
      <c r="BE392" t="s">
        <v>7927</v>
      </c>
      <c r="BF392" t="str">
        <f>HYPERLINK("http://dx.doi.org/10.1016/j.jes.2020.12.028","http://dx.doi.org/10.1016/j.jes.2020.12.028")</f>
        <v>http://dx.doi.org/10.1016/j.jes.2020.12.028</v>
      </c>
      <c r="BG392" t="s">
        <v>74</v>
      </c>
      <c r="BH392" t="s">
        <v>74</v>
      </c>
      <c r="BI392">
        <v>9</v>
      </c>
      <c r="BJ392" t="s">
        <v>262</v>
      </c>
      <c r="BK392" t="s">
        <v>128</v>
      </c>
      <c r="BL392" t="s">
        <v>263</v>
      </c>
      <c r="BM392" t="s">
        <v>7928</v>
      </c>
      <c r="BN392">
        <v>34130842</v>
      </c>
      <c r="BO392" t="s">
        <v>291</v>
      </c>
      <c r="BP392" t="s">
        <v>74</v>
      </c>
      <c r="BQ392" t="s">
        <v>74</v>
      </c>
      <c r="BR392" t="s">
        <v>102</v>
      </c>
      <c r="BS392" t="s">
        <v>7929</v>
      </c>
      <c r="BT392" t="str">
        <f>HYPERLINK("https%3A%2F%2Fwww.webofscience.com%2Fwos%2Fwoscc%2Ffull-record%2FWOS:000662210500009","View Full Record in Web of Science")</f>
        <v>View Full Record in Web of Science</v>
      </c>
    </row>
    <row r="393" spans="1:72" x14ac:dyDescent="0.15">
      <c r="A393" t="s">
        <v>72</v>
      </c>
      <c r="B393" t="s">
        <v>7930</v>
      </c>
      <c r="C393" t="s">
        <v>74</v>
      </c>
      <c r="D393" t="s">
        <v>74</v>
      </c>
      <c r="E393" t="s">
        <v>74</v>
      </c>
      <c r="F393" t="s">
        <v>7931</v>
      </c>
      <c r="G393" t="s">
        <v>74</v>
      </c>
      <c r="H393" t="s">
        <v>74</v>
      </c>
      <c r="I393" t="s">
        <v>7932</v>
      </c>
      <c r="J393" t="s">
        <v>1944</v>
      </c>
      <c r="K393" t="s">
        <v>74</v>
      </c>
      <c r="L393" t="s">
        <v>74</v>
      </c>
      <c r="M393" t="s">
        <v>78</v>
      </c>
      <c r="N393" t="s">
        <v>79</v>
      </c>
      <c r="O393" t="s">
        <v>74</v>
      </c>
      <c r="P393" t="s">
        <v>74</v>
      </c>
      <c r="Q393" t="s">
        <v>74</v>
      </c>
      <c r="R393" t="s">
        <v>74</v>
      </c>
      <c r="S393" t="s">
        <v>74</v>
      </c>
      <c r="T393" t="s">
        <v>7933</v>
      </c>
      <c r="U393" t="s">
        <v>7934</v>
      </c>
      <c r="V393" t="s">
        <v>7935</v>
      </c>
      <c r="W393" t="s">
        <v>7936</v>
      </c>
      <c r="X393" t="s">
        <v>6440</v>
      </c>
      <c r="Y393" t="s">
        <v>7937</v>
      </c>
      <c r="Z393" t="s">
        <v>7938</v>
      </c>
      <c r="AA393" t="s">
        <v>7939</v>
      </c>
      <c r="AB393" t="s">
        <v>74</v>
      </c>
      <c r="AC393" t="s">
        <v>74</v>
      </c>
      <c r="AD393" t="s">
        <v>74</v>
      </c>
      <c r="AE393" t="s">
        <v>74</v>
      </c>
      <c r="AF393" t="s">
        <v>74</v>
      </c>
      <c r="AG393">
        <v>41</v>
      </c>
      <c r="AH393">
        <v>5</v>
      </c>
      <c r="AI393">
        <v>6</v>
      </c>
      <c r="AJ393">
        <v>6</v>
      </c>
      <c r="AK393">
        <v>18</v>
      </c>
      <c r="AL393" t="s">
        <v>450</v>
      </c>
      <c r="AM393" t="s">
        <v>650</v>
      </c>
      <c r="AN393" t="s">
        <v>1957</v>
      </c>
      <c r="AO393" t="s">
        <v>1958</v>
      </c>
      <c r="AP393" t="s">
        <v>1959</v>
      </c>
      <c r="AQ393" t="s">
        <v>74</v>
      </c>
      <c r="AR393" t="s">
        <v>1960</v>
      </c>
      <c r="AS393" t="s">
        <v>1961</v>
      </c>
      <c r="AT393" t="s">
        <v>430</v>
      </c>
      <c r="AU393">
        <v>2021</v>
      </c>
      <c r="AV393">
        <v>95</v>
      </c>
      <c r="AW393">
        <v>7</v>
      </c>
      <c r="AX393" t="s">
        <v>74</v>
      </c>
      <c r="AY393" t="s">
        <v>74</v>
      </c>
      <c r="AZ393" t="s">
        <v>74</v>
      </c>
      <c r="BA393" t="s">
        <v>74</v>
      </c>
      <c r="BB393" t="s">
        <v>74</v>
      </c>
      <c r="BC393" t="s">
        <v>74</v>
      </c>
      <c r="BD393">
        <v>77</v>
      </c>
      <c r="BE393" t="s">
        <v>7940</v>
      </c>
      <c r="BF393" t="str">
        <f>HYPERLINK("http://dx.doi.org/10.1007/s00190-021-01533-5","http://dx.doi.org/10.1007/s00190-021-01533-5")</f>
        <v>http://dx.doi.org/10.1007/s00190-021-01533-5</v>
      </c>
      <c r="BG393" t="s">
        <v>74</v>
      </c>
      <c r="BH393" t="s">
        <v>74</v>
      </c>
      <c r="BI393">
        <v>12</v>
      </c>
      <c r="BJ393" t="s">
        <v>1963</v>
      </c>
      <c r="BK393" t="s">
        <v>128</v>
      </c>
      <c r="BL393" t="s">
        <v>1963</v>
      </c>
      <c r="BM393" t="s">
        <v>7941</v>
      </c>
      <c r="BN393" t="s">
        <v>74</v>
      </c>
      <c r="BO393" t="s">
        <v>74</v>
      </c>
      <c r="BP393" t="s">
        <v>74</v>
      </c>
      <c r="BQ393" t="s">
        <v>74</v>
      </c>
      <c r="BR393" t="s">
        <v>102</v>
      </c>
      <c r="BS393" t="s">
        <v>7942</v>
      </c>
      <c r="BT393" t="str">
        <f>HYPERLINK("https%3A%2F%2Fwww.webofscience.com%2Fwos%2Fwoscc%2Ffull-record%2FWOS:000665007400001","View Full Record in Web of Science")</f>
        <v>View Full Record in Web of Science</v>
      </c>
    </row>
    <row r="394" spans="1:72" x14ac:dyDescent="0.15">
      <c r="A394" t="s">
        <v>72</v>
      </c>
      <c r="B394" t="s">
        <v>7943</v>
      </c>
      <c r="C394" t="s">
        <v>74</v>
      </c>
      <c r="D394" t="s">
        <v>74</v>
      </c>
      <c r="E394" t="s">
        <v>74</v>
      </c>
      <c r="F394" t="s">
        <v>7944</v>
      </c>
      <c r="G394" t="s">
        <v>74</v>
      </c>
      <c r="H394" t="s">
        <v>74</v>
      </c>
      <c r="I394" t="s">
        <v>7945</v>
      </c>
      <c r="J394" t="s">
        <v>413</v>
      </c>
      <c r="K394" t="s">
        <v>74</v>
      </c>
      <c r="L394" t="s">
        <v>74</v>
      </c>
      <c r="M394" t="s">
        <v>78</v>
      </c>
      <c r="N394" t="s">
        <v>79</v>
      </c>
      <c r="O394" t="s">
        <v>74</v>
      </c>
      <c r="P394" t="s">
        <v>74</v>
      </c>
      <c r="Q394" t="s">
        <v>74</v>
      </c>
      <c r="R394" t="s">
        <v>74</v>
      </c>
      <c r="S394" t="s">
        <v>74</v>
      </c>
      <c r="T394" t="s">
        <v>74</v>
      </c>
      <c r="U394" t="s">
        <v>7946</v>
      </c>
      <c r="V394" t="s">
        <v>7947</v>
      </c>
      <c r="W394" t="s">
        <v>7948</v>
      </c>
      <c r="X394" t="s">
        <v>7949</v>
      </c>
      <c r="Y394" t="s">
        <v>7950</v>
      </c>
      <c r="Z394" t="s">
        <v>74</v>
      </c>
      <c r="AA394" t="s">
        <v>7951</v>
      </c>
      <c r="AB394" t="s">
        <v>7952</v>
      </c>
      <c r="AC394" t="s">
        <v>7953</v>
      </c>
      <c r="AD394" t="s">
        <v>3525</v>
      </c>
      <c r="AE394" t="s">
        <v>74</v>
      </c>
      <c r="AF394" t="s">
        <v>74</v>
      </c>
      <c r="AG394">
        <v>99</v>
      </c>
      <c r="AH394">
        <v>19</v>
      </c>
      <c r="AI394">
        <v>19</v>
      </c>
      <c r="AJ394">
        <v>1</v>
      </c>
      <c r="AK394">
        <v>5</v>
      </c>
      <c r="AL394" t="s">
        <v>197</v>
      </c>
      <c r="AM394" t="s">
        <v>198</v>
      </c>
      <c r="AN394" t="s">
        <v>199</v>
      </c>
      <c r="AO394" t="s">
        <v>426</v>
      </c>
      <c r="AP394" t="s">
        <v>427</v>
      </c>
      <c r="AQ394" t="s">
        <v>74</v>
      </c>
      <c r="AR394" t="s">
        <v>428</v>
      </c>
      <c r="AS394" t="s">
        <v>429</v>
      </c>
      <c r="AT394" t="s">
        <v>430</v>
      </c>
      <c r="AU394">
        <v>2021</v>
      </c>
      <c r="AV394">
        <v>36</v>
      </c>
      <c r="AW394">
        <v>5</v>
      </c>
      <c r="AX394" t="s">
        <v>74</v>
      </c>
      <c r="AY394" t="s">
        <v>74</v>
      </c>
      <c r="AZ394" t="s">
        <v>431</v>
      </c>
      <c r="BA394" t="s">
        <v>74</v>
      </c>
      <c r="BB394">
        <v>946</v>
      </c>
      <c r="BC394">
        <v>960</v>
      </c>
      <c r="BD394" t="s">
        <v>74</v>
      </c>
      <c r="BE394" t="s">
        <v>7954</v>
      </c>
      <c r="BF394" t="str">
        <f>HYPERLINK("http://dx.doi.org/10.1002/jqs.3098","http://dx.doi.org/10.1002/jqs.3098")</f>
        <v>http://dx.doi.org/10.1002/jqs.3098</v>
      </c>
      <c r="BG394" t="s">
        <v>74</v>
      </c>
      <c r="BH394" t="s">
        <v>74</v>
      </c>
      <c r="BI394">
        <v>15</v>
      </c>
      <c r="BJ394" t="s">
        <v>151</v>
      </c>
      <c r="BK394" t="s">
        <v>128</v>
      </c>
      <c r="BL394" t="s">
        <v>152</v>
      </c>
      <c r="BM394" t="s">
        <v>7955</v>
      </c>
      <c r="BN394" t="s">
        <v>74</v>
      </c>
      <c r="BO394" t="s">
        <v>2125</v>
      </c>
      <c r="BP394" t="s">
        <v>74</v>
      </c>
      <c r="BQ394" t="s">
        <v>74</v>
      </c>
      <c r="BR394" t="s">
        <v>102</v>
      </c>
      <c r="BS394" t="s">
        <v>7956</v>
      </c>
      <c r="BT394" t="str">
        <f>HYPERLINK("https%3A%2F%2Fwww.webofscience.com%2Fwos%2Fwoscc%2Ffull-record%2FWOS:000664558400010","View Full Record in Web of Science")</f>
        <v>View Full Record in Web of Science</v>
      </c>
    </row>
    <row r="395" spans="1:72" x14ac:dyDescent="0.15">
      <c r="A395" t="s">
        <v>72</v>
      </c>
      <c r="B395" t="s">
        <v>7957</v>
      </c>
      <c r="C395" t="s">
        <v>74</v>
      </c>
      <c r="D395" t="s">
        <v>74</v>
      </c>
      <c r="E395" t="s">
        <v>74</v>
      </c>
      <c r="F395" t="s">
        <v>7958</v>
      </c>
      <c r="G395" t="s">
        <v>74</v>
      </c>
      <c r="H395" t="s">
        <v>74</v>
      </c>
      <c r="I395" t="s">
        <v>7959</v>
      </c>
      <c r="J395" t="s">
        <v>1335</v>
      </c>
      <c r="K395" t="s">
        <v>74</v>
      </c>
      <c r="L395" t="s">
        <v>74</v>
      </c>
      <c r="M395" t="s">
        <v>78</v>
      </c>
      <c r="N395" t="s">
        <v>79</v>
      </c>
      <c r="O395" t="s">
        <v>74</v>
      </c>
      <c r="P395" t="s">
        <v>74</v>
      </c>
      <c r="Q395" t="s">
        <v>74</v>
      </c>
      <c r="R395" t="s">
        <v>74</v>
      </c>
      <c r="S395" t="s">
        <v>74</v>
      </c>
      <c r="T395" t="s">
        <v>7960</v>
      </c>
      <c r="U395" t="s">
        <v>7961</v>
      </c>
      <c r="V395" t="s">
        <v>7962</v>
      </c>
      <c r="W395" t="s">
        <v>7963</v>
      </c>
      <c r="X395" t="s">
        <v>7818</v>
      </c>
      <c r="Y395" t="s">
        <v>7964</v>
      </c>
      <c r="Z395" t="s">
        <v>7965</v>
      </c>
      <c r="AA395" t="s">
        <v>74</v>
      </c>
      <c r="AB395" t="s">
        <v>7966</v>
      </c>
      <c r="AC395" t="s">
        <v>7967</v>
      </c>
      <c r="AD395" t="s">
        <v>7968</v>
      </c>
      <c r="AE395" t="s">
        <v>7969</v>
      </c>
      <c r="AF395" t="s">
        <v>74</v>
      </c>
      <c r="AG395">
        <v>53</v>
      </c>
      <c r="AH395">
        <v>5</v>
      </c>
      <c r="AI395">
        <v>5</v>
      </c>
      <c r="AJ395">
        <v>1</v>
      </c>
      <c r="AK395">
        <v>13</v>
      </c>
      <c r="AL395" t="s">
        <v>1101</v>
      </c>
      <c r="AM395" t="s">
        <v>1102</v>
      </c>
      <c r="AN395" t="s">
        <v>1103</v>
      </c>
      <c r="AO395" t="s">
        <v>74</v>
      </c>
      <c r="AP395" t="s">
        <v>1348</v>
      </c>
      <c r="AQ395" t="s">
        <v>74</v>
      </c>
      <c r="AR395" t="s">
        <v>1349</v>
      </c>
      <c r="AS395" t="s">
        <v>1350</v>
      </c>
      <c r="AT395" t="s">
        <v>430</v>
      </c>
      <c r="AU395">
        <v>2021</v>
      </c>
      <c r="AV395">
        <v>12</v>
      </c>
      <c r="AW395">
        <v>7</v>
      </c>
      <c r="AX395" t="s">
        <v>74</v>
      </c>
      <c r="AY395" t="s">
        <v>74</v>
      </c>
      <c r="AZ395" t="s">
        <v>74</v>
      </c>
      <c r="BA395" t="s">
        <v>74</v>
      </c>
      <c r="BB395" t="s">
        <v>74</v>
      </c>
      <c r="BC395" t="s">
        <v>74</v>
      </c>
      <c r="BD395">
        <v>849</v>
      </c>
      <c r="BE395" t="s">
        <v>7970</v>
      </c>
      <c r="BF395" t="str">
        <f>HYPERLINK("http://dx.doi.org/10.3390/atmos12070849","http://dx.doi.org/10.3390/atmos12070849")</f>
        <v>http://dx.doi.org/10.3390/atmos12070849</v>
      </c>
      <c r="BG395" t="s">
        <v>74</v>
      </c>
      <c r="BH395" t="s">
        <v>74</v>
      </c>
      <c r="BI395">
        <v>12</v>
      </c>
      <c r="BJ395" t="s">
        <v>635</v>
      </c>
      <c r="BK395" t="s">
        <v>128</v>
      </c>
      <c r="BL395" t="s">
        <v>636</v>
      </c>
      <c r="BM395" t="s">
        <v>7971</v>
      </c>
      <c r="BN395" t="s">
        <v>74</v>
      </c>
      <c r="BO395" t="s">
        <v>638</v>
      </c>
      <c r="BP395" t="s">
        <v>74</v>
      </c>
      <c r="BQ395" t="s">
        <v>74</v>
      </c>
      <c r="BR395" t="s">
        <v>102</v>
      </c>
      <c r="BS395" t="s">
        <v>7972</v>
      </c>
      <c r="BT395" t="str">
        <f>HYPERLINK("https%3A%2F%2Fwww.webofscience.com%2Fwos%2Fwoscc%2Ffull-record%2FWOS:000675950700001","View Full Record in Web of Science")</f>
        <v>View Full Record in Web of Science</v>
      </c>
    </row>
    <row r="396" spans="1:72" x14ac:dyDescent="0.15">
      <c r="A396" t="s">
        <v>72</v>
      </c>
      <c r="B396" t="s">
        <v>7973</v>
      </c>
      <c r="C396" t="s">
        <v>74</v>
      </c>
      <c r="D396" t="s">
        <v>74</v>
      </c>
      <c r="E396" t="s">
        <v>74</v>
      </c>
      <c r="F396" t="s">
        <v>7974</v>
      </c>
      <c r="G396" t="s">
        <v>74</v>
      </c>
      <c r="H396" t="s">
        <v>74</v>
      </c>
      <c r="I396" t="s">
        <v>7975</v>
      </c>
      <c r="J396" t="s">
        <v>546</v>
      </c>
      <c r="K396" t="s">
        <v>74</v>
      </c>
      <c r="L396" t="s">
        <v>74</v>
      </c>
      <c r="M396" t="s">
        <v>78</v>
      </c>
      <c r="N396" t="s">
        <v>79</v>
      </c>
      <c r="O396" t="s">
        <v>74</v>
      </c>
      <c r="P396" t="s">
        <v>74</v>
      </c>
      <c r="Q396" t="s">
        <v>74</v>
      </c>
      <c r="R396" t="s">
        <v>74</v>
      </c>
      <c r="S396" t="s">
        <v>74</v>
      </c>
      <c r="T396" t="s">
        <v>7976</v>
      </c>
      <c r="U396" t="s">
        <v>7977</v>
      </c>
      <c r="V396" t="s">
        <v>7978</v>
      </c>
      <c r="W396" t="s">
        <v>7979</v>
      </c>
      <c r="X396" t="s">
        <v>7980</v>
      </c>
      <c r="Y396" t="s">
        <v>7981</v>
      </c>
      <c r="Z396" t="s">
        <v>7982</v>
      </c>
      <c r="AA396" t="s">
        <v>7983</v>
      </c>
      <c r="AB396" t="s">
        <v>7984</v>
      </c>
      <c r="AC396" t="s">
        <v>7985</v>
      </c>
      <c r="AD396" t="s">
        <v>7986</v>
      </c>
      <c r="AE396" t="s">
        <v>7987</v>
      </c>
      <c r="AF396" t="s">
        <v>74</v>
      </c>
      <c r="AG396">
        <v>99</v>
      </c>
      <c r="AH396">
        <v>13</v>
      </c>
      <c r="AI396">
        <v>14</v>
      </c>
      <c r="AJ396">
        <v>2</v>
      </c>
      <c r="AK396">
        <v>20</v>
      </c>
      <c r="AL396" t="s">
        <v>557</v>
      </c>
      <c r="AM396" t="s">
        <v>558</v>
      </c>
      <c r="AN396" t="s">
        <v>584</v>
      </c>
      <c r="AO396" t="s">
        <v>560</v>
      </c>
      <c r="AP396" t="s">
        <v>561</v>
      </c>
      <c r="AQ396" t="s">
        <v>74</v>
      </c>
      <c r="AR396" t="s">
        <v>562</v>
      </c>
      <c r="AS396" t="s">
        <v>563</v>
      </c>
      <c r="AT396" t="s">
        <v>430</v>
      </c>
      <c r="AU396">
        <v>2021</v>
      </c>
      <c r="AV396">
        <v>102</v>
      </c>
      <c r="AW396">
        <v>7</v>
      </c>
      <c r="AX396" t="s">
        <v>74</v>
      </c>
      <c r="AY396" t="s">
        <v>74</v>
      </c>
      <c r="AZ396" t="s">
        <v>74</v>
      </c>
      <c r="BA396" t="s">
        <v>74</v>
      </c>
      <c r="BB396" t="s">
        <v>7988</v>
      </c>
      <c r="BC396" t="s">
        <v>7989</v>
      </c>
      <c r="BD396" t="s">
        <v>74</v>
      </c>
      <c r="BE396" t="s">
        <v>7990</v>
      </c>
      <c r="BF396" t="str">
        <f>HYPERLINK("http://dx.doi.org/10.1175/BAMS-D-20-0155.1","http://dx.doi.org/10.1175/BAMS-D-20-0155.1")</f>
        <v>http://dx.doi.org/10.1175/BAMS-D-20-0155.1</v>
      </c>
      <c r="BG396" t="s">
        <v>74</v>
      </c>
      <c r="BH396" t="s">
        <v>74</v>
      </c>
      <c r="BI396">
        <v>19</v>
      </c>
      <c r="BJ396" t="s">
        <v>567</v>
      </c>
      <c r="BK396" t="s">
        <v>128</v>
      </c>
      <c r="BL396" t="s">
        <v>567</v>
      </c>
      <c r="BM396" t="s">
        <v>7991</v>
      </c>
      <c r="BN396" t="s">
        <v>74</v>
      </c>
      <c r="BO396" t="s">
        <v>661</v>
      </c>
      <c r="BP396" t="s">
        <v>74</v>
      </c>
      <c r="BQ396" t="s">
        <v>74</v>
      </c>
      <c r="BR396" t="s">
        <v>102</v>
      </c>
      <c r="BS396" t="s">
        <v>7992</v>
      </c>
      <c r="BT396" t="str">
        <f>HYPERLINK("https%3A%2F%2Fwww.webofscience.com%2Fwos%2Fwoscc%2Ffull-record%2FWOS:000683897000012","View Full Record in Web of Science")</f>
        <v>View Full Record in Web of Science</v>
      </c>
    </row>
    <row r="397" spans="1:72" x14ac:dyDescent="0.15">
      <c r="A397" t="s">
        <v>72</v>
      </c>
      <c r="B397" t="s">
        <v>7993</v>
      </c>
      <c r="C397" t="s">
        <v>74</v>
      </c>
      <c r="D397" t="s">
        <v>74</v>
      </c>
      <c r="E397" t="s">
        <v>74</v>
      </c>
      <c r="F397" t="s">
        <v>7994</v>
      </c>
      <c r="G397" t="s">
        <v>74</v>
      </c>
      <c r="H397" t="s">
        <v>74</v>
      </c>
      <c r="I397" t="s">
        <v>7995</v>
      </c>
      <c r="J397" t="s">
        <v>7996</v>
      </c>
      <c r="K397" t="s">
        <v>74</v>
      </c>
      <c r="L397" t="s">
        <v>74</v>
      </c>
      <c r="M397" t="s">
        <v>78</v>
      </c>
      <c r="N397" t="s">
        <v>79</v>
      </c>
      <c r="O397" t="s">
        <v>74</v>
      </c>
      <c r="P397" t="s">
        <v>74</v>
      </c>
      <c r="Q397" t="s">
        <v>74</v>
      </c>
      <c r="R397" t="s">
        <v>74</v>
      </c>
      <c r="S397" t="s">
        <v>74</v>
      </c>
      <c r="T397" t="s">
        <v>7997</v>
      </c>
      <c r="U397" t="s">
        <v>7998</v>
      </c>
      <c r="V397" t="s">
        <v>7999</v>
      </c>
      <c r="W397" t="s">
        <v>8000</v>
      </c>
      <c r="X397" t="s">
        <v>8001</v>
      </c>
      <c r="Y397" t="s">
        <v>8002</v>
      </c>
      <c r="Z397" t="s">
        <v>3259</v>
      </c>
      <c r="AA397" t="s">
        <v>8003</v>
      </c>
      <c r="AB397" t="s">
        <v>8004</v>
      </c>
      <c r="AC397" t="s">
        <v>8005</v>
      </c>
      <c r="AD397" t="s">
        <v>8006</v>
      </c>
      <c r="AE397" t="s">
        <v>8007</v>
      </c>
      <c r="AF397" t="s">
        <v>74</v>
      </c>
      <c r="AG397">
        <v>80</v>
      </c>
      <c r="AH397">
        <v>3</v>
      </c>
      <c r="AI397">
        <v>3</v>
      </c>
      <c r="AJ397">
        <v>0</v>
      </c>
      <c r="AK397">
        <v>8</v>
      </c>
      <c r="AL397" t="s">
        <v>227</v>
      </c>
      <c r="AM397" t="s">
        <v>228</v>
      </c>
      <c r="AN397" t="s">
        <v>229</v>
      </c>
      <c r="AO397" t="s">
        <v>8008</v>
      </c>
      <c r="AP397" t="s">
        <v>8009</v>
      </c>
      <c r="AQ397" t="s">
        <v>74</v>
      </c>
      <c r="AR397" t="s">
        <v>8010</v>
      </c>
      <c r="AS397" t="s">
        <v>8011</v>
      </c>
      <c r="AT397" t="s">
        <v>234</v>
      </c>
      <c r="AU397">
        <v>2021</v>
      </c>
      <c r="AV397">
        <v>287</v>
      </c>
      <c r="AW397" t="s">
        <v>74</v>
      </c>
      <c r="AX397" t="s">
        <v>74</v>
      </c>
      <c r="AY397" t="s">
        <v>74</v>
      </c>
      <c r="AZ397" t="s">
        <v>74</v>
      </c>
      <c r="BA397" t="s">
        <v>74</v>
      </c>
      <c r="BB397" t="s">
        <v>74</v>
      </c>
      <c r="BC397" t="s">
        <v>74</v>
      </c>
      <c r="BD397">
        <v>117627</v>
      </c>
      <c r="BE397" t="s">
        <v>8012</v>
      </c>
      <c r="BF397" t="str">
        <f>HYPERLINK("http://dx.doi.org/10.1016/j.envpol.2021.117627","http://dx.doi.org/10.1016/j.envpol.2021.117627")</f>
        <v>http://dx.doi.org/10.1016/j.envpol.2021.117627</v>
      </c>
      <c r="BG397" t="s">
        <v>74</v>
      </c>
      <c r="BH397" t="s">
        <v>2323</v>
      </c>
      <c r="BI397">
        <v>14</v>
      </c>
      <c r="BJ397" t="s">
        <v>262</v>
      </c>
      <c r="BK397" t="s">
        <v>128</v>
      </c>
      <c r="BL397" t="s">
        <v>263</v>
      </c>
      <c r="BM397" t="s">
        <v>8013</v>
      </c>
      <c r="BN397">
        <v>34426394</v>
      </c>
      <c r="BO397" t="s">
        <v>74</v>
      </c>
      <c r="BP397" t="s">
        <v>74</v>
      </c>
      <c r="BQ397" t="s">
        <v>74</v>
      </c>
      <c r="BR397" t="s">
        <v>102</v>
      </c>
      <c r="BS397" t="s">
        <v>8014</v>
      </c>
      <c r="BT397" t="str">
        <f>HYPERLINK("https%3A%2F%2Fwww.webofscience.com%2Fwos%2Fwoscc%2Ffull-record%2FWOS:000693460500010","View Full Record in Web of Science")</f>
        <v>View Full Record in Web of Science</v>
      </c>
    </row>
    <row r="398" spans="1:72" x14ac:dyDescent="0.15">
      <c r="A398" t="s">
        <v>72</v>
      </c>
      <c r="B398" t="s">
        <v>8015</v>
      </c>
      <c r="C398" t="s">
        <v>74</v>
      </c>
      <c r="D398" t="s">
        <v>74</v>
      </c>
      <c r="E398" t="s">
        <v>74</v>
      </c>
      <c r="F398" t="s">
        <v>8016</v>
      </c>
      <c r="G398" t="s">
        <v>74</v>
      </c>
      <c r="H398" t="s">
        <v>74</v>
      </c>
      <c r="I398" t="s">
        <v>8017</v>
      </c>
      <c r="J398" t="s">
        <v>2204</v>
      </c>
      <c r="K398" t="s">
        <v>74</v>
      </c>
      <c r="L398" t="s">
        <v>74</v>
      </c>
      <c r="M398" t="s">
        <v>78</v>
      </c>
      <c r="N398" t="s">
        <v>700</v>
      </c>
      <c r="O398" t="s">
        <v>74</v>
      </c>
      <c r="P398" t="s">
        <v>74</v>
      </c>
      <c r="Q398" t="s">
        <v>74</v>
      </c>
      <c r="R398" t="s">
        <v>74</v>
      </c>
      <c r="S398" t="s">
        <v>74</v>
      </c>
      <c r="T398" t="s">
        <v>8018</v>
      </c>
      <c r="U398" t="s">
        <v>8019</v>
      </c>
      <c r="V398" t="s">
        <v>8020</v>
      </c>
      <c r="W398" t="s">
        <v>8021</v>
      </c>
      <c r="X398" t="s">
        <v>8022</v>
      </c>
      <c r="Y398" t="s">
        <v>8023</v>
      </c>
      <c r="Z398" t="s">
        <v>8024</v>
      </c>
      <c r="AA398" t="s">
        <v>8025</v>
      </c>
      <c r="AB398" t="s">
        <v>8026</v>
      </c>
      <c r="AC398" t="s">
        <v>8027</v>
      </c>
      <c r="AD398" t="s">
        <v>8028</v>
      </c>
      <c r="AE398" t="s">
        <v>8029</v>
      </c>
      <c r="AF398" t="s">
        <v>74</v>
      </c>
      <c r="AG398">
        <v>267</v>
      </c>
      <c r="AH398">
        <v>37</v>
      </c>
      <c r="AI398">
        <v>38</v>
      </c>
      <c r="AJ398">
        <v>6</v>
      </c>
      <c r="AK398">
        <v>63</v>
      </c>
      <c r="AL398" t="s">
        <v>2143</v>
      </c>
      <c r="AM398" t="s">
        <v>2144</v>
      </c>
      <c r="AN398" t="s">
        <v>2145</v>
      </c>
      <c r="AO398" t="s">
        <v>2217</v>
      </c>
      <c r="AP398" t="s">
        <v>74</v>
      </c>
      <c r="AQ398" t="s">
        <v>74</v>
      </c>
      <c r="AR398" t="s">
        <v>2218</v>
      </c>
      <c r="AS398" t="s">
        <v>2219</v>
      </c>
      <c r="AT398" t="s">
        <v>430</v>
      </c>
      <c r="AU398">
        <v>2021</v>
      </c>
      <c r="AV398">
        <v>16</v>
      </c>
      <c r="AW398">
        <v>7</v>
      </c>
      <c r="AX398" t="s">
        <v>74</v>
      </c>
      <c r="AY398" t="s">
        <v>74</v>
      </c>
      <c r="AZ398" t="s">
        <v>74</v>
      </c>
      <c r="BA398" t="s">
        <v>74</v>
      </c>
      <c r="BB398" t="s">
        <v>74</v>
      </c>
      <c r="BC398" t="s">
        <v>74</v>
      </c>
      <c r="BD398">
        <v>73008</v>
      </c>
      <c r="BE398" t="s">
        <v>8030</v>
      </c>
      <c r="BF398" t="str">
        <f>HYPERLINK("http://dx.doi.org/10.1088/1748-9326/ac0eb0","http://dx.doi.org/10.1088/1748-9326/ac0eb0")</f>
        <v>http://dx.doi.org/10.1088/1748-9326/ac0eb0</v>
      </c>
      <c r="BG398" t="s">
        <v>74</v>
      </c>
      <c r="BH398" t="s">
        <v>74</v>
      </c>
      <c r="BI398">
        <v>27</v>
      </c>
      <c r="BJ398" t="s">
        <v>635</v>
      </c>
      <c r="BK398" t="s">
        <v>128</v>
      </c>
      <c r="BL398" t="s">
        <v>636</v>
      </c>
      <c r="BM398" t="s">
        <v>8031</v>
      </c>
      <c r="BN398" t="s">
        <v>74</v>
      </c>
      <c r="BO398" t="s">
        <v>8032</v>
      </c>
      <c r="BP398" t="s">
        <v>74</v>
      </c>
      <c r="BQ398" t="s">
        <v>74</v>
      </c>
      <c r="BR398" t="s">
        <v>102</v>
      </c>
      <c r="BS398" t="s">
        <v>8033</v>
      </c>
      <c r="BT398" t="str">
        <f>HYPERLINK("https%3A%2F%2Fwww.webofscience.com%2Fwos%2Fwoscc%2Ffull-record%2FWOS:000675610600001","View Full Record in Web of Science")</f>
        <v>View Full Record in Web of Science</v>
      </c>
    </row>
    <row r="399" spans="1:72" x14ac:dyDescent="0.15">
      <c r="A399" t="s">
        <v>72</v>
      </c>
      <c r="B399" t="s">
        <v>8034</v>
      </c>
      <c r="C399" t="s">
        <v>74</v>
      </c>
      <c r="D399" t="s">
        <v>74</v>
      </c>
      <c r="E399" t="s">
        <v>74</v>
      </c>
      <c r="F399" t="s">
        <v>8035</v>
      </c>
      <c r="G399" t="s">
        <v>74</v>
      </c>
      <c r="H399" t="s">
        <v>74</v>
      </c>
      <c r="I399" t="s">
        <v>8036</v>
      </c>
      <c r="J399" t="s">
        <v>6928</v>
      </c>
      <c r="K399" t="s">
        <v>74</v>
      </c>
      <c r="L399" t="s">
        <v>74</v>
      </c>
      <c r="M399" t="s">
        <v>78</v>
      </c>
      <c r="N399" t="s">
        <v>79</v>
      </c>
      <c r="O399" t="s">
        <v>74</v>
      </c>
      <c r="P399" t="s">
        <v>74</v>
      </c>
      <c r="Q399" t="s">
        <v>74</v>
      </c>
      <c r="R399" t="s">
        <v>74</v>
      </c>
      <c r="S399" t="s">
        <v>74</v>
      </c>
      <c r="T399" t="s">
        <v>8037</v>
      </c>
      <c r="U399" t="s">
        <v>8038</v>
      </c>
      <c r="V399" t="s">
        <v>8039</v>
      </c>
      <c r="W399" t="s">
        <v>8040</v>
      </c>
      <c r="X399" t="s">
        <v>8041</v>
      </c>
      <c r="Y399" t="s">
        <v>8042</v>
      </c>
      <c r="Z399" t="s">
        <v>8043</v>
      </c>
      <c r="AA399" t="s">
        <v>8044</v>
      </c>
      <c r="AB399" t="s">
        <v>8045</v>
      </c>
      <c r="AC399" t="s">
        <v>8046</v>
      </c>
      <c r="AD399" t="s">
        <v>8047</v>
      </c>
      <c r="AE399" t="s">
        <v>8048</v>
      </c>
      <c r="AF399" t="s">
        <v>74</v>
      </c>
      <c r="AG399">
        <v>82</v>
      </c>
      <c r="AH399">
        <v>7</v>
      </c>
      <c r="AI399">
        <v>7</v>
      </c>
      <c r="AJ399">
        <v>0</v>
      </c>
      <c r="AK399">
        <v>16</v>
      </c>
      <c r="AL399" t="s">
        <v>864</v>
      </c>
      <c r="AM399" t="s">
        <v>865</v>
      </c>
      <c r="AN399" t="s">
        <v>866</v>
      </c>
      <c r="AO399" t="s">
        <v>6941</v>
      </c>
      <c r="AP399" t="s">
        <v>6942</v>
      </c>
      <c r="AQ399" t="s">
        <v>74</v>
      </c>
      <c r="AR399" t="s">
        <v>6943</v>
      </c>
      <c r="AS399" t="s">
        <v>6944</v>
      </c>
      <c r="AT399" t="s">
        <v>430</v>
      </c>
      <c r="AU399">
        <v>2021</v>
      </c>
      <c r="AV399">
        <v>126</v>
      </c>
      <c r="AW399">
        <v>7</v>
      </c>
      <c r="AX399" t="s">
        <v>74</v>
      </c>
      <c r="AY399" t="s">
        <v>74</v>
      </c>
      <c r="AZ399" t="s">
        <v>74</v>
      </c>
      <c r="BA399" t="s">
        <v>74</v>
      </c>
      <c r="BB399" t="s">
        <v>74</v>
      </c>
      <c r="BC399" t="s">
        <v>74</v>
      </c>
      <c r="BD399" t="s">
        <v>8049</v>
      </c>
      <c r="BE399" t="s">
        <v>8050</v>
      </c>
      <c r="BF399" t="str">
        <f>HYPERLINK("http://dx.doi.org/10.1029/2019JE006243","http://dx.doi.org/10.1029/2019JE006243")</f>
        <v>http://dx.doi.org/10.1029/2019JE006243</v>
      </c>
      <c r="BG399" t="s">
        <v>74</v>
      </c>
      <c r="BH399" t="s">
        <v>74</v>
      </c>
      <c r="BI399">
        <v>22</v>
      </c>
      <c r="BJ399" t="s">
        <v>289</v>
      </c>
      <c r="BK399" t="s">
        <v>128</v>
      </c>
      <c r="BL399" t="s">
        <v>289</v>
      </c>
      <c r="BM399" t="s">
        <v>6947</v>
      </c>
      <c r="BN399" t="s">
        <v>74</v>
      </c>
      <c r="BO399" t="s">
        <v>238</v>
      </c>
      <c r="BP399" t="s">
        <v>74</v>
      </c>
      <c r="BQ399" t="s">
        <v>74</v>
      </c>
      <c r="BR399" t="s">
        <v>102</v>
      </c>
      <c r="BS399" t="s">
        <v>8051</v>
      </c>
      <c r="BT399" t="str">
        <f>HYPERLINK("https%3A%2F%2Fwww.webofscience.com%2Fwos%2Fwoscc%2Ffull-record%2FWOS:000679848100009","View Full Record in Web of Science")</f>
        <v>View Full Record in Web of Science</v>
      </c>
    </row>
    <row r="400" spans="1:72" x14ac:dyDescent="0.15">
      <c r="A400" t="s">
        <v>72</v>
      </c>
      <c r="B400" t="s">
        <v>8052</v>
      </c>
      <c r="C400" t="s">
        <v>74</v>
      </c>
      <c r="D400" t="s">
        <v>74</v>
      </c>
      <c r="E400" t="s">
        <v>74</v>
      </c>
      <c r="F400" t="s">
        <v>8053</v>
      </c>
      <c r="G400" t="s">
        <v>74</v>
      </c>
      <c r="H400" t="s">
        <v>74</v>
      </c>
      <c r="I400" t="s">
        <v>8054</v>
      </c>
      <c r="J400" t="s">
        <v>7755</v>
      </c>
      <c r="K400" t="s">
        <v>74</v>
      </c>
      <c r="L400" t="s">
        <v>74</v>
      </c>
      <c r="M400" t="s">
        <v>78</v>
      </c>
      <c r="N400" t="s">
        <v>79</v>
      </c>
      <c r="O400" t="s">
        <v>74</v>
      </c>
      <c r="P400" t="s">
        <v>74</v>
      </c>
      <c r="Q400" t="s">
        <v>74</v>
      </c>
      <c r="R400" t="s">
        <v>74</v>
      </c>
      <c r="S400" t="s">
        <v>74</v>
      </c>
      <c r="T400" t="s">
        <v>74</v>
      </c>
      <c r="U400" t="s">
        <v>8055</v>
      </c>
      <c r="V400" t="s">
        <v>8056</v>
      </c>
      <c r="W400" t="s">
        <v>8057</v>
      </c>
      <c r="X400" t="s">
        <v>8058</v>
      </c>
      <c r="Y400" t="s">
        <v>8059</v>
      </c>
      <c r="Z400" t="s">
        <v>8060</v>
      </c>
      <c r="AA400" t="s">
        <v>8061</v>
      </c>
      <c r="AB400" t="s">
        <v>8062</v>
      </c>
      <c r="AC400" t="s">
        <v>8063</v>
      </c>
      <c r="AD400" t="s">
        <v>8064</v>
      </c>
      <c r="AE400" t="s">
        <v>8065</v>
      </c>
      <c r="AF400" t="s">
        <v>74</v>
      </c>
      <c r="AG400">
        <v>71</v>
      </c>
      <c r="AH400">
        <v>19</v>
      </c>
      <c r="AI400">
        <v>24</v>
      </c>
      <c r="AJ400">
        <v>2</v>
      </c>
      <c r="AK400">
        <v>13</v>
      </c>
      <c r="AL400" t="s">
        <v>7767</v>
      </c>
      <c r="AM400" t="s">
        <v>865</v>
      </c>
      <c r="AN400" t="s">
        <v>7768</v>
      </c>
      <c r="AO400" t="s">
        <v>7769</v>
      </c>
      <c r="AP400" t="s">
        <v>74</v>
      </c>
      <c r="AQ400" t="s">
        <v>74</v>
      </c>
      <c r="AR400" t="s">
        <v>7770</v>
      </c>
      <c r="AS400" t="s">
        <v>7771</v>
      </c>
      <c r="AT400" t="s">
        <v>430</v>
      </c>
      <c r="AU400">
        <v>2021</v>
      </c>
      <c r="AV400">
        <v>7</v>
      </c>
      <c r="AW400">
        <v>28</v>
      </c>
      <c r="AX400" t="s">
        <v>74</v>
      </c>
      <c r="AY400" t="s">
        <v>74</v>
      </c>
      <c r="AZ400" t="s">
        <v>74</v>
      </c>
      <c r="BA400" t="s">
        <v>74</v>
      </c>
      <c r="BB400" t="s">
        <v>74</v>
      </c>
      <c r="BC400" t="s">
        <v>74</v>
      </c>
      <c r="BD400" t="s">
        <v>8066</v>
      </c>
      <c r="BE400" t="s">
        <v>8067</v>
      </c>
      <c r="BF400" t="str">
        <f>HYPERLINK("http://dx.doi.org/10.1126/sciadv.abf0851","http://dx.doi.org/10.1126/sciadv.abf0851")</f>
        <v>http://dx.doi.org/10.1126/sciadv.abf0851</v>
      </c>
      <c r="BG400" t="s">
        <v>74</v>
      </c>
      <c r="BH400" t="s">
        <v>74</v>
      </c>
      <c r="BI400">
        <v>8</v>
      </c>
      <c r="BJ400" t="s">
        <v>2609</v>
      </c>
      <c r="BK400" t="s">
        <v>128</v>
      </c>
      <c r="BL400" t="s">
        <v>2610</v>
      </c>
      <c r="BM400" t="s">
        <v>8068</v>
      </c>
      <c r="BN400">
        <v>34244139</v>
      </c>
      <c r="BO400" t="s">
        <v>569</v>
      </c>
      <c r="BP400" t="s">
        <v>74</v>
      </c>
      <c r="BQ400" t="s">
        <v>74</v>
      </c>
      <c r="BR400" t="s">
        <v>102</v>
      </c>
      <c r="BS400" t="s">
        <v>8069</v>
      </c>
      <c r="BT400" t="str">
        <f>HYPERLINK("https%3A%2F%2Fwww.webofscience.com%2Fwos%2Fwoscc%2Ffull-record%2FWOS:000672817500004","View Full Record in Web of Science")</f>
        <v>View Full Record in Web of Science</v>
      </c>
    </row>
    <row r="401" spans="1:72" x14ac:dyDescent="0.15">
      <c r="A401" t="s">
        <v>72</v>
      </c>
      <c r="B401" t="s">
        <v>8070</v>
      </c>
      <c r="C401" t="s">
        <v>74</v>
      </c>
      <c r="D401" t="s">
        <v>74</v>
      </c>
      <c r="E401" t="s">
        <v>74</v>
      </c>
      <c r="F401" t="s">
        <v>8071</v>
      </c>
      <c r="G401" t="s">
        <v>74</v>
      </c>
      <c r="H401" t="s">
        <v>74</v>
      </c>
      <c r="I401" t="s">
        <v>8072</v>
      </c>
      <c r="J401" t="s">
        <v>8073</v>
      </c>
      <c r="K401" t="s">
        <v>74</v>
      </c>
      <c r="L401" t="s">
        <v>74</v>
      </c>
      <c r="M401" t="s">
        <v>78</v>
      </c>
      <c r="N401" t="s">
        <v>79</v>
      </c>
      <c r="O401" t="s">
        <v>74</v>
      </c>
      <c r="P401" t="s">
        <v>74</v>
      </c>
      <c r="Q401" t="s">
        <v>74</v>
      </c>
      <c r="R401" t="s">
        <v>74</v>
      </c>
      <c r="S401" t="s">
        <v>74</v>
      </c>
      <c r="T401" t="s">
        <v>8074</v>
      </c>
      <c r="U401" t="s">
        <v>8075</v>
      </c>
      <c r="V401" t="s">
        <v>8076</v>
      </c>
      <c r="W401" t="s">
        <v>8077</v>
      </c>
      <c r="X401" t="s">
        <v>8078</v>
      </c>
      <c r="Y401" t="s">
        <v>8079</v>
      </c>
      <c r="Z401" t="s">
        <v>8080</v>
      </c>
      <c r="AA401" t="s">
        <v>8081</v>
      </c>
      <c r="AB401" t="s">
        <v>8082</v>
      </c>
      <c r="AC401" t="s">
        <v>8083</v>
      </c>
      <c r="AD401" t="s">
        <v>8084</v>
      </c>
      <c r="AE401" t="s">
        <v>8085</v>
      </c>
      <c r="AF401" t="s">
        <v>74</v>
      </c>
      <c r="AG401">
        <v>64</v>
      </c>
      <c r="AH401">
        <v>6</v>
      </c>
      <c r="AI401">
        <v>6</v>
      </c>
      <c r="AJ401">
        <v>0</v>
      </c>
      <c r="AK401">
        <v>4</v>
      </c>
      <c r="AL401" t="s">
        <v>8086</v>
      </c>
      <c r="AM401" t="s">
        <v>8087</v>
      </c>
      <c r="AN401" t="s">
        <v>8088</v>
      </c>
      <c r="AO401" t="s">
        <v>8089</v>
      </c>
      <c r="AP401" t="s">
        <v>74</v>
      </c>
      <c r="AQ401" t="s">
        <v>74</v>
      </c>
      <c r="AR401" t="s">
        <v>8090</v>
      </c>
      <c r="AS401" t="s">
        <v>8091</v>
      </c>
      <c r="AT401" t="s">
        <v>430</v>
      </c>
      <c r="AU401">
        <v>2021</v>
      </c>
      <c r="AV401">
        <v>12</v>
      </c>
      <c r="AW401">
        <v>4</v>
      </c>
      <c r="AX401" t="s">
        <v>74</v>
      </c>
      <c r="AY401" t="s">
        <v>74</v>
      </c>
      <c r="AZ401" t="s">
        <v>74</v>
      </c>
      <c r="BA401" t="s">
        <v>74</v>
      </c>
      <c r="BB401" t="s">
        <v>74</v>
      </c>
      <c r="BC401" t="s">
        <v>74</v>
      </c>
      <c r="BD401">
        <v>101153</v>
      </c>
      <c r="BE401" t="s">
        <v>8092</v>
      </c>
      <c r="BF401" t="str">
        <f>HYPERLINK("http://dx.doi.org/10.1016/j.gsf.2021.101153","http://dx.doi.org/10.1016/j.gsf.2021.101153")</f>
        <v>http://dx.doi.org/10.1016/j.gsf.2021.101153</v>
      </c>
      <c r="BG401" t="s">
        <v>74</v>
      </c>
      <c r="BH401" t="s">
        <v>74</v>
      </c>
      <c r="BI401">
        <v>13</v>
      </c>
      <c r="BJ401" t="s">
        <v>405</v>
      </c>
      <c r="BK401" t="s">
        <v>128</v>
      </c>
      <c r="BL401" t="s">
        <v>406</v>
      </c>
      <c r="BM401" t="s">
        <v>8093</v>
      </c>
      <c r="BN401" t="s">
        <v>74</v>
      </c>
      <c r="BO401" t="s">
        <v>8094</v>
      </c>
      <c r="BP401" t="s">
        <v>74</v>
      </c>
      <c r="BQ401" t="s">
        <v>74</v>
      </c>
      <c r="BR401" t="s">
        <v>102</v>
      </c>
      <c r="BS401" t="s">
        <v>8095</v>
      </c>
      <c r="BT401" t="str">
        <f>HYPERLINK("https%3A%2F%2Fwww.webofscience.com%2Fwos%2Fwoscc%2Ffull-record%2FWOS:000654356800018","View Full Record in Web of Science")</f>
        <v>View Full Record in Web of Science</v>
      </c>
    </row>
    <row r="402" spans="1:72" x14ac:dyDescent="0.15">
      <c r="A402" t="s">
        <v>72</v>
      </c>
      <c r="B402" t="s">
        <v>8096</v>
      </c>
      <c r="C402" t="s">
        <v>74</v>
      </c>
      <c r="D402" t="s">
        <v>74</v>
      </c>
      <c r="E402" t="s">
        <v>74</v>
      </c>
      <c r="F402" t="s">
        <v>8097</v>
      </c>
      <c r="G402" t="s">
        <v>74</v>
      </c>
      <c r="H402" t="s">
        <v>74</v>
      </c>
      <c r="I402" t="s">
        <v>8098</v>
      </c>
      <c r="J402" t="s">
        <v>8099</v>
      </c>
      <c r="K402" t="s">
        <v>74</v>
      </c>
      <c r="L402" t="s">
        <v>74</v>
      </c>
      <c r="M402" t="s">
        <v>78</v>
      </c>
      <c r="N402" t="s">
        <v>79</v>
      </c>
      <c r="O402" t="s">
        <v>74</v>
      </c>
      <c r="P402" t="s">
        <v>74</v>
      </c>
      <c r="Q402" t="s">
        <v>74</v>
      </c>
      <c r="R402" t="s">
        <v>74</v>
      </c>
      <c r="S402" t="s">
        <v>74</v>
      </c>
      <c r="T402" t="s">
        <v>8100</v>
      </c>
      <c r="U402" t="s">
        <v>8101</v>
      </c>
      <c r="V402" t="s">
        <v>8102</v>
      </c>
      <c r="W402" t="s">
        <v>8103</v>
      </c>
      <c r="X402" t="s">
        <v>8104</v>
      </c>
      <c r="Y402" t="s">
        <v>8105</v>
      </c>
      <c r="Z402" t="s">
        <v>8106</v>
      </c>
      <c r="AA402" t="s">
        <v>74</v>
      </c>
      <c r="AB402" t="s">
        <v>8107</v>
      </c>
      <c r="AC402" t="s">
        <v>74</v>
      </c>
      <c r="AD402" t="s">
        <v>74</v>
      </c>
      <c r="AE402" t="s">
        <v>74</v>
      </c>
      <c r="AF402" t="s">
        <v>74</v>
      </c>
      <c r="AG402">
        <v>11</v>
      </c>
      <c r="AH402">
        <v>1</v>
      </c>
      <c r="AI402">
        <v>1</v>
      </c>
      <c r="AJ402">
        <v>0</v>
      </c>
      <c r="AK402">
        <v>1</v>
      </c>
      <c r="AL402" t="s">
        <v>8108</v>
      </c>
      <c r="AM402" t="s">
        <v>8109</v>
      </c>
      <c r="AN402" t="s">
        <v>8110</v>
      </c>
      <c r="AO402" t="s">
        <v>8111</v>
      </c>
      <c r="AP402" t="s">
        <v>8112</v>
      </c>
      <c r="AQ402" t="s">
        <v>74</v>
      </c>
      <c r="AR402" t="s">
        <v>8113</v>
      </c>
      <c r="AS402" t="s">
        <v>8114</v>
      </c>
      <c r="AT402" t="s">
        <v>8115</v>
      </c>
      <c r="AU402">
        <v>2021</v>
      </c>
      <c r="AV402">
        <v>134</v>
      </c>
      <c r="AW402">
        <v>1</v>
      </c>
      <c r="AX402" t="s">
        <v>74</v>
      </c>
      <c r="AY402" t="s">
        <v>74</v>
      </c>
      <c r="AZ402" t="s">
        <v>74</v>
      </c>
      <c r="BA402" t="s">
        <v>74</v>
      </c>
      <c r="BB402" t="s">
        <v>74</v>
      </c>
      <c r="BC402" t="s">
        <v>74</v>
      </c>
      <c r="BD402" t="s">
        <v>74</v>
      </c>
      <c r="BE402" t="s">
        <v>8116</v>
      </c>
      <c r="BF402" t="str">
        <f>HYPERLINK("http://dx.doi.org/10.2988/21-00003","http://dx.doi.org/10.2988/21-00003")</f>
        <v>http://dx.doi.org/10.2988/21-00003</v>
      </c>
      <c r="BG402" t="s">
        <v>74</v>
      </c>
      <c r="BH402" t="s">
        <v>74</v>
      </c>
      <c r="BI402">
        <v>9</v>
      </c>
      <c r="BJ402" t="s">
        <v>511</v>
      </c>
      <c r="BK402" t="s">
        <v>128</v>
      </c>
      <c r="BL402" t="s">
        <v>512</v>
      </c>
      <c r="BM402" t="s">
        <v>8117</v>
      </c>
      <c r="BN402" t="s">
        <v>74</v>
      </c>
      <c r="BO402" t="s">
        <v>74</v>
      </c>
      <c r="BP402" t="s">
        <v>74</v>
      </c>
      <c r="BQ402" t="s">
        <v>74</v>
      </c>
      <c r="BR402" t="s">
        <v>102</v>
      </c>
      <c r="BS402" t="s">
        <v>8118</v>
      </c>
      <c r="BT402" t="str">
        <f>HYPERLINK("https%3A%2F%2Fwww.webofscience.com%2Fwos%2Fwoscc%2Ffull-record%2FWOS:000733841100001","View Full Record in Web of Science")</f>
        <v>View Full Record in Web of Science</v>
      </c>
    </row>
    <row r="403" spans="1:72" x14ac:dyDescent="0.15">
      <c r="A403" t="s">
        <v>72</v>
      </c>
      <c r="B403" t="s">
        <v>8119</v>
      </c>
      <c r="C403" t="s">
        <v>74</v>
      </c>
      <c r="D403" t="s">
        <v>74</v>
      </c>
      <c r="E403" t="s">
        <v>74</v>
      </c>
      <c r="F403" t="s">
        <v>8120</v>
      </c>
      <c r="G403" t="s">
        <v>74</v>
      </c>
      <c r="H403" t="s">
        <v>74</v>
      </c>
      <c r="I403" t="s">
        <v>8121</v>
      </c>
      <c r="J403" t="s">
        <v>2305</v>
      </c>
      <c r="K403" t="s">
        <v>74</v>
      </c>
      <c r="L403" t="s">
        <v>74</v>
      </c>
      <c r="M403" t="s">
        <v>78</v>
      </c>
      <c r="N403" t="s">
        <v>79</v>
      </c>
      <c r="O403" t="s">
        <v>74</v>
      </c>
      <c r="P403" t="s">
        <v>74</v>
      </c>
      <c r="Q403" t="s">
        <v>74</v>
      </c>
      <c r="R403" t="s">
        <v>74</v>
      </c>
      <c r="S403" t="s">
        <v>74</v>
      </c>
      <c r="T403" t="s">
        <v>8122</v>
      </c>
      <c r="U403" t="s">
        <v>8123</v>
      </c>
      <c r="V403" t="s">
        <v>8124</v>
      </c>
      <c r="W403" t="s">
        <v>8125</v>
      </c>
      <c r="X403" t="s">
        <v>8126</v>
      </c>
      <c r="Y403" t="s">
        <v>8127</v>
      </c>
      <c r="Z403" t="s">
        <v>8128</v>
      </c>
      <c r="AA403" t="s">
        <v>74</v>
      </c>
      <c r="AB403" t="s">
        <v>8129</v>
      </c>
      <c r="AC403" t="s">
        <v>8130</v>
      </c>
      <c r="AD403" t="s">
        <v>8131</v>
      </c>
      <c r="AE403" t="s">
        <v>8132</v>
      </c>
      <c r="AF403" t="s">
        <v>74</v>
      </c>
      <c r="AG403">
        <v>98</v>
      </c>
      <c r="AH403">
        <v>4</v>
      </c>
      <c r="AI403">
        <v>4</v>
      </c>
      <c r="AJ403">
        <v>0</v>
      </c>
      <c r="AK403">
        <v>10</v>
      </c>
      <c r="AL403" t="s">
        <v>227</v>
      </c>
      <c r="AM403" t="s">
        <v>228</v>
      </c>
      <c r="AN403" t="s">
        <v>229</v>
      </c>
      <c r="AO403" t="s">
        <v>2318</v>
      </c>
      <c r="AP403" t="s">
        <v>2319</v>
      </c>
      <c r="AQ403" t="s">
        <v>74</v>
      </c>
      <c r="AR403" t="s">
        <v>2320</v>
      </c>
      <c r="AS403" t="s">
        <v>2321</v>
      </c>
      <c r="AT403" t="s">
        <v>430</v>
      </c>
      <c r="AU403">
        <v>2021</v>
      </c>
      <c r="AV403">
        <v>169</v>
      </c>
      <c r="AW403" t="s">
        <v>74</v>
      </c>
      <c r="AX403" t="s">
        <v>74</v>
      </c>
      <c r="AY403" t="s">
        <v>74</v>
      </c>
      <c r="AZ403" t="s">
        <v>74</v>
      </c>
      <c r="BA403" t="s">
        <v>74</v>
      </c>
      <c r="BB403" t="s">
        <v>74</v>
      </c>
      <c r="BC403" t="s">
        <v>74</v>
      </c>
      <c r="BD403">
        <v>105393</v>
      </c>
      <c r="BE403" t="s">
        <v>8133</v>
      </c>
      <c r="BF403" t="str">
        <f>HYPERLINK("http://dx.doi.org/10.1016/j.marenvres.2021.105393","http://dx.doi.org/10.1016/j.marenvres.2021.105393")</f>
        <v>http://dx.doi.org/10.1016/j.marenvres.2021.105393</v>
      </c>
      <c r="BG403" t="s">
        <v>74</v>
      </c>
      <c r="BH403" t="s">
        <v>8134</v>
      </c>
      <c r="BI403">
        <v>11</v>
      </c>
      <c r="BJ403" t="s">
        <v>2324</v>
      </c>
      <c r="BK403" t="s">
        <v>128</v>
      </c>
      <c r="BL403" t="s">
        <v>2325</v>
      </c>
      <c r="BM403" t="s">
        <v>8135</v>
      </c>
      <c r="BN403">
        <v>34217095</v>
      </c>
      <c r="BO403" t="s">
        <v>1083</v>
      </c>
      <c r="BP403" t="s">
        <v>74</v>
      </c>
      <c r="BQ403" t="s">
        <v>74</v>
      </c>
      <c r="BR403" t="s">
        <v>102</v>
      </c>
      <c r="BS403" t="s">
        <v>8136</v>
      </c>
      <c r="BT403" t="str">
        <f>HYPERLINK("https%3A%2F%2Fwww.webofscience.com%2Fwos%2Fwoscc%2Ffull-record%2FWOS:000675833900007","View Full Record in Web of Science")</f>
        <v>View Full Record in Web of Science</v>
      </c>
    </row>
    <row r="404" spans="1:72" x14ac:dyDescent="0.15">
      <c r="A404" t="s">
        <v>72</v>
      </c>
      <c r="B404" t="s">
        <v>8137</v>
      </c>
      <c r="C404" t="s">
        <v>74</v>
      </c>
      <c r="D404" t="s">
        <v>74</v>
      </c>
      <c r="E404" t="s">
        <v>74</v>
      </c>
      <c r="F404" t="s">
        <v>8138</v>
      </c>
      <c r="G404" t="s">
        <v>74</v>
      </c>
      <c r="H404" t="s">
        <v>74</v>
      </c>
      <c r="I404" t="s">
        <v>8139</v>
      </c>
      <c r="J404" t="s">
        <v>107</v>
      </c>
      <c r="K404" t="s">
        <v>74</v>
      </c>
      <c r="L404" t="s">
        <v>74</v>
      </c>
      <c r="M404" t="s">
        <v>78</v>
      </c>
      <c r="N404" t="s">
        <v>3298</v>
      </c>
      <c r="O404" t="s">
        <v>74</v>
      </c>
      <c r="P404" t="s">
        <v>74</v>
      </c>
      <c r="Q404" t="s">
        <v>74</v>
      </c>
      <c r="R404" t="s">
        <v>74</v>
      </c>
      <c r="S404" t="s">
        <v>74</v>
      </c>
      <c r="T404" t="s">
        <v>8140</v>
      </c>
      <c r="U404" t="s">
        <v>74</v>
      </c>
      <c r="V404" t="s">
        <v>74</v>
      </c>
      <c r="W404" t="s">
        <v>8141</v>
      </c>
      <c r="X404" t="s">
        <v>8142</v>
      </c>
      <c r="Y404" t="s">
        <v>8143</v>
      </c>
      <c r="Z404" t="s">
        <v>8144</v>
      </c>
      <c r="AA404" t="s">
        <v>8145</v>
      </c>
      <c r="AB404" t="s">
        <v>8146</v>
      </c>
      <c r="AC404" t="s">
        <v>74</v>
      </c>
      <c r="AD404" t="s">
        <v>74</v>
      </c>
      <c r="AE404" t="s">
        <v>74</v>
      </c>
      <c r="AF404" t="s">
        <v>74</v>
      </c>
      <c r="AG404">
        <v>1</v>
      </c>
      <c r="AH404">
        <v>0</v>
      </c>
      <c r="AI404">
        <v>0</v>
      </c>
      <c r="AJ404">
        <v>6</v>
      </c>
      <c r="AK404">
        <v>16</v>
      </c>
      <c r="AL404" t="s">
        <v>119</v>
      </c>
      <c r="AM404" t="s">
        <v>120</v>
      </c>
      <c r="AN404" t="s">
        <v>121</v>
      </c>
      <c r="AO404" t="s">
        <v>74</v>
      </c>
      <c r="AP404" t="s">
        <v>122</v>
      </c>
      <c r="AQ404" t="s">
        <v>74</v>
      </c>
      <c r="AR404" t="s">
        <v>123</v>
      </c>
      <c r="AS404" t="s">
        <v>124</v>
      </c>
      <c r="AT404" t="s">
        <v>8115</v>
      </c>
      <c r="AU404">
        <v>2021</v>
      </c>
      <c r="AV404">
        <v>8</v>
      </c>
      <c r="AW404" t="s">
        <v>74</v>
      </c>
      <c r="AX404" t="s">
        <v>74</v>
      </c>
      <c r="AY404" t="s">
        <v>74</v>
      </c>
      <c r="AZ404" t="s">
        <v>74</v>
      </c>
      <c r="BA404" t="s">
        <v>74</v>
      </c>
      <c r="BB404" t="s">
        <v>74</v>
      </c>
      <c r="BC404" t="s">
        <v>74</v>
      </c>
      <c r="BD404">
        <v>719006</v>
      </c>
      <c r="BE404" t="s">
        <v>8147</v>
      </c>
      <c r="BF404" t="str">
        <f>HYPERLINK("http://dx.doi.org/10.3389/fmars.2021.719006","http://dx.doi.org/10.3389/fmars.2021.719006")</f>
        <v>http://dx.doi.org/10.3389/fmars.2021.719006</v>
      </c>
      <c r="BG404" t="s">
        <v>74</v>
      </c>
      <c r="BH404" t="s">
        <v>74</v>
      </c>
      <c r="BI404">
        <v>2</v>
      </c>
      <c r="BJ404" t="s">
        <v>127</v>
      </c>
      <c r="BK404" t="s">
        <v>128</v>
      </c>
      <c r="BL404" t="s">
        <v>129</v>
      </c>
      <c r="BM404" t="s">
        <v>8148</v>
      </c>
      <c r="BN404" t="s">
        <v>74</v>
      </c>
      <c r="BO404" t="s">
        <v>1377</v>
      </c>
      <c r="BP404" t="s">
        <v>74</v>
      </c>
      <c r="BQ404" t="s">
        <v>74</v>
      </c>
      <c r="BR404" t="s">
        <v>102</v>
      </c>
      <c r="BS404" t="s">
        <v>8149</v>
      </c>
      <c r="BT404" t="str">
        <f>HYPERLINK("https%3A%2F%2Fwww.webofscience.com%2Fwos%2Fwoscc%2Ffull-record%2FWOS:000674627300001","View Full Record in Web of Science")</f>
        <v>View Full Record in Web of Science</v>
      </c>
    </row>
    <row r="405" spans="1:72" x14ac:dyDescent="0.15">
      <c r="A405" t="s">
        <v>72</v>
      </c>
      <c r="B405" t="s">
        <v>8150</v>
      </c>
      <c r="C405" t="s">
        <v>74</v>
      </c>
      <c r="D405" t="s">
        <v>74</v>
      </c>
      <c r="E405" t="s">
        <v>74</v>
      </c>
      <c r="F405" t="s">
        <v>8151</v>
      </c>
      <c r="G405" t="s">
        <v>74</v>
      </c>
      <c r="H405" t="s">
        <v>74</v>
      </c>
      <c r="I405" t="s">
        <v>8152</v>
      </c>
      <c r="J405" t="s">
        <v>107</v>
      </c>
      <c r="K405" t="s">
        <v>74</v>
      </c>
      <c r="L405" t="s">
        <v>74</v>
      </c>
      <c r="M405" t="s">
        <v>78</v>
      </c>
      <c r="N405" t="s">
        <v>79</v>
      </c>
      <c r="O405" t="s">
        <v>74</v>
      </c>
      <c r="P405" t="s">
        <v>74</v>
      </c>
      <c r="Q405" t="s">
        <v>74</v>
      </c>
      <c r="R405" t="s">
        <v>74</v>
      </c>
      <c r="S405" t="s">
        <v>74</v>
      </c>
      <c r="T405" t="s">
        <v>8153</v>
      </c>
      <c r="U405" t="s">
        <v>8154</v>
      </c>
      <c r="V405" t="s">
        <v>8155</v>
      </c>
      <c r="W405" t="s">
        <v>8156</v>
      </c>
      <c r="X405" t="s">
        <v>8157</v>
      </c>
      <c r="Y405" t="s">
        <v>8158</v>
      </c>
      <c r="Z405" t="s">
        <v>8159</v>
      </c>
      <c r="AA405" t="s">
        <v>74</v>
      </c>
      <c r="AB405" t="s">
        <v>8160</v>
      </c>
      <c r="AC405" t="s">
        <v>8161</v>
      </c>
      <c r="AD405" t="s">
        <v>8162</v>
      </c>
      <c r="AE405" t="s">
        <v>8163</v>
      </c>
      <c r="AF405" t="s">
        <v>74</v>
      </c>
      <c r="AG405">
        <v>56</v>
      </c>
      <c r="AH405">
        <v>5</v>
      </c>
      <c r="AI405">
        <v>5</v>
      </c>
      <c r="AJ405">
        <v>0</v>
      </c>
      <c r="AK405">
        <v>15</v>
      </c>
      <c r="AL405" t="s">
        <v>119</v>
      </c>
      <c r="AM405" t="s">
        <v>120</v>
      </c>
      <c r="AN405" t="s">
        <v>121</v>
      </c>
      <c r="AO405" t="s">
        <v>74</v>
      </c>
      <c r="AP405" t="s">
        <v>122</v>
      </c>
      <c r="AQ405" t="s">
        <v>74</v>
      </c>
      <c r="AR405" t="s">
        <v>123</v>
      </c>
      <c r="AS405" t="s">
        <v>124</v>
      </c>
      <c r="AT405" t="s">
        <v>8115</v>
      </c>
      <c r="AU405">
        <v>2021</v>
      </c>
      <c r="AV405">
        <v>8</v>
      </c>
      <c r="AW405" t="s">
        <v>74</v>
      </c>
      <c r="AX405" t="s">
        <v>74</v>
      </c>
      <c r="AY405" t="s">
        <v>74</v>
      </c>
      <c r="AZ405" t="s">
        <v>74</v>
      </c>
      <c r="BA405" t="s">
        <v>74</v>
      </c>
      <c r="BB405" t="s">
        <v>74</v>
      </c>
      <c r="BC405" t="s">
        <v>74</v>
      </c>
      <c r="BD405">
        <v>664269</v>
      </c>
      <c r="BE405" t="s">
        <v>8164</v>
      </c>
      <c r="BF405" t="str">
        <f>HYPERLINK("http://dx.doi.org/10.3389/fmars.2021.664269","http://dx.doi.org/10.3389/fmars.2021.664269")</f>
        <v>http://dx.doi.org/10.3389/fmars.2021.664269</v>
      </c>
      <c r="BG405" t="s">
        <v>74</v>
      </c>
      <c r="BH405" t="s">
        <v>74</v>
      </c>
      <c r="BI405">
        <v>13</v>
      </c>
      <c r="BJ405" t="s">
        <v>127</v>
      </c>
      <c r="BK405" t="s">
        <v>128</v>
      </c>
      <c r="BL405" t="s">
        <v>129</v>
      </c>
      <c r="BM405" t="s">
        <v>8165</v>
      </c>
      <c r="BN405" t="s">
        <v>74</v>
      </c>
      <c r="BO405" t="s">
        <v>7792</v>
      </c>
      <c r="BP405" t="s">
        <v>74</v>
      </c>
      <c r="BQ405" t="s">
        <v>74</v>
      </c>
      <c r="BR405" t="s">
        <v>102</v>
      </c>
      <c r="BS405" t="s">
        <v>8166</v>
      </c>
      <c r="BT405" t="str">
        <f>HYPERLINK("https%3A%2F%2Fwww.webofscience.com%2Fwos%2Fwoscc%2Ffull-record%2FWOS:000674642900001","View Full Record in Web of Science")</f>
        <v>View Full Record in Web of Science</v>
      </c>
    </row>
    <row r="406" spans="1:72" x14ac:dyDescent="0.15">
      <c r="A406" t="s">
        <v>72</v>
      </c>
      <c r="B406" t="s">
        <v>8167</v>
      </c>
      <c r="C406" t="s">
        <v>74</v>
      </c>
      <c r="D406" t="s">
        <v>74</v>
      </c>
      <c r="E406" t="s">
        <v>74</v>
      </c>
      <c r="F406" t="s">
        <v>8168</v>
      </c>
      <c r="G406" t="s">
        <v>74</v>
      </c>
      <c r="H406" t="s">
        <v>74</v>
      </c>
      <c r="I406" t="s">
        <v>8169</v>
      </c>
      <c r="J406" t="s">
        <v>2594</v>
      </c>
      <c r="K406" t="s">
        <v>74</v>
      </c>
      <c r="L406" t="s">
        <v>74</v>
      </c>
      <c r="M406" t="s">
        <v>78</v>
      </c>
      <c r="N406" t="s">
        <v>79</v>
      </c>
      <c r="O406" t="s">
        <v>74</v>
      </c>
      <c r="P406" t="s">
        <v>74</v>
      </c>
      <c r="Q406" t="s">
        <v>74</v>
      </c>
      <c r="R406" t="s">
        <v>74</v>
      </c>
      <c r="S406" t="s">
        <v>74</v>
      </c>
      <c r="T406" t="s">
        <v>74</v>
      </c>
      <c r="U406" t="s">
        <v>8170</v>
      </c>
      <c r="V406" t="s">
        <v>8171</v>
      </c>
      <c r="W406" t="s">
        <v>8172</v>
      </c>
      <c r="X406" t="s">
        <v>8173</v>
      </c>
      <c r="Y406" t="s">
        <v>8174</v>
      </c>
      <c r="Z406" t="s">
        <v>8175</v>
      </c>
      <c r="AA406" t="s">
        <v>8176</v>
      </c>
      <c r="AB406" t="s">
        <v>8177</v>
      </c>
      <c r="AC406" t="s">
        <v>8178</v>
      </c>
      <c r="AD406" t="s">
        <v>8179</v>
      </c>
      <c r="AE406" t="s">
        <v>8180</v>
      </c>
      <c r="AF406" t="s">
        <v>74</v>
      </c>
      <c r="AG406">
        <v>59</v>
      </c>
      <c r="AH406">
        <v>13</v>
      </c>
      <c r="AI406">
        <v>13</v>
      </c>
      <c r="AJ406">
        <v>0</v>
      </c>
      <c r="AK406">
        <v>15</v>
      </c>
      <c r="AL406" t="s">
        <v>395</v>
      </c>
      <c r="AM406" t="s">
        <v>396</v>
      </c>
      <c r="AN406" t="s">
        <v>397</v>
      </c>
      <c r="AO406" t="s">
        <v>2605</v>
      </c>
      <c r="AP406" t="s">
        <v>74</v>
      </c>
      <c r="AQ406" t="s">
        <v>74</v>
      </c>
      <c r="AR406" t="s">
        <v>2606</v>
      </c>
      <c r="AS406" t="s">
        <v>2607</v>
      </c>
      <c r="AT406" t="s">
        <v>8115</v>
      </c>
      <c r="AU406">
        <v>2021</v>
      </c>
      <c r="AV406">
        <v>11</v>
      </c>
      <c r="AW406">
        <v>1</v>
      </c>
      <c r="AX406" t="s">
        <v>74</v>
      </c>
      <c r="AY406" t="s">
        <v>74</v>
      </c>
      <c r="AZ406" t="s">
        <v>74</v>
      </c>
      <c r="BA406" t="s">
        <v>74</v>
      </c>
      <c r="BB406" t="s">
        <v>74</v>
      </c>
      <c r="BC406" t="s">
        <v>74</v>
      </c>
      <c r="BD406">
        <v>13584</v>
      </c>
      <c r="BE406" t="s">
        <v>8181</v>
      </c>
      <c r="BF406" t="str">
        <f>HYPERLINK("http://dx.doi.org/10.1038/s41598-021-92947-w","http://dx.doi.org/10.1038/s41598-021-92947-w")</f>
        <v>http://dx.doi.org/10.1038/s41598-021-92947-w</v>
      </c>
      <c r="BG406" t="s">
        <v>74</v>
      </c>
      <c r="BH406" t="s">
        <v>74</v>
      </c>
      <c r="BI406">
        <v>9</v>
      </c>
      <c r="BJ406" t="s">
        <v>2609</v>
      </c>
      <c r="BK406" t="s">
        <v>128</v>
      </c>
      <c r="BL406" t="s">
        <v>2610</v>
      </c>
      <c r="BM406" t="s">
        <v>8182</v>
      </c>
      <c r="BN406">
        <v>34193883</v>
      </c>
      <c r="BO406" t="s">
        <v>131</v>
      </c>
      <c r="BP406" t="s">
        <v>74</v>
      </c>
      <c r="BQ406" t="s">
        <v>74</v>
      </c>
      <c r="BR406" t="s">
        <v>102</v>
      </c>
      <c r="BS406" t="s">
        <v>8183</v>
      </c>
      <c r="BT406" t="str">
        <f>HYPERLINK("https%3A%2F%2Fwww.webofscience.com%2Fwos%2Fwoscc%2Ffull-record%2FWOS:000671791200013","View Full Record in Web of Science")</f>
        <v>View Full Record in Web of Science</v>
      </c>
    </row>
    <row r="407" spans="1:72" x14ac:dyDescent="0.15">
      <c r="A407" t="s">
        <v>72</v>
      </c>
      <c r="B407" t="s">
        <v>8184</v>
      </c>
      <c r="C407" t="s">
        <v>74</v>
      </c>
      <c r="D407" t="s">
        <v>74</v>
      </c>
      <c r="E407" t="s">
        <v>74</v>
      </c>
      <c r="F407" t="s">
        <v>8185</v>
      </c>
      <c r="G407" t="s">
        <v>74</v>
      </c>
      <c r="H407" t="s">
        <v>74</v>
      </c>
      <c r="I407" t="s">
        <v>8186</v>
      </c>
      <c r="J407" t="s">
        <v>3776</v>
      </c>
      <c r="K407" t="s">
        <v>74</v>
      </c>
      <c r="L407" t="s">
        <v>74</v>
      </c>
      <c r="M407" t="s">
        <v>78</v>
      </c>
      <c r="N407" t="s">
        <v>79</v>
      </c>
      <c r="O407" t="s">
        <v>74</v>
      </c>
      <c r="P407" t="s">
        <v>74</v>
      </c>
      <c r="Q407" t="s">
        <v>74</v>
      </c>
      <c r="R407" t="s">
        <v>74</v>
      </c>
      <c r="S407" t="s">
        <v>74</v>
      </c>
      <c r="T407" t="s">
        <v>74</v>
      </c>
      <c r="U407" t="s">
        <v>8187</v>
      </c>
      <c r="V407" t="s">
        <v>8188</v>
      </c>
      <c r="W407" t="s">
        <v>8189</v>
      </c>
      <c r="X407" t="s">
        <v>8190</v>
      </c>
      <c r="Y407" t="s">
        <v>8191</v>
      </c>
      <c r="Z407" t="s">
        <v>8192</v>
      </c>
      <c r="AA407" t="s">
        <v>8193</v>
      </c>
      <c r="AB407" t="s">
        <v>8194</v>
      </c>
      <c r="AC407" t="s">
        <v>8195</v>
      </c>
      <c r="AD407" t="s">
        <v>8196</v>
      </c>
      <c r="AE407" t="s">
        <v>8197</v>
      </c>
      <c r="AF407" t="s">
        <v>74</v>
      </c>
      <c r="AG407">
        <v>34</v>
      </c>
      <c r="AH407">
        <v>2</v>
      </c>
      <c r="AI407">
        <v>2</v>
      </c>
      <c r="AJ407">
        <v>0</v>
      </c>
      <c r="AK407">
        <v>6</v>
      </c>
      <c r="AL407" t="s">
        <v>143</v>
      </c>
      <c r="AM407" t="s">
        <v>144</v>
      </c>
      <c r="AN407" t="s">
        <v>145</v>
      </c>
      <c r="AO407" t="s">
        <v>3788</v>
      </c>
      <c r="AP407" t="s">
        <v>3789</v>
      </c>
      <c r="AQ407" t="s">
        <v>74</v>
      </c>
      <c r="AR407" t="s">
        <v>3790</v>
      </c>
      <c r="AS407" t="s">
        <v>3791</v>
      </c>
      <c r="AT407" t="s">
        <v>8115</v>
      </c>
      <c r="AU407">
        <v>2021</v>
      </c>
      <c r="AV407">
        <v>21</v>
      </c>
      <c r="AW407">
        <v>12</v>
      </c>
      <c r="AX407" t="s">
        <v>74</v>
      </c>
      <c r="AY407" t="s">
        <v>74</v>
      </c>
      <c r="AZ407" t="s">
        <v>74</v>
      </c>
      <c r="BA407" t="s">
        <v>74</v>
      </c>
      <c r="BB407">
        <v>9829</v>
      </c>
      <c r="BC407">
        <v>9838</v>
      </c>
      <c r="BD407" t="s">
        <v>74</v>
      </c>
      <c r="BE407" t="s">
        <v>8198</v>
      </c>
      <c r="BF407" t="str">
        <f>HYPERLINK("http://dx.doi.org/10.5194/acp-21-9829-2021","http://dx.doi.org/10.5194/acp-21-9829-2021")</f>
        <v>http://dx.doi.org/10.5194/acp-21-9829-2021</v>
      </c>
      <c r="BG407" t="s">
        <v>74</v>
      </c>
      <c r="BH407" t="s">
        <v>74</v>
      </c>
      <c r="BI407">
        <v>10</v>
      </c>
      <c r="BJ407" t="s">
        <v>635</v>
      </c>
      <c r="BK407" t="s">
        <v>128</v>
      </c>
      <c r="BL407" t="s">
        <v>636</v>
      </c>
      <c r="BM407" t="s">
        <v>8199</v>
      </c>
      <c r="BN407" t="s">
        <v>74</v>
      </c>
      <c r="BO407" t="s">
        <v>8200</v>
      </c>
      <c r="BP407" t="s">
        <v>74</v>
      </c>
      <c r="BQ407" t="s">
        <v>74</v>
      </c>
      <c r="BR407" t="s">
        <v>102</v>
      </c>
      <c r="BS407" t="s">
        <v>8201</v>
      </c>
      <c r="BT407" t="str">
        <f>HYPERLINK("https%3A%2F%2Fwww.webofscience.com%2Fwos%2Fwoscc%2Ffull-record%2FWOS:000669748200002","View Full Record in Web of Science")</f>
        <v>View Full Record in Web of Science</v>
      </c>
    </row>
    <row r="408" spans="1:72" x14ac:dyDescent="0.15">
      <c r="A408" t="s">
        <v>72</v>
      </c>
      <c r="B408" t="s">
        <v>8202</v>
      </c>
      <c r="C408" t="s">
        <v>74</v>
      </c>
      <c r="D408" t="s">
        <v>74</v>
      </c>
      <c r="E408" t="s">
        <v>74</v>
      </c>
      <c r="F408" t="s">
        <v>8203</v>
      </c>
      <c r="G408" t="s">
        <v>74</v>
      </c>
      <c r="H408" t="s">
        <v>74</v>
      </c>
      <c r="I408" t="s">
        <v>8204</v>
      </c>
      <c r="J408" t="s">
        <v>8205</v>
      </c>
      <c r="K408" t="s">
        <v>74</v>
      </c>
      <c r="L408" t="s">
        <v>74</v>
      </c>
      <c r="M408" t="s">
        <v>78</v>
      </c>
      <c r="N408" t="s">
        <v>644</v>
      </c>
      <c r="O408" t="s">
        <v>74</v>
      </c>
      <c r="P408" t="s">
        <v>74</v>
      </c>
      <c r="Q408" t="s">
        <v>74</v>
      </c>
      <c r="R408" t="s">
        <v>74</v>
      </c>
      <c r="S408" t="s">
        <v>74</v>
      </c>
      <c r="T408" t="s">
        <v>74</v>
      </c>
      <c r="U408" t="s">
        <v>8206</v>
      </c>
      <c r="V408" t="s">
        <v>8207</v>
      </c>
      <c r="W408" t="s">
        <v>8208</v>
      </c>
      <c r="X408" t="s">
        <v>8209</v>
      </c>
      <c r="Y408" t="s">
        <v>8210</v>
      </c>
      <c r="Z408" t="s">
        <v>8211</v>
      </c>
      <c r="AA408" t="s">
        <v>8212</v>
      </c>
      <c r="AB408" t="s">
        <v>8213</v>
      </c>
      <c r="AC408" t="s">
        <v>8214</v>
      </c>
      <c r="AD408" t="s">
        <v>8215</v>
      </c>
      <c r="AE408" t="s">
        <v>8216</v>
      </c>
      <c r="AF408" t="s">
        <v>74</v>
      </c>
      <c r="AG408">
        <v>20</v>
      </c>
      <c r="AH408">
        <v>9</v>
      </c>
      <c r="AI408">
        <v>9</v>
      </c>
      <c r="AJ408">
        <v>2</v>
      </c>
      <c r="AK408">
        <v>11</v>
      </c>
      <c r="AL408" t="s">
        <v>3453</v>
      </c>
      <c r="AM408" t="s">
        <v>368</v>
      </c>
      <c r="AN408" t="s">
        <v>3454</v>
      </c>
      <c r="AO408" t="s">
        <v>74</v>
      </c>
      <c r="AP408" t="s">
        <v>8217</v>
      </c>
      <c r="AQ408" t="s">
        <v>74</v>
      </c>
      <c r="AR408" t="s">
        <v>8218</v>
      </c>
      <c r="AS408" t="s">
        <v>8219</v>
      </c>
      <c r="AT408" t="s">
        <v>8115</v>
      </c>
      <c r="AU408">
        <v>2021</v>
      </c>
      <c r="AV408">
        <v>2</v>
      </c>
      <c r="AW408">
        <v>1</v>
      </c>
      <c r="AX408" t="s">
        <v>74</v>
      </c>
      <c r="AY408" t="s">
        <v>74</v>
      </c>
      <c r="AZ408" t="s">
        <v>74</v>
      </c>
      <c r="BA408" t="s">
        <v>74</v>
      </c>
      <c r="BB408" t="s">
        <v>74</v>
      </c>
      <c r="BC408" t="s">
        <v>74</v>
      </c>
      <c r="BD408">
        <v>136</v>
      </c>
      <c r="BE408" t="s">
        <v>8220</v>
      </c>
      <c r="BF408" t="str">
        <f>HYPERLINK("http://dx.doi.org/10.1038/s43247-021-00209-4","http://dx.doi.org/10.1038/s43247-021-00209-4")</f>
        <v>http://dx.doi.org/10.1038/s43247-021-00209-4</v>
      </c>
      <c r="BG408" t="s">
        <v>74</v>
      </c>
      <c r="BH408" t="s">
        <v>74</v>
      </c>
      <c r="BI408">
        <v>4</v>
      </c>
      <c r="BJ408" t="s">
        <v>1044</v>
      </c>
      <c r="BK408" t="s">
        <v>128</v>
      </c>
      <c r="BL408" t="s">
        <v>1045</v>
      </c>
      <c r="BM408" t="s">
        <v>8221</v>
      </c>
      <c r="BN408" t="s">
        <v>74</v>
      </c>
      <c r="BO408" t="s">
        <v>486</v>
      </c>
      <c r="BP408" t="s">
        <v>74</v>
      </c>
      <c r="BQ408" t="s">
        <v>74</v>
      </c>
      <c r="BR408" t="s">
        <v>102</v>
      </c>
      <c r="BS408" t="s">
        <v>8222</v>
      </c>
      <c r="BT408" t="str">
        <f>HYPERLINK("https%3A%2F%2Fwww.webofscience.com%2Fwos%2Fwoscc%2Ffull-record%2FWOS:000670607500001","View Full Record in Web of Science")</f>
        <v>View Full Record in Web of Science</v>
      </c>
    </row>
    <row r="409" spans="1:72" x14ac:dyDescent="0.15">
      <c r="A409" t="s">
        <v>72</v>
      </c>
      <c r="B409" t="s">
        <v>8223</v>
      </c>
      <c r="C409" t="s">
        <v>74</v>
      </c>
      <c r="D409" t="s">
        <v>74</v>
      </c>
      <c r="E409" t="s">
        <v>74</v>
      </c>
      <c r="F409" t="s">
        <v>8224</v>
      </c>
      <c r="G409" t="s">
        <v>74</v>
      </c>
      <c r="H409" t="s">
        <v>74</v>
      </c>
      <c r="I409" t="s">
        <v>8225</v>
      </c>
      <c r="J409" t="s">
        <v>2862</v>
      </c>
      <c r="K409" t="s">
        <v>74</v>
      </c>
      <c r="L409" t="s">
        <v>74</v>
      </c>
      <c r="M409" t="s">
        <v>78</v>
      </c>
      <c r="N409" t="s">
        <v>79</v>
      </c>
      <c r="O409" t="s">
        <v>74</v>
      </c>
      <c r="P409" t="s">
        <v>74</v>
      </c>
      <c r="Q409" t="s">
        <v>74</v>
      </c>
      <c r="R409" t="s">
        <v>74</v>
      </c>
      <c r="S409" t="s">
        <v>74</v>
      </c>
      <c r="T409" t="s">
        <v>8226</v>
      </c>
      <c r="U409" t="s">
        <v>8227</v>
      </c>
      <c r="V409" t="s">
        <v>8228</v>
      </c>
      <c r="W409" t="s">
        <v>8229</v>
      </c>
      <c r="X409" t="s">
        <v>8230</v>
      </c>
      <c r="Y409" t="s">
        <v>8231</v>
      </c>
      <c r="Z409" t="s">
        <v>8232</v>
      </c>
      <c r="AA409" t="s">
        <v>8233</v>
      </c>
      <c r="AB409" t="s">
        <v>8234</v>
      </c>
      <c r="AC409" t="s">
        <v>74</v>
      </c>
      <c r="AD409" t="s">
        <v>74</v>
      </c>
      <c r="AE409" t="s">
        <v>74</v>
      </c>
      <c r="AF409" t="s">
        <v>74</v>
      </c>
      <c r="AG409">
        <v>49</v>
      </c>
      <c r="AH409">
        <v>3</v>
      </c>
      <c r="AI409">
        <v>3</v>
      </c>
      <c r="AJ409">
        <v>1</v>
      </c>
      <c r="AK409">
        <v>4</v>
      </c>
      <c r="AL409" t="s">
        <v>450</v>
      </c>
      <c r="AM409" t="s">
        <v>650</v>
      </c>
      <c r="AN409" t="s">
        <v>1957</v>
      </c>
      <c r="AO409" t="s">
        <v>2874</v>
      </c>
      <c r="AP409" t="s">
        <v>2875</v>
      </c>
      <c r="AQ409" t="s">
        <v>74</v>
      </c>
      <c r="AR409" t="s">
        <v>2876</v>
      </c>
      <c r="AS409" t="s">
        <v>2877</v>
      </c>
      <c r="AT409" t="s">
        <v>535</v>
      </c>
      <c r="AU409">
        <v>2021</v>
      </c>
      <c r="AV409">
        <v>44</v>
      </c>
      <c r="AW409">
        <v>8</v>
      </c>
      <c r="AX409" t="s">
        <v>74</v>
      </c>
      <c r="AY409" t="s">
        <v>74</v>
      </c>
      <c r="AZ409" t="s">
        <v>74</v>
      </c>
      <c r="BA409" t="s">
        <v>74</v>
      </c>
      <c r="BB409">
        <v>1725</v>
      </c>
      <c r="BC409">
        <v>1735</v>
      </c>
      <c r="BD409" t="s">
        <v>74</v>
      </c>
      <c r="BE409" t="s">
        <v>8235</v>
      </c>
      <c r="BF409" t="str">
        <f>HYPERLINK("http://dx.doi.org/10.1007/s00300-021-02913-5","http://dx.doi.org/10.1007/s00300-021-02913-5")</f>
        <v>http://dx.doi.org/10.1007/s00300-021-02913-5</v>
      </c>
      <c r="BG409" t="s">
        <v>74</v>
      </c>
      <c r="BH409" t="s">
        <v>8134</v>
      </c>
      <c r="BI409">
        <v>11</v>
      </c>
      <c r="BJ409" t="s">
        <v>1883</v>
      </c>
      <c r="BK409" t="s">
        <v>128</v>
      </c>
      <c r="BL409" t="s">
        <v>207</v>
      </c>
      <c r="BM409" t="s">
        <v>5619</v>
      </c>
      <c r="BN409" t="s">
        <v>74</v>
      </c>
      <c r="BO409" t="s">
        <v>74</v>
      </c>
      <c r="BP409" t="s">
        <v>74</v>
      </c>
      <c r="BQ409" t="s">
        <v>74</v>
      </c>
      <c r="BR409" t="s">
        <v>102</v>
      </c>
      <c r="BS409" t="s">
        <v>8236</v>
      </c>
      <c r="BT409" t="str">
        <f>HYPERLINK("https%3A%2F%2Fwww.webofscience.com%2Fwos%2Fwoscc%2Ffull-record%2FWOS:000668431500002","View Full Record in Web of Science")</f>
        <v>View Full Record in Web of Science</v>
      </c>
    </row>
    <row r="410" spans="1:72" x14ac:dyDescent="0.15">
      <c r="A410" t="s">
        <v>72</v>
      </c>
      <c r="B410" t="s">
        <v>8237</v>
      </c>
      <c r="C410" t="s">
        <v>74</v>
      </c>
      <c r="D410" t="s">
        <v>74</v>
      </c>
      <c r="E410" t="s">
        <v>74</v>
      </c>
      <c r="F410" t="s">
        <v>8238</v>
      </c>
      <c r="G410" t="s">
        <v>74</v>
      </c>
      <c r="H410" t="s">
        <v>8239</v>
      </c>
      <c r="I410" t="s">
        <v>8240</v>
      </c>
      <c r="J410" t="s">
        <v>8241</v>
      </c>
      <c r="K410" t="s">
        <v>74</v>
      </c>
      <c r="L410" t="s">
        <v>74</v>
      </c>
      <c r="M410" t="s">
        <v>78</v>
      </c>
      <c r="N410" t="s">
        <v>79</v>
      </c>
      <c r="O410" t="s">
        <v>74</v>
      </c>
      <c r="P410" t="s">
        <v>74</v>
      </c>
      <c r="Q410" t="s">
        <v>74</v>
      </c>
      <c r="R410" t="s">
        <v>74</v>
      </c>
      <c r="S410" t="s">
        <v>74</v>
      </c>
      <c r="T410" t="s">
        <v>74</v>
      </c>
      <c r="U410" t="s">
        <v>8242</v>
      </c>
      <c r="V410" t="s">
        <v>8243</v>
      </c>
      <c r="W410" t="s">
        <v>8244</v>
      </c>
      <c r="X410" t="s">
        <v>8245</v>
      </c>
      <c r="Y410" t="s">
        <v>8246</v>
      </c>
      <c r="Z410" t="s">
        <v>8247</v>
      </c>
      <c r="AA410" t="s">
        <v>8248</v>
      </c>
      <c r="AB410" t="s">
        <v>74</v>
      </c>
      <c r="AC410" t="s">
        <v>8249</v>
      </c>
      <c r="AD410" t="s">
        <v>8250</v>
      </c>
      <c r="AE410" t="s">
        <v>8251</v>
      </c>
      <c r="AF410" t="s">
        <v>74</v>
      </c>
      <c r="AG410">
        <v>35</v>
      </c>
      <c r="AH410">
        <v>4</v>
      </c>
      <c r="AI410">
        <v>4</v>
      </c>
      <c r="AJ410">
        <v>0</v>
      </c>
      <c r="AK410">
        <v>2</v>
      </c>
      <c r="AL410" t="s">
        <v>8252</v>
      </c>
      <c r="AM410" t="s">
        <v>8253</v>
      </c>
      <c r="AN410" t="s">
        <v>8254</v>
      </c>
      <c r="AO410" t="s">
        <v>8255</v>
      </c>
      <c r="AP410" t="s">
        <v>8256</v>
      </c>
      <c r="AQ410" t="s">
        <v>74</v>
      </c>
      <c r="AR410" t="s">
        <v>8257</v>
      </c>
      <c r="AS410" t="s">
        <v>8258</v>
      </c>
      <c r="AT410" t="s">
        <v>96</v>
      </c>
      <c r="AU410">
        <v>2021</v>
      </c>
      <c r="AV410">
        <v>21</v>
      </c>
      <c r="AW410">
        <v>6</v>
      </c>
      <c r="AX410" t="s">
        <v>74</v>
      </c>
      <c r="AY410" t="s">
        <v>74</v>
      </c>
      <c r="AZ410" t="s">
        <v>74</v>
      </c>
      <c r="BA410" t="s">
        <v>74</v>
      </c>
      <c r="BB410">
        <v>681</v>
      </c>
      <c r="BC410">
        <v>691</v>
      </c>
      <c r="BD410" t="s">
        <v>74</v>
      </c>
      <c r="BE410" t="s">
        <v>8259</v>
      </c>
      <c r="BF410" t="str">
        <f>HYPERLINK("http://dx.doi.org/10.1007/s40256-021-00468-8","http://dx.doi.org/10.1007/s40256-021-00468-8")</f>
        <v>http://dx.doi.org/10.1007/s40256-021-00468-8</v>
      </c>
      <c r="BG410" t="s">
        <v>74</v>
      </c>
      <c r="BH410" t="s">
        <v>8134</v>
      </c>
      <c r="BI410">
        <v>11</v>
      </c>
      <c r="BJ410" t="s">
        <v>8260</v>
      </c>
      <c r="BK410" t="s">
        <v>128</v>
      </c>
      <c r="BL410" t="s">
        <v>8261</v>
      </c>
      <c r="BM410" t="s">
        <v>8262</v>
      </c>
      <c r="BN410">
        <v>34191259</v>
      </c>
      <c r="BO410" t="s">
        <v>74</v>
      </c>
      <c r="BP410" t="s">
        <v>74</v>
      </c>
      <c r="BQ410" t="s">
        <v>74</v>
      </c>
      <c r="BR410" t="s">
        <v>102</v>
      </c>
      <c r="BS410" t="s">
        <v>8263</v>
      </c>
      <c r="BT410" t="str">
        <f>HYPERLINK("https%3A%2F%2Fwww.webofscience.com%2Fwos%2Fwoscc%2Ffull-record%2FWOS:000668429000001","View Full Record in Web of Science")</f>
        <v>View Full Record in Web of Science</v>
      </c>
    </row>
    <row r="411" spans="1:72" x14ac:dyDescent="0.15">
      <c r="A411" t="s">
        <v>72</v>
      </c>
      <c r="B411" t="s">
        <v>8264</v>
      </c>
      <c r="C411" t="s">
        <v>74</v>
      </c>
      <c r="D411" t="s">
        <v>74</v>
      </c>
      <c r="E411" t="s">
        <v>74</v>
      </c>
      <c r="F411" t="s">
        <v>8265</v>
      </c>
      <c r="G411" t="s">
        <v>74</v>
      </c>
      <c r="H411" t="s">
        <v>74</v>
      </c>
      <c r="I411" t="s">
        <v>8266</v>
      </c>
      <c r="J411" t="s">
        <v>4481</v>
      </c>
      <c r="K411" t="s">
        <v>74</v>
      </c>
      <c r="L411" t="s">
        <v>74</v>
      </c>
      <c r="M411" t="s">
        <v>78</v>
      </c>
      <c r="N411" t="s">
        <v>79</v>
      </c>
      <c r="O411" t="s">
        <v>74</v>
      </c>
      <c r="P411" t="s">
        <v>74</v>
      </c>
      <c r="Q411" t="s">
        <v>74</v>
      </c>
      <c r="R411" t="s">
        <v>74</v>
      </c>
      <c r="S411" t="s">
        <v>74</v>
      </c>
      <c r="T411" t="s">
        <v>8267</v>
      </c>
      <c r="U411" t="s">
        <v>8268</v>
      </c>
      <c r="V411" t="s">
        <v>8269</v>
      </c>
      <c r="W411" t="s">
        <v>8270</v>
      </c>
      <c r="X411" t="s">
        <v>8271</v>
      </c>
      <c r="Y411" t="s">
        <v>8272</v>
      </c>
      <c r="Z411" t="s">
        <v>8273</v>
      </c>
      <c r="AA411" t="s">
        <v>74</v>
      </c>
      <c r="AB411" t="s">
        <v>8274</v>
      </c>
      <c r="AC411" t="s">
        <v>8275</v>
      </c>
      <c r="AD411" t="s">
        <v>8276</v>
      </c>
      <c r="AE411" t="s">
        <v>8277</v>
      </c>
      <c r="AF411" t="s">
        <v>74</v>
      </c>
      <c r="AG411">
        <v>42</v>
      </c>
      <c r="AH411">
        <v>4</v>
      </c>
      <c r="AI411">
        <v>4</v>
      </c>
      <c r="AJ411">
        <v>3</v>
      </c>
      <c r="AK411">
        <v>21</v>
      </c>
      <c r="AL411" t="s">
        <v>4494</v>
      </c>
      <c r="AM411" t="s">
        <v>4495</v>
      </c>
      <c r="AN411" t="s">
        <v>4496</v>
      </c>
      <c r="AO411" t="s">
        <v>4497</v>
      </c>
      <c r="AP411" t="s">
        <v>4498</v>
      </c>
      <c r="AQ411" t="s">
        <v>74</v>
      </c>
      <c r="AR411" t="s">
        <v>4499</v>
      </c>
      <c r="AS411" t="s">
        <v>4500</v>
      </c>
      <c r="AT411" t="s">
        <v>204</v>
      </c>
      <c r="AU411">
        <v>2021</v>
      </c>
      <c r="AV411">
        <v>201</v>
      </c>
      <c r="AW411" t="s">
        <v>74</v>
      </c>
      <c r="AX411" t="s">
        <v>74</v>
      </c>
      <c r="AY411" t="s">
        <v>74</v>
      </c>
      <c r="AZ411" t="s">
        <v>74</v>
      </c>
      <c r="BA411" t="s">
        <v>74</v>
      </c>
      <c r="BB411" t="s">
        <v>74</v>
      </c>
      <c r="BC411" t="s">
        <v>74</v>
      </c>
      <c r="BD411">
        <v>111561</v>
      </c>
      <c r="BE411" t="s">
        <v>8278</v>
      </c>
      <c r="BF411" t="str">
        <f>HYPERLINK("http://dx.doi.org/10.1016/j.envres.2021.111561","http://dx.doi.org/10.1016/j.envres.2021.111561")</f>
        <v>http://dx.doi.org/10.1016/j.envres.2021.111561</v>
      </c>
      <c r="BG411" t="s">
        <v>74</v>
      </c>
      <c r="BH411" t="s">
        <v>8134</v>
      </c>
      <c r="BI411">
        <v>7</v>
      </c>
      <c r="BJ411" t="s">
        <v>4502</v>
      </c>
      <c r="BK411" t="s">
        <v>128</v>
      </c>
      <c r="BL411" t="s">
        <v>4503</v>
      </c>
      <c r="BM411" t="s">
        <v>8279</v>
      </c>
      <c r="BN411">
        <v>34175288</v>
      </c>
      <c r="BO411" t="s">
        <v>74</v>
      </c>
      <c r="BP411" t="s">
        <v>74</v>
      </c>
      <c r="BQ411" t="s">
        <v>74</v>
      </c>
      <c r="BR411" t="s">
        <v>102</v>
      </c>
      <c r="BS411" t="s">
        <v>8280</v>
      </c>
      <c r="BT411" t="str">
        <f>HYPERLINK("https%3A%2F%2Fwww.webofscience.com%2Fwos%2Fwoscc%2Ffull-record%2FWOS:000703572500003","View Full Record in Web of Science")</f>
        <v>View Full Record in Web of Science</v>
      </c>
    </row>
    <row r="412" spans="1:72" x14ac:dyDescent="0.15">
      <c r="A412" t="s">
        <v>72</v>
      </c>
      <c r="B412" t="s">
        <v>8281</v>
      </c>
      <c r="C412" t="s">
        <v>74</v>
      </c>
      <c r="D412" t="s">
        <v>74</v>
      </c>
      <c r="E412" t="s">
        <v>74</v>
      </c>
      <c r="F412" t="s">
        <v>8282</v>
      </c>
      <c r="G412" t="s">
        <v>74</v>
      </c>
      <c r="H412" t="s">
        <v>74</v>
      </c>
      <c r="I412" t="s">
        <v>8283</v>
      </c>
      <c r="J412" t="s">
        <v>3253</v>
      </c>
      <c r="K412" t="s">
        <v>74</v>
      </c>
      <c r="L412" t="s">
        <v>74</v>
      </c>
      <c r="M412" t="s">
        <v>78</v>
      </c>
      <c r="N412" t="s">
        <v>79</v>
      </c>
      <c r="O412" t="s">
        <v>74</v>
      </c>
      <c r="P412" t="s">
        <v>74</v>
      </c>
      <c r="Q412" t="s">
        <v>74</v>
      </c>
      <c r="R412" t="s">
        <v>74</v>
      </c>
      <c r="S412" t="s">
        <v>74</v>
      </c>
      <c r="T412" t="s">
        <v>74</v>
      </c>
      <c r="U412" t="s">
        <v>8284</v>
      </c>
      <c r="V412" t="s">
        <v>8285</v>
      </c>
      <c r="W412" t="s">
        <v>8286</v>
      </c>
      <c r="X412" t="s">
        <v>8287</v>
      </c>
      <c r="Y412" t="s">
        <v>8288</v>
      </c>
      <c r="Z412" t="s">
        <v>8289</v>
      </c>
      <c r="AA412" t="s">
        <v>8290</v>
      </c>
      <c r="AB412" t="s">
        <v>8291</v>
      </c>
      <c r="AC412" t="s">
        <v>8292</v>
      </c>
      <c r="AD412" t="s">
        <v>8293</v>
      </c>
      <c r="AE412" t="s">
        <v>8294</v>
      </c>
      <c r="AF412" t="s">
        <v>74</v>
      </c>
      <c r="AG412">
        <v>53</v>
      </c>
      <c r="AH412">
        <v>2</v>
      </c>
      <c r="AI412">
        <v>3</v>
      </c>
      <c r="AJ412">
        <v>6</v>
      </c>
      <c r="AK412">
        <v>47</v>
      </c>
      <c r="AL412" t="s">
        <v>3265</v>
      </c>
      <c r="AM412" t="s">
        <v>2239</v>
      </c>
      <c r="AN412" t="s">
        <v>3266</v>
      </c>
      <c r="AO412" t="s">
        <v>3267</v>
      </c>
      <c r="AP412" t="s">
        <v>3268</v>
      </c>
      <c r="AQ412" t="s">
        <v>74</v>
      </c>
      <c r="AR412" t="s">
        <v>3269</v>
      </c>
      <c r="AS412" t="s">
        <v>3270</v>
      </c>
      <c r="AT412" t="s">
        <v>3271</v>
      </c>
      <c r="AU412">
        <v>2021</v>
      </c>
      <c r="AV412">
        <v>23</v>
      </c>
      <c r="AW412">
        <v>9</v>
      </c>
      <c r="AX412" t="s">
        <v>74</v>
      </c>
      <c r="AY412" t="s">
        <v>74</v>
      </c>
      <c r="AZ412" t="s">
        <v>74</v>
      </c>
      <c r="BA412" t="s">
        <v>74</v>
      </c>
      <c r="BB412">
        <v>1316</v>
      </c>
      <c r="BC412">
        <v>1327</v>
      </c>
      <c r="BD412" t="s">
        <v>74</v>
      </c>
      <c r="BE412" t="s">
        <v>8295</v>
      </c>
      <c r="BF412" t="str">
        <f>HYPERLINK("http://dx.doi.org/10.1039/d1em00089f","http://dx.doi.org/10.1039/d1em00089f")</f>
        <v>http://dx.doi.org/10.1039/d1em00089f</v>
      </c>
      <c r="BG412" t="s">
        <v>74</v>
      </c>
      <c r="BH412" t="s">
        <v>8134</v>
      </c>
      <c r="BI412">
        <v>12</v>
      </c>
      <c r="BJ412" t="s">
        <v>3273</v>
      </c>
      <c r="BK412" t="s">
        <v>128</v>
      </c>
      <c r="BL412" t="s">
        <v>3274</v>
      </c>
      <c r="BM412" t="s">
        <v>3275</v>
      </c>
      <c r="BN412">
        <v>34318848</v>
      </c>
      <c r="BO412" t="s">
        <v>74</v>
      </c>
      <c r="BP412" t="s">
        <v>74</v>
      </c>
      <c r="BQ412" t="s">
        <v>74</v>
      </c>
      <c r="BR412" t="s">
        <v>102</v>
      </c>
      <c r="BS412" t="s">
        <v>8296</v>
      </c>
      <c r="BT412" t="str">
        <f>HYPERLINK("https%3A%2F%2Fwww.webofscience.com%2Fwos%2Fwoscc%2Ffull-record%2FWOS:000678160600001","View Full Record in Web of Science")</f>
        <v>View Full Record in Web of Science</v>
      </c>
    </row>
    <row r="413" spans="1:72" x14ac:dyDescent="0.15">
      <c r="A413" t="s">
        <v>72</v>
      </c>
      <c r="B413" t="s">
        <v>8297</v>
      </c>
      <c r="C413" t="s">
        <v>74</v>
      </c>
      <c r="D413" t="s">
        <v>74</v>
      </c>
      <c r="E413" t="s">
        <v>74</v>
      </c>
      <c r="F413" t="s">
        <v>8298</v>
      </c>
      <c r="G413" t="s">
        <v>74</v>
      </c>
      <c r="H413" t="s">
        <v>74</v>
      </c>
      <c r="I413" t="s">
        <v>8299</v>
      </c>
      <c r="J413" t="s">
        <v>6179</v>
      </c>
      <c r="K413" t="s">
        <v>74</v>
      </c>
      <c r="L413" t="s">
        <v>74</v>
      </c>
      <c r="M413" t="s">
        <v>78</v>
      </c>
      <c r="N413" t="s">
        <v>79</v>
      </c>
      <c r="O413" t="s">
        <v>74</v>
      </c>
      <c r="P413" t="s">
        <v>74</v>
      </c>
      <c r="Q413" t="s">
        <v>74</v>
      </c>
      <c r="R413" t="s">
        <v>74</v>
      </c>
      <c r="S413" t="s">
        <v>74</v>
      </c>
      <c r="T413" t="s">
        <v>74</v>
      </c>
      <c r="U413" t="s">
        <v>8300</v>
      </c>
      <c r="V413" t="s">
        <v>8301</v>
      </c>
      <c r="W413" t="s">
        <v>8302</v>
      </c>
      <c r="X413" t="s">
        <v>8303</v>
      </c>
      <c r="Y413" t="s">
        <v>8304</v>
      </c>
      <c r="Z413" t="s">
        <v>8305</v>
      </c>
      <c r="AA413" t="s">
        <v>8306</v>
      </c>
      <c r="AB413" t="s">
        <v>8307</v>
      </c>
      <c r="AC413" t="s">
        <v>8308</v>
      </c>
      <c r="AD413" t="s">
        <v>8309</v>
      </c>
      <c r="AE413" t="s">
        <v>8310</v>
      </c>
      <c r="AF413" t="s">
        <v>74</v>
      </c>
      <c r="AG413">
        <v>87</v>
      </c>
      <c r="AH413">
        <v>13</v>
      </c>
      <c r="AI413">
        <v>13</v>
      </c>
      <c r="AJ413">
        <v>4</v>
      </c>
      <c r="AK413">
        <v>30</v>
      </c>
      <c r="AL413" t="s">
        <v>143</v>
      </c>
      <c r="AM413" t="s">
        <v>144</v>
      </c>
      <c r="AN413" t="s">
        <v>145</v>
      </c>
      <c r="AO413" t="s">
        <v>6191</v>
      </c>
      <c r="AP413" t="s">
        <v>6192</v>
      </c>
      <c r="AQ413" t="s">
        <v>74</v>
      </c>
      <c r="AR413" t="s">
        <v>6193</v>
      </c>
      <c r="AS413" t="s">
        <v>6194</v>
      </c>
      <c r="AT413" t="s">
        <v>8311</v>
      </c>
      <c r="AU413">
        <v>2021</v>
      </c>
      <c r="AV413">
        <v>13</v>
      </c>
      <c r="AW413">
        <v>6</v>
      </c>
      <c r="AX413" t="s">
        <v>74</v>
      </c>
      <c r="AY413" t="s">
        <v>74</v>
      </c>
      <c r="AZ413" t="s">
        <v>74</v>
      </c>
      <c r="BA413" t="s">
        <v>74</v>
      </c>
      <c r="BB413">
        <v>3057</v>
      </c>
      <c r="BC413">
        <v>3074</v>
      </c>
      <c r="BD413" t="s">
        <v>74</v>
      </c>
      <c r="BE413" t="s">
        <v>8312</v>
      </c>
      <c r="BF413" t="str">
        <f>HYPERLINK("http://dx.doi.org/10.5194/essd-13-3057-2021","http://dx.doi.org/10.5194/essd-13-3057-2021")</f>
        <v>http://dx.doi.org/10.5194/essd-13-3057-2021</v>
      </c>
      <c r="BG413" t="s">
        <v>74</v>
      </c>
      <c r="BH413" t="s">
        <v>74</v>
      </c>
      <c r="BI413">
        <v>18</v>
      </c>
      <c r="BJ413" t="s">
        <v>176</v>
      </c>
      <c r="BK413" t="s">
        <v>128</v>
      </c>
      <c r="BL413" t="s">
        <v>177</v>
      </c>
      <c r="BM413" t="s">
        <v>8313</v>
      </c>
      <c r="BN413" t="s">
        <v>74</v>
      </c>
      <c r="BO413" t="s">
        <v>353</v>
      </c>
      <c r="BP413" t="s">
        <v>74</v>
      </c>
      <c r="BQ413" t="s">
        <v>74</v>
      </c>
      <c r="BR413" t="s">
        <v>102</v>
      </c>
      <c r="BS413" t="s">
        <v>8314</v>
      </c>
      <c r="BT413" t="str">
        <f>HYPERLINK("https%3A%2F%2Fwww.webofscience.com%2Fwos%2Fwoscc%2Ffull-record%2FWOS:000669510400002","View Full Record in Web of Science")</f>
        <v>View Full Record in Web of Science</v>
      </c>
    </row>
    <row r="414" spans="1:72" x14ac:dyDescent="0.15">
      <c r="A414" t="s">
        <v>72</v>
      </c>
      <c r="B414" t="s">
        <v>8315</v>
      </c>
      <c r="C414" t="s">
        <v>74</v>
      </c>
      <c r="D414" t="s">
        <v>74</v>
      </c>
      <c r="E414" t="s">
        <v>74</v>
      </c>
      <c r="F414" t="s">
        <v>8316</v>
      </c>
      <c r="G414" t="s">
        <v>74</v>
      </c>
      <c r="H414" t="s">
        <v>74</v>
      </c>
      <c r="I414" t="s">
        <v>8317</v>
      </c>
      <c r="J414" t="s">
        <v>8205</v>
      </c>
      <c r="K414" t="s">
        <v>74</v>
      </c>
      <c r="L414" t="s">
        <v>74</v>
      </c>
      <c r="M414" t="s">
        <v>78</v>
      </c>
      <c r="N414" t="s">
        <v>79</v>
      </c>
      <c r="O414" t="s">
        <v>74</v>
      </c>
      <c r="P414" t="s">
        <v>74</v>
      </c>
      <c r="Q414" t="s">
        <v>74</v>
      </c>
      <c r="R414" t="s">
        <v>74</v>
      </c>
      <c r="S414" t="s">
        <v>74</v>
      </c>
      <c r="T414" t="s">
        <v>74</v>
      </c>
      <c r="U414" t="s">
        <v>8318</v>
      </c>
      <c r="V414" t="s">
        <v>8319</v>
      </c>
      <c r="W414" t="s">
        <v>8320</v>
      </c>
      <c r="X414" t="s">
        <v>8321</v>
      </c>
      <c r="Y414" t="s">
        <v>8322</v>
      </c>
      <c r="Z414" t="s">
        <v>8323</v>
      </c>
      <c r="AA414" t="s">
        <v>8324</v>
      </c>
      <c r="AB414" t="s">
        <v>8325</v>
      </c>
      <c r="AC414" t="s">
        <v>8326</v>
      </c>
      <c r="AD414" t="s">
        <v>8327</v>
      </c>
      <c r="AE414" t="s">
        <v>8328</v>
      </c>
      <c r="AF414" t="s">
        <v>74</v>
      </c>
      <c r="AG414">
        <v>81</v>
      </c>
      <c r="AH414">
        <v>7</v>
      </c>
      <c r="AI414">
        <v>8</v>
      </c>
      <c r="AJ414">
        <v>2</v>
      </c>
      <c r="AK414">
        <v>22</v>
      </c>
      <c r="AL414" t="s">
        <v>3453</v>
      </c>
      <c r="AM414" t="s">
        <v>368</v>
      </c>
      <c r="AN414" t="s">
        <v>3454</v>
      </c>
      <c r="AO414" t="s">
        <v>74</v>
      </c>
      <c r="AP414" t="s">
        <v>8217</v>
      </c>
      <c r="AQ414" t="s">
        <v>74</v>
      </c>
      <c r="AR414" t="s">
        <v>8218</v>
      </c>
      <c r="AS414" t="s">
        <v>8219</v>
      </c>
      <c r="AT414" t="s">
        <v>8311</v>
      </c>
      <c r="AU414">
        <v>2021</v>
      </c>
      <c r="AV414">
        <v>2</v>
      </c>
      <c r="AW414">
        <v>1</v>
      </c>
      <c r="AX414" t="s">
        <v>74</v>
      </c>
      <c r="AY414" t="s">
        <v>74</v>
      </c>
      <c r="AZ414" t="s">
        <v>74</v>
      </c>
      <c r="BA414" t="s">
        <v>74</v>
      </c>
      <c r="BB414" t="s">
        <v>74</v>
      </c>
      <c r="BC414" t="s">
        <v>74</v>
      </c>
      <c r="BD414">
        <v>134</v>
      </c>
      <c r="BE414" t="s">
        <v>8329</v>
      </c>
      <c r="BF414" t="str">
        <f>HYPERLINK("http://dx.doi.org/10.1038/s43247-021-00202-x","http://dx.doi.org/10.1038/s43247-021-00202-x")</f>
        <v>http://dx.doi.org/10.1038/s43247-021-00202-x</v>
      </c>
      <c r="BG414" t="s">
        <v>74</v>
      </c>
      <c r="BH414" t="s">
        <v>74</v>
      </c>
      <c r="BI414">
        <v>12</v>
      </c>
      <c r="BJ414" t="s">
        <v>1044</v>
      </c>
      <c r="BK414" t="s">
        <v>128</v>
      </c>
      <c r="BL414" t="s">
        <v>1045</v>
      </c>
      <c r="BM414" t="s">
        <v>8330</v>
      </c>
      <c r="BN414" t="s">
        <v>74</v>
      </c>
      <c r="BO414" t="s">
        <v>1377</v>
      </c>
      <c r="BP414" t="s">
        <v>74</v>
      </c>
      <c r="BQ414" t="s">
        <v>74</v>
      </c>
      <c r="BR414" t="s">
        <v>102</v>
      </c>
      <c r="BS414" t="s">
        <v>8331</v>
      </c>
      <c r="BT414" t="str">
        <f>HYPERLINK("https%3A%2F%2Fwww.webofscience.com%2Fwos%2Fwoscc%2Ffull-record%2FWOS:000669992000001","View Full Record in Web of Science")</f>
        <v>View Full Record in Web of Science</v>
      </c>
    </row>
    <row r="415" spans="1:72" x14ac:dyDescent="0.15">
      <c r="A415" t="s">
        <v>72</v>
      </c>
      <c r="B415" t="s">
        <v>8332</v>
      </c>
      <c r="C415" t="s">
        <v>74</v>
      </c>
      <c r="D415" t="s">
        <v>74</v>
      </c>
      <c r="E415" t="s">
        <v>74</v>
      </c>
      <c r="F415" t="s">
        <v>8333</v>
      </c>
      <c r="G415" t="s">
        <v>74</v>
      </c>
      <c r="H415" t="s">
        <v>74</v>
      </c>
      <c r="I415" t="s">
        <v>8334</v>
      </c>
      <c r="J415" t="s">
        <v>8335</v>
      </c>
      <c r="K415" t="s">
        <v>74</v>
      </c>
      <c r="L415" t="s">
        <v>74</v>
      </c>
      <c r="M415" t="s">
        <v>78</v>
      </c>
      <c r="N415" t="s">
        <v>79</v>
      </c>
      <c r="O415" t="s">
        <v>74</v>
      </c>
      <c r="P415" t="s">
        <v>74</v>
      </c>
      <c r="Q415" t="s">
        <v>74</v>
      </c>
      <c r="R415" t="s">
        <v>74</v>
      </c>
      <c r="S415" t="s">
        <v>74</v>
      </c>
      <c r="T415" t="s">
        <v>74</v>
      </c>
      <c r="U415" t="s">
        <v>8336</v>
      </c>
      <c r="V415" t="s">
        <v>8337</v>
      </c>
      <c r="W415" t="s">
        <v>8338</v>
      </c>
      <c r="X415" t="s">
        <v>8339</v>
      </c>
      <c r="Y415" t="s">
        <v>8340</v>
      </c>
      <c r="Z415" t="s">
        <v>8341</v>
      </c>
      <c r="AA415" t="s">
        <v>8342</v>
      </c>
      <c r="AB415" t="s">
        <v>8343</v>
      </c>
      <c r="AC415" t="s">
        <v>74</v>
      </c>
      <c r="AD415" t="s">
        <v>74</v>
      </c>
      <c r="AE415" t="s">
        <v>74</v>
      </c>
      <c r="AF415" t="s">
        <v>74</v>
      </c>
      <c r="AG415">
        <v>45</v>
      </c>
      <c r="AH415">
        <v>3</v>
      </c>
      <c r="AI415">
        <v>3</v>
      </c>
      <c r="AJ415">
        <v>3</v>
      </c>
      <c r="AK415">
        <v>47</v>
      </c>
      <c r="AL415" t="s">
        <v>8344</v>
      </c>
      <c r="AM415" t="s">
        <v>368</v>
      </c>
      <c r="AN415" t="s">
        <v>8345</v>
      </c>
      <c r="AO415" t="s">
        <v>8346</v>
      </c>
      <c r="AP415" t="s">
        <v>8347</v>
      </c>
      <c r="AQ415" t="s">
        <v>74</v>
      </c>
      <c r="AR415" t="s">
        <v>8348</v>
      </c>
      <c r="AS415" t="s">
        <v>8349</v>
      </c>
      <c r="AT415" t="s">
        <v>8350</v>
      </c>
      <c r="AU415">
        <v>2021</v>
      </c>
      <c r="AV415">
        <v>2021</v>
      </c>
      <c r="AW415" t="s">
        <v>74</v>
      </c>
      <c r="AX415" t="s">
        <v>74</v>
      </c>
      <c r="AY415" t="s">
        <v>74</v>
      </c>
      <c r="AZ415" t="s">
        <v>74</v>
      </c>
      <c r="BA415" t="s">
        <v>74</v>
      </c>
      <c r="BB415" t="s">
        <v>74</v>
      </c>
      <c r="BC415" t="s">
        <v>74</v>
      </c>
      <c r="BD415">
        <v>9932538</v>
      </c>
      <c r="BE415" t="s">
        <v>8351</v>
      </c>
      <c r="BF415" t="str">
        <f>HYPERLINK("http://dx.doi.org/10.1155/2021/9932538","http://dx.doi.org/10.1155/2021/9932538")</f>
        <v>http://dx.doi.org/10.1155/2021/9932538</v>
      </c>
      <c r="BG415" t="s">
        <v>74</v>
      </c>
      <c r="BH415" t="s">
        <v>74</v>
      </c>
      <c r="BI415">
        <v>8</v>
      </c>
      <c r="BJ415" t="s">
        <v>8352</v>
      </c>
      <c r="BK415" t="s">
        <v>128</v>
      </c>
      <c r="BL415" t="s">
        <v>8353</v>
      </c>
      <c r="BM415" t="s">
        <v>8354</v>
      </c>
      <c r="BN415" t="s">
        <v>74</v>
      </c>
      <c r="BO415" t="s">
        <v>638</v>
      </c>
      <c r="BP415" t="s">
        <v>74</v>
      </c>
      <c r="BQ415" t="s">
        <v>74</v>
      </c>
      <c r="BR415" t="s">
        <v>102</v>
      </c>
      <c r="BS415" t="s">
        <v>8355</v>
      </c>
      <c r="BT415" t="str">
        <f>HYPERLINK("https%3A%2F%2Fwww.webofscience.com%2Fwos%2Fwoscc%2Ffull-record%2FWOS:000674578100001","View Full Record in Web of Science")</f>
        <v>View Full Record in Web of Science</v>
      </c>
    </row>
    <row r="416" spans="1:72" x14ac:dyDescent="0.15">
      <c r="A416" t="s">
        <v>72</v>
      </c>
      <c r="B416" t="s">
        <v>8356</v>
      </c>
      <c r="C416" t="s">
        <v>74</v>
      </c>
      <c r="D416" t="s">
        <v>74</v>
      </c>
      <c r="E416" t="s">
        <v>74</v>
      </c>
      <c r="F416" t="s">
        <v>8357</v>
      </c>
      <c r="G416" t="s">
        <v>74</v>
      </c>
      <c r="H416" t="s">
        <v>74</v>
      </c>
      <c r="I416" t="s">
        <v>8358</v>
      </c>
      <c r="J416" t="s">
        <v>438</v>
      </c>
      <c r="K416" t="s">
        <v>74</v>
      </c>
      <c r="L416" t="s">
        <v>74</v>
      </c>
      <c r="M416" t="s">
        <v>78</v>
      </c>
      <c r="N416" t="s">
        <v>700</v>
      </c>
      <c r="O416" t="s">
        <v>74</v>
      </c>
      <c r="P416" t="s">
        <v>74</v>
      </c>
      <c r="Q416" t="s">
        <v>74</v>
      </c>
      <c r="R416" t="s">
        <v>74</v>
      </c>
      <c r="S416" t="s">
        <v>74</v>
      </c>
      <c r="T416" t="s">
        <v>8359</v>
      </c>
      <c r="U416" t="s">
        <v>8360</v>
      </c>
      <c r="V416" t="s">
        <v>8361</v>
      </c>
      <c r="W416" t="s">
        <v>8362</v>
      </c>
      <c r="X416" t="s">
        <v>8363</v>
      </c>
      <c r="Y416" t="s">
        <v>8364</v>
      </c>
      <c r="Z416" t="s">
        <v>8365</v>
      </c>
      <c r="AA416" t="s">
        <v>8366</v>
      </c>
      <c r="AB416" t="s">
        <v>8367</v>
      </c>
      <c r="AC416" t="s">
        <v>8368</v>
      </c>
      <c r="AD416" t="s">
        <v>8369</v>
      </c>
      <c r="AE416" t="s">
        <v>8370</v>
      </c>
      <c r="AF416" t="s">
        <v>74</v>
      </c>
      <c r="AG416">
        <v>304</v>
      </c>
      <c r="AH416">
        <v>23</v>
      </c>
      <c r="AI416">
        <v>24</v>
      </c>
      <c r="AJ416">
        <v>32</v>
      </c>
      <c r="AK416">
        <v>286</v>
      </c>
      <c r="AL416" t="s">
        <v>450</v>
      </c>
      <c r="AM416" t="s">
        <v>451</v>
      </c>
      <c r="AN416" t="s">
        <v>452</v>
      </c>
      <c r="AO416" t="s">
        <v>453</v>
      </c>
      <c r="AP416" t="s">
        <v>454</v>
      </c>
      <c r="AQ416" t="s">
        <v>74</v>
      </c>
      <c r="AR416" t="s">
        <v>455</v>
      </c>
      <c r="AS416" t="s">
        <v>456</v>
      </c>
      <c r="AT416" t="s">
        <v>402</v>
      </c>
      <c r="AU416">
        <v>2021</v>
      </c>
      <c r="AV416">
        <v>31</v>
      </c>
      <c r="AW416">
        <v>3</v>
      </c>
      <c r="AX416" t="s">
        <v>74</v>
      </c>
      <c r="AY416" t="s">
        <v>74</v>
      </c>
      <c r="AZ416" t="s">
        <v>74</v>
      </c>
      <c r="BA416" t="s">
        <v>74</v>
      </c>
      <c r="BB416">
        <v>599</v>
      </c>
      <c r="BC416">
        <v>629</v>
      </c>
      <c r="BD416" t="s">
        <v>74</v>
      </c>
      <c r="BE416" t="s">
        <v>8371</v>
      </c>
      <c r="BF416" t="str">
        <f>HYPERLINK("http://dx.doi.org/10.1007/s11160-021-09668-6","http://dx.doi.org/10.1007/s11160-021-09668-6")</f>
        <v>http://dx.doi.org/10.1007/s11160-021-09668-6</v>
      </c>
      <c r="BG416" t="s">
        <v>74</v>
      </c>
      <c r="BH416" t="s">
        <v>8134</v>
      </c>
      <c r="BI416">
        <v>31</v>
      </c>
      <c r="BJ416" t="s">
        <v>459</v>
      </c>
      <c r="BK416" t="s">
        <v>128</v>
      </c>
      <c r="BL416" t="s">
        <v>459</v>
      </c>
      <c r="BM416" t="s">
        <v>8372</v>
      </c>
      <c r="BN416" t="s">
        <v>74</v>
      </c>
      <c r="BO416" t="s">
        <v>74</v>
      </c>
      <c r="BP416" t="s">
        <v>74</v>
      </c>
      <c r="BQ416" t="s">
        <v>74</v>
      </c>
      <c r="BR416" t="s">
        <v>102</v>
      </c>
      <c r="BS416" t="s">
        <v>8373</v>
      </c>
      <c r="BT416" t="str">
        <f>HYPERLINK("https%3A%2F%2Fwww.webofscience.com%2Fwos%2Fwoscc%2Ffull-record%2FWOS:000667622000001","View Full Record in Web of Science")</f>
        <v>View Full Record in Web of Science</v>
      </c>
    </row>
    <row r="417" spans="1:72" x14ac:dyDescent="0.15">
      <c r="A417" t="s">
        <v>72</v>
      </c>
      <c r="B417" t="s">
        <v>8374</v>
      </c>
      <c r="C417" t="s">
        <v>74</v>
      </c>
      <c r="D417" t="s">
        <v>74</v>
      </c>
      <c r="E417" t="s">
        <v>74</v>
      </c>
      <c r="F417" t="s">
        <v>8375</v>
      </c>
      <c r="G417" t="s">
        <v>74</v>
      </c>
      <c r="H417" t="s">
        <v>74</v>
      </c>
      <c r="I417" t="s">
        <v>8376</v>
      </c>
      <c r="J417" t="s">
        <v>2457</v>
      </c>
      <c r="K417" t="s">
        <v>74</v>
      </c>
      <c r="L417" t="s">
        <v>74</v>
      </c>
      <c r="M417" t="s">
        <v>78</v>
      </c>
      <c r="N417" t="s">
        <v>79</v>
      </c>
      <c r="O417" t="s">
        <v>74</v>
      </c>
      <c r="P417" t="s">
        <v>74</v>
      </c>
      <c r="Q417" t="s">
        <v>74</v>
      </c>
      <c r="R417" t="s">
        <v>74</v>
      </c>
      <c r="S417" t="s">
        <v>74</v>
      </c>
      <c r="T417" t="s">
        <v>8377</v>
      </c>
      <c r="U417" t="s">
        <v>8378</v>
      </c>
      <c r="V417" t="s">
        <v>8379</v>
      </c>
      <c r="W417" t="s">
        <v>8380</v>
      </c>
      <c r="X417" t="s">
        <v>8381</v>
      </c>
      <c r="Y417" t="s">
        <v>8382</v>
      </c>
      <c r="Z417" t="s">
        <v>8383</v>
      </c>
      <c r="AA417" t="s">
        <v>8384</v>
      </c>
      <c r="AB417" t="s">
        <v>8385</v>
      </c>
      <c r="AC417" t="s">
        <v>8386</v>
      </c>
      <c r="AD417" t="s">
        <v>8387</v>
      </c>
      <c r="AE417" t="s">
        <v>8388</v>
      </c>
      <c r="AF417" t="s">
        <v>74</v>
      </c>
      <c r="AG417">
        <v>57</v>
      </c>
      <c r="AH417">
        <v>10</v>
      </c>
      <c r="AI417">
        <v>10</v>
      </c>
      <c r="AJ417">
        <v>3</v>
      </c>
      <c r="AK417">
        <v>15</v>
      </c>
      <c r="AL417" t="s">
        <v>864</v>
      </c>
      <c r="AM417" t="s">
        <v>865</v>
      </c>
      <c r="AN417" t="s">
        <v>866</v>
      </c>
      <c r="AO417" t="s">
        <v>2469</v>
      </c>
      <c r="AP417" t="s">
        <v>2470</v>
      </c>
      <c r="AQ417" t="s">
        <v>74</v>
      </c>
      <c r="AR417" t="s">
        <v>2471</v>
      </c>
      <c r="AS417" t="s">
        <v>2472</v>
      </c>
      <c r="AT417" t="s">
        <v>8350</v>
      </c>
      <c r="AU417">
        <v>2021</v>
      </c>
      <c r="AV417">
        <v>48</v>
      </c>
      <c r="AW417">
        <v>12</v>
      </c>
      <c r="AX417" t="s">
        <v>74</v>
      </c>
      <c r="AY417" t="s">
        <v>74</v>
      </c>
      <c r="AZ417" t="s">
        <v>74</v>
      </c>
      <c r="BA417" t="s">
        <v>74</v>
      </c>
      <c r="BB417" t="s">
        <v>74</v>
      </c>
      <c r="BC417" t="s">
        <v>74</v>
      </c>
      <c r="BD417" t="s">
        <v>8389</v>
      </c>
      <c r="BE417" t="s">
        <v>8390</v>
      </c>
      <c r="BF417" t="str">
        <f>HYPERLINK("http://dx.doi.org/10.1029/2020GL091206","http://dx.doi.org/10.1029/2020GL091206")</f>
        <v>http://dx.doi.org/10.1029/2020GL091206</v>
      </c>
      <c r="BG417" t="s">
        <v>74</v>
      </c>
      <c r="BH417" t="s">
        <v>74</v>
      </c>
      <c r="BI417">
        <v>11</v>
      </c>
      <c r="BJ417" t="s">
        <v>405</v>
      </c>
      <c r="BK417" t="s">
        <v>128</v>
      </c>
      <c r="BL417" t="s">
        <v>406</v>
      </c>
      <c r="BM417" t="s">
        <v>8391</v>
      </c>
      <c r="BN417" t="s">
        <v>74</v>
      </c>
      <c r="BO417" t="s">
        <v>588</v>
      </c>
      <c r="BP417" t="s">
        <v>74</v>
      </c>
      <c r="BQ417" t="s">
        <v>74</v>
      </c>
      <c r="BR417" t="s">
        <v>102</v>
      </c>
      <c r="BS417" t="s">
        <v>8392</v>
      </c>
      <c r="BT417" t="str">
        <f>HYPERLINK("https%3A%2F%2Fwww.webofscience.com%2Fwos%2Fwoscc%2Ffull-record%2FWOS:000668622800027","View Full Record in Web of Science")</f>
        <v>View Full Record in Web of Science</v>
      </c>
    </row>
    <row r="418" spans="1:72" x14ac:dyDescent="0.15">
      <c r="A418" t="s">
        <v>72</v>
      </c>
      <c r="B418" t="s">
        <v>8393</v>
      </c>
      <c r="C418" t="s">
        <v>74</v>
      </c>
      <c r="D418" t="s">
        <v>74</v>
      </c>
      <c r="E418" t="s">
        <v>74</v>
      </c>
      <c r="F418" t="s">
        <v>8394</v>
      </c>
      <c r="G418" t="s">
        <v>74</v>
      </c>
      <c r="H418" t="s">
        <v>74</v>
      </c>
      <c r="I418" t="s">
        <v>8395</v>
      </c>
      <c r="J418" t="s">
        <v>8396</v>
      </c>
      <c r="K418" t="s">
        <v>74</v>
      </c>
      <c r="L418" t="s">
        <v>74</v>
      </c>
      <c r="M418" t="s">
        <v>78</v>
      </c>
      <c r="N418" t="s">
        <v>79</v>
      </c>
      <c r="O418" t="s">
        <v>74</v>
      </c>
      <c r="P418" t="s">
        <v>74</v>
      </c>
      <c r="Q418" t="s">
        <v>74</v>
      </c>
      <c r="R418" t="s">
        <v>74</v>
      </c>
      <c r="S418" t="s">
        <v>74</v>
      </c>
      <c r="T418" t="s">
        <v>8397</v>
      </c>
      <c r="U418" t="s">
        <v>74</v>
      </c>
      <c r="V418" t="s">
        <v>8398</v>
      </c>
      <c r="W418" t="s">
        <v>74</v>
      </c>
      <c r="X418" t="s">
        <v>74</v>
      </c>
      <c r="Y418" t="s">
        <v>74</v>
      </c>
      <c r="Z418" t="s">
        <v>8399</v>
      </c>
      <c r="AA418" t="s">
        <v>74</v>
      </c>
      <c r="AB418" t="s">
        <v>8400</v>
      </c>
      <c r="AC418" t="s">
        <v>74</v>
      </c>
      <c r="AD418" t="s">
        <v>74</v>
      </c>
      <c r="AE418" t="s">
        <v>74</v>
      </c>
      <c r="AF418" t="s">
        <v>74</v>
      </c>
      <c r="AG418">
        <v>30</v>
      </c>
      <c r="AH418">
        <v>1</v>
      </c>
      <c r="AI418">
        <v>1</v>
      </c>
      <c r="AJ418">
        <v>0</v>
      </c>
      <c r="AK418">
        <v>1</v>
      </c>
      <c r="AL418" t="s">
        <v>649</v>
      </c>
      <c r="AM418" t="s">
        <v>650</v>
      </c>
      <c r="AN418" t="s">
        <v>651</v>
      </c>
      <c r="AO418" t="s">
        <v>8401</v>
      </c>
      <c r="AP418" t="s">
        <v>8402</v>
      </c>
      <c r="AQ418" t="s">
        <v>74</v>
      </c>
      <c r="AR418" t="s">
        <v>8403</v>
      </c>
      <c r="AS418" t="s">
        <v>8404</v>
      </c>
      <c r="AT418" t="s">
        <v>8350</v>
      </c>
      <c r="AU418">
        <v>2021</v>
      </c>
      <c r="AV418">
        <v>57</v>
      </c>
      <c r="AW418" t="s">
        <v>74</v>
      </c>
      <c r="AX418" t="s">
        <v>74</v>
      </c>
      <c r="AY418" t="s">
        <v>74</v>
      </c>
      <c r="AZ418" t="s">
        <v>74</v>
      </c>
      <c r="BA418" t="s">
        <v>74</v>
      </c>
      <c r="BB418" t="s">
        <v>74</v>
      </c>
      <c r="BC418" t="s">
        <v>74</v>
      </c>
      <c r="BD418" t="s">
        <v>8405</v>
      </c>
      <c r="BE418" t="s">
        <v>8406</v>
      </c>
      <c r="BF418" t="str">
        <f>HYPERLINK("http://dx.doi.org/10.1017/S0032247421000164","http://dx.doi.org/10.1017/S0032247421000164")</f>
        <v>http://dx.doi.org/10.1017/S0032247421000164</v>
      </c>
      <c r="BG418" t="s">
        <v>74</v>
      </c>
      <c r="BH418" t="s">
        <v>74</v>
      </c>
      <c r="BI418">
        <v>15</v>
      </c>
      <c r="BJ418" t="s">
        <v>8407</v>
      </c>
      <c r="BK418" t="s">
        <v>128</v>
      </c>
      <c r="BL418" t="s">
        <v>263</v>
      </c>
      <c r="BM418" t="s">
        <v>8408</v>
      </c>
      <c r="BN418" t="s">
        <v>74</v>
      </c>
      <c r="BO418" t="s">
        <v>74</v>
      </c>
      <c r="BP418" t="s">
        <v>74</v>
      </c>
      <c r="BQ418" t="s">
        <v>74</v>
      </c>
      <c r="BR418" t="s">
        <v>102</v>
      </c>
      <c r="BS418" t="s">
        <v>8409</v>
      </c>
      <c r="BT418" t="str">
        <f>HYPERLINK("https%3A%2F%2Fwww.webofscience.com%2Fwos%2Fwoscc%2Ffull-record%2FWOS:000667230200001","View Full Record in Web of Science")</f>
        <v>View Full Record in Web of Science</v>
      </c>
    </row>
    <row r="419" spans="1:72" x14ac:dyDescent="0.15">
      <c r="A419" t="s">
        <v>72</v>
      </c>
      <c r="B419" t="s">
        <v>8410</v>
      </c>
      <c r="C419" t="s">
        <v>74</v>
      </c>
      <c r="D419" t="s">
        <v>74</v>
      </c>
      <c r="E419" t="s">
        <v>74</v>
      </c>
      <c r="F419" t="s">
        <v>8411</v>
      </c>
      <c r="G419" t="s">
        <v>74</v>
      </c>
      <c r="H419" t="s">
        <v>74</v>
      </c>
      <c r="I419" t="s">
        <v>8412</v>
      </c>
      <c r="J419" t="s">
        <v>269</v>
      </c>
      <c r="K419" t="s">
        <v>74</v>
      </c>
      <c r="L419" t="s">
        <v>74</v>
      </c>
      <c r="M419" t="s">
        <v>78</v>
      </c>
      <c r="N419" t="s">
        <v>79</v>
      </c>
      <c r="O419" t="s">
        <v>74</v>
      </c>
      <c r="P419" t="s">
        <v>74</v>
      </c>
      <c r="Q419" t="s">
        <v>74</v>
      </c>
      <c r="R419" t="s">
        <v>74</v>
      </c>
      <c r="S419" t="s">
        <v>74</v>
      </c>
      <c r="T419" t="s">
        <v>8413</v>
      </c>
      <c r="U419" t="s">
        <v>8414</v>
      </c>
      <c r="V419" t="s">
        <v>8415</v>
      </c>
      <c r="W419" t="s">
        <v>8416</v>
      </c>
      <c r="X419" t="s">
        <v>8417</v>
      </c>
      <c r="Y419" t="s">
        <v>8418</v>
      </c>
      <c r="Z419" t="s">
        <v>8419</v>
      </c>
      <c r="AA419" t="s">
        <v>8420</v>
      </c>
      <c r="AB419" t="s">
        <v>8421</v>
      </c>
      <c r="AC419" t="s">
        <v>8422</v>
      </c>
      <c r="AD419" t="s">
        <v>8423</v>
      </c>
      <c r="AE419" t="s">
        <v>8424</v>
      </c>
      <c r="AF419" t="s">
        <v>74</v>
      </c>
      <c r="AG419">
        <v>151</v>
      </c>
      <c r="AH419">
        <v>3</v>
      </c>
      <c r="AI419">
        <v>3</v>
      </c>
      <c r="AJ419">
        <v>1</v>
      </c>
      <c r="AK419">
        <v>23</v>
      </c>
      <c r="AL419" t="s">
        <v>281</v>
      </c>
      <c r="AM419" t="s">
        <v>228</v>
      </c>
      <c r="AN419" t="s">
        <v>282</v>
      </c>
      <c r="AO419" t="s">
        <v>283</v>
      </c>
      <c r="AP419" t="s">
        <v>284</v>
      </c>
      <c r="AQ419" t="s">
        <v>74</v>
      </c>
      <c r="AR419" t="s">
        <v>285</v>
      </c>
      <c r="AS419" t="s">
        <v>286</v>
      </c>
      <c r="AT419" t="s">
        <v>333</v>
      </c>
      <c r="AU419">
        <v>2021</v>
      </c>
      <c r="AV419">
        <v>306</v>
      </c>
      <c r="AW419" t="s">
        <v>74</v>
      </c>
      <c r="AX419" t="s">
        <v>74</v>
      </c>
      <c r="AY419" t="s">
        <v>74</v>
      </c>
      <c r="AZ419" t="s">
        <v>74</v>
      </c>
      <c r="BA419" t="s">
        <v>74</v>
      </c>
      <c r="BB419">
        <v>281</v>
      </c>
      <c r="BC419">
        <v>303</v>
      </c>
      <c r="BD419" t="s">
        <v>74</v>
      </c>
      <c r="BE419" t="s">
        <v>8425</v>
      </c>
      <c r="BF419" t="str">
        <f>HYPERLINK("http://dx.doi.org/10.1016/j.gca.2021.03.007","http://dx.doi.org/10.1016/j.gca.2021.03.007")</f>
        <v>http://dx.doi.org/10.1016/j.gca.2021.03.007</v>
      </c>
      <c r="BG419" t="s">
        <v>74</v>
      </c>
      <c r="BH419" t="s">
        <v>8134</v>
      </c>
      <c r="BI419">
        <v>23</v>
      </c>
      <c r="BJ419" t="s">
        <v>289</v>
      </c>
      <c r="BK419" t="s">
        <v>128</v>
      </c>
      <c r="BL419" t="s">
        <v>289</v>
      </c>
      <c r="BM419" t="s">
        <v>8426</v>
      </c>
      <c r="BN419" t="s">
        <v>74</v>
      </c>
      <c r="BO419" t="s">
        <v>74</v>
      </c>
      <c r="BP419" t="s">
        <v>74</v>
      </c>
      <c r="BQ419" t="s">
        <v>74</v>
      </c>
      <c r="BR419" t="s">
        <v>102</v>
      </c>
      <c r="BS419" t="s">
        <v>8427</v>
      </c>
      <c r="BT419" t="str">
        <f>HYPERLINK("https%3A%2F%2Fwww.webofscience.com%2Fwos%2Fwoscc%2Ffull-record%2FWOS:000667773900004","View Full Record in Web of Science")</f>
        <v>View Full Record in Web of Science</v>
      </c>
    </row>
    <row r="420" spans="1:72" x14ac:dyDescent="0.15">
      <c r="A420" t="s">
        <v>72</v>
      </c>
      <c r="B420" t="s">
        <v>8428</v>
      </c>
      <c r="C420" t="s">
        <v>74</v>
      </c>
      <c r="D420" t="s">
        <v>74</v>
      </c>
      <c r="E420" t="s">
        <v>74</v>
      </c>
      <c r="F420" t="s">
        <v>8429</v>
      </c>
      <c r="G420" t="s">
        <v>74</v>
      </c>
      <c r="H420" t="s">
        <v>74</v>
      </c>
      <c r="I420" t="s">
        <v>8430</v>
      </c>
      <c r="J420" t="s">
        <v>383</v>
      </c>
      <c r="K420" t="s">
        <v>74</v>
      </c>
      <c r="L420" t="s">
        <v>74</v>
      </c>
      <c r="M420" t="s">
        <v>78</v>
      </c>
      <c r="N420" t="s">
        <v>79</v>
      </c>
      <c r="O420" t="s">
        <v>74</v>
      </c>
      <c r="P420" t="s">
        <v>74</v>
      </c>
      <c r="Q420" t="s">
        <v>74</v>
      </c>
      <c r="R420" t="s">
        <v>74</v>
      </c>
      <c r="S420" t="s">
        <v>74</v>
      </c>
      <c r="T420" t="s">
        <v>74</v>
      </c>
      <c r="U420" t="s">
        <v>8431</v>
      </c>
      <c r="V420" t="s">
        <v>8432</v>
      </c>
      <c r="W420" t="s">
        <v>8433</v>
      </c>
      <c r="X420" t="s">
        <v>8434</v>
      </c>
      <c r="Y420" t="s">
        <v>8435</v>
      </c>
      <c r="Z420" t="s">
        <v>8436</v>
      </c>
      <c r="AA420" t="s">
        <v>8437</v>
      </c>
      <c r="AB420" t="s">
        <v>8438</v>
      </c>
      <c r="AC420" t="s">
        <v>8439</v>
      </c>
      <c r="AD420" t="s">
        <v>8440</v>
      </c>
      <c r="AE420" t="s">
        <v>8441</v>
      </c>
      <c r="AF420" t="s">
        <v>74</v>
      </c>
      <c r="AG420">
        <v>55</v>
      </c>
      <c r="AH420">
        <v>101</v>
      </c>
      <c r="AI420">
        <v>112</v>
      </c>
      <c r="AJ420">
        <v>29</v>
      </c>
      <c r="AK420">
        <v>92</v>
      </c>
      <c r="AL420" t="s">
        <v>395</v>
      </c>
      <c r="AM420" t="s">
        <v>396</v>
      </c>
      <c r="AN420" t="s">
        <v>397</v>
      </c>
      <c r="AO420" t="s">
        <v>398</v>
      </c>
      <c r="AP420" t="s">
        <v>399</v>
      </c>
      <c r="AQ420" t="s">
        <v>74</v>
      </c>
      <c r="AR420" t="s">
        <v>400</v>
      </c>
      <c r="AS420" t="s">
        <v>401</v>
      </c>
      <c r="AT420" t="s">
        <v>430</v>
      </c>
      <c r="AU420">
        <v>2021</v>
      </c>
      <c r="AV420">
        <v>14</v>
      </c>
      <c r="AW420">
        <v>7</v>
      </c>
      <c r="AX420" t="s">
        <v>74</v>
      </c>
      <c r="AY420" t="s">
        <v>74</v>
      </c>
      <c r="AZ420" t="s">
        <v>74</v>
      </c>
      <c r="BA420" t="s">
        <v>74</v>
      </c>
      <c r="BB420">
        <v>460</v>
      </c>
      <c r="BC420">
        <v>464</v>
      </c>
      <c r="BD420" t="s">
        <v>74</v>
      </c>
      <c r="BE420" t="s">
        <v>8442</v>
      </c>
      <c r="BF420" t="str">
        <f>HYPERLINK("http://dx.doi.org/10.1038/s41561-021-00768-3","http://dx.doi.org/10.1038/s41561-021-00768-3")</f>
        <v>http://dx.doi.org/10.1038/s41561-021-00768-3</v>
      </c>
      <c r="BG420" t="s">
        <v>74</v>
      </c>
      <c r="BH420" t="s">
        <v>8134</v>
      </c>
      <c r="BI420">
        <v>5</v>
      </c>
      <c r="BJ420" t="s">
        <v>405</v>
      </c>
      <c r="BK420" t="s">
        <v>128</v>
      </c>
      <c r="BL420" t="s">
        <v>406</v>
      </c>
      <c r="BM420" t="s">
        <v>8443</v>
      </c>
      <c r="BN420" t="s">
        <v>74</v>
      </c>
      <c r="BO420" t="s">
        <v>74</v>
      </c>
      <c r="BP420" t="s">
        <v>2812</v>
      </c>
      <c r="BQ420" t="s">
        <v>2813</v>
      </c>
      <c r="BR420" t="s">
        <v>102</v>
      </c>
      <c r="BS420" t="s">
        <v>8444</v>
      </c>
      <c r="BT420" t="str">
        <f>HYPERLINK("https%3A%2F%2Fwww.webofscience.com%2Fwos%2Fwoscc%2Ffull-record%2FWOS:000667595100004","View Full Record in Web of Science")</f>
        <v>View Full Record in Web of Science</v>
      </c>
    </row>
    <row r="421" spans="1:72" x14ac:dyDescent="0.15">
      <c r="A421" t="s">
        <v>72</v>
      </c>
      <c r="B421" t="s">
        <v>8445</v>
      </c>
      <c r="C421" t="s">
        <v>74</v>
      </c>
      <c r="D421" t="s">
        <v>74</v>
      </c>
      <c r="E421" t="s">
        <v>74</v>
      </c>
      <c r="F421" t="s">
        <v>8446</v>
      </c>
      <c r="G421" t="s">
        <v>74</v>
      </c>
      <c r="H421" t="s">
        <v>74</v>
      </c>
      <c r="I421" t="s">
        <v>8447</v>
      </c>
      <c r="J421" t="s">
        <v>383</v>
      </c>
      <c r="K421" t="s">
        <v>74</v>
      </c>
      <c r="L421" t="s">
        <v>74</v>
      </c>
      <c r="M421" t="s">
        <v>78</v>
      </c>
      <c r="N421" t="s">
        <v>644</v>
      </c>
      <c r="O421" t="s">
        <v>74</v>
      </c>
      <c r="P421" t="s">
        <v>74</v>
      </c>
      <c r="Q421" t="s">
        <v>74</v>
      </c>
      <c r="R421" t="s">
        <v>74</v>
      </c>
      <c r="S421" t="s">
        <v>74</v>
      </c>
      <c r="T421" t="s">
        <v>74</v>
      </c>
      <c r="U421" t="s">
        <v>8448</v>
      </c>
      <c r="V421" t="s">
        <v>74</v>
      </c>
      <c r="W421" t="s">
        <v>8449</v>
      </c>
      <c r="X421" t="s">
        <v>8450</v>
      </c>
      <c r="Y421" t="s">
        <v>8451</v>
      </c>
      <c r="Z421" t="s">
        <v>8452</v>
      </c>
      <c r="AA421" t="s">
        <v>8453</v>
      </c>
      <c r="AB421" t="s">
        <v>8454</v>
      </c>
      <c r="AC421" t="s">
        <v>74</v>
      </c>
      <c r="AD421" t="s">
        <v>74</v>
      </c>
      <c r="AE421" t="s">
        <v>74</v>
      </c>
      <c r="AF421" t="s">
        <v>74</v>
      </c>
      <c r="AG421">
        <v>21</v>
      </c>
      <c r="AH421">
        <v>6</v>
      </c>
      <c r="AI421">
        <v>9</v>
      </c>
      <c r="AJ421">
        <v>13</v>
      </c>
      <c r="AK421">
        <v>48</v>
      </c>
      <c r="AL421" t="s">
        <v>395</v>
      </c>
      <c r="AM421" t="s">
        <v>396</v>
      </c>
      <c r="AN421" t="s">
        <v>397</v>
      </c>
      <c r="AO421" t="s">
        <v>398</v>
      </c>
      <c r="AP421" t="s">
        <v>399</v>
      </c>
      <c r="AQ421" t="s">
        <v>74</v>
      </c>
      <c r="AR421" t="s">
        <v>400</v>
      </c>
      <c r="AS421" t="s">
        <v>401</v>
      </c>
      <c r="AT421" t="s">
        <v>430</v>
      </c>
      <c r="AU421">
        <v>2021</v>
      </c>
      <c r="AV421">
        <v>14</v>
      </c>
      <c r="AW421">
        <v>7</v>
      </c>
      <c r="AX421" t="s">
        <v>74</v>
      </c>
      <c r="AY421" t="s">
        <v>74</v>
      </c>
      <c r="AZ421" t="s">
        <v>74</v>
      </c>
      <c r="BA421" t="s">
        <v>74</v>
      </c>
      <c r="BB421">
        <v>465</v>
      </c>
      <c r="BC421" t="s">
        <v>403</v>
      </c>
      <c r="BD421" t="s">
        <v>74</v>
      </c>
      <c r="BE421" t="s">
        <v>8455</v>
      </c>
      <c r="BF421" t="str">
        <f>HYPERLINK("http://dx.doi.org/10.1038/s41561-021-00769-2","http://dx.doi.org/10.1038/s41561-021-00769-2")</f>
        <v>http://dx.doi.org/10.1038/s41561-021-00769-2</v>
      </c>
      <c r="BG421" t="s">
        <v>74</v>
      </c>
      <c r="BH421" t="s">
        <v>8134</v>
      </c>
      <c r="BI421">
        <v>4</v>
      </c>
      <c r="BJ421" t="s">
        <v>405</v>
      </c>
      <c r="BK421" t="s">
        <v>128</v>
      </c>
      <c r="BL421" t="s">
        <v>406</v>
      </c>
      <c r="BM421" t="s">
        <v>8443</v>
      </c>
      <c r="BN421" t="s">
        <v>74</v>
      </c>
      <c r="BO421" t="s">
        <v>408</v>
      </c>
      <c r="BP421" t="s">
        <v>74</v>
      </c>
      <c r="BQ421" t="s">
        <v>74</v>
      </c>
      <c r="BR421" t="s">
        <v>102</v>
      </c>
      <c r="BS421" t="s">
        <v>8456</v>
      </c>
      <c r="BT421" t="str">
        <f>HYPERLINK("https%3A%2F%2Fwww.webofscience.com%2Fwos%2Fwoscc%2Ffull-record%2FWOS:000667595100001","View Full Record in Web of Science")</f>
        <v>View Full Record in Web of Science</v>
      </c>
    </row>
    <row r="422" spans="1:72" x14ac:dyDescent="0.15">
      <c r="A422" t="s">
        <v>72</v>
      </c>
      <c r="B422" t="s">
        <v>8457</v>
      </c>
      <c r="C422" t="s">
        <v>74</v>
      </c>
      <c r="D422" t="s">
        <v>74</v>
      </c>
      <c r="E422" t="s">
        <v>74</v>
      </c>
      <c r="F422" t="s">
        <v>8458</v>
      </c>
      <c r="G422" t="s">
        <v>74</v>
      </c>
      <c r="H422" t="s">
        <v>74</v>
      </c>
      <c r="I422" t="s">
        <v>8459</v>
      </c>
      <c r="J422" t="s">
        <v>8460</v>
      </c>
      <c r="K422" t="s">
        <v>74</v>
      </c>
      <c r="L422" t="s">
        <v>74</v>
      </c>
      <c r="M422" t="s">
        <v>78</v>
      </c>
      <c r="N422" t="s">
        <v>79</v>
      </c>
      <c r="O422" t="s">
        <v>74</v>
      </c>
      <c r="P422" t="s">
        <v>74</v>
      </c>
      <c r="Q422" t="s">
        <v>74</v>
      </c>
      <c r="R422" t="s">
        <v>74</v>
      </c>
      <c r="S422" t="s">
        <v>74</v>
      </c>
      <c r="T422" t="s">
        <v>8461</v>
      </c>
      <c r="U422" t="s">
        <v>8462</v>
      </c>
      <c r="V422" t="s">
        <v>8463</v>
      </c>
      <c r="W422" t="s">
        <v>8464</v>
      </c>
      <c r="X422" t="s">
        <v>8465</v>
      </c>
      <c r="Y422" t="s">
        <v>8466</v>
      </c>
      <c r="Z422" t="s">
        <v>8467</v>
      </c>
      <c r="AA422" t="s">
        <v>8468</v>
      </c>
      <c r="AB422" t="s">
        <v>8469</v>
      </c>
      <c r="AC422" t="s">
        <v>8470</v>
      </c>
      <c r="AD422" t="s">
        <v>8471</v>
      </c>
      <c r="AE422" t="s">
        <v>8472</v>
      </c>
      <c r="AF422" t="s">
        <v>74</v>
      </c>
      <c r="AG422">
        <v>107</v>
      </c>
      <c r="AH422">
        <v>10</v>
      </c>
      <c r="AI422">
        <v>11</v>
      </c>
      <c r="AJ422">
        <v>1</v>
      </c>
      <c r="AK422">
        <v>15</v>
      </c>
      <c r="AL422" t="s">
        <v>649</v>
      </c>
      <c r="AM422" t="s">
        <v>2239</v>
      </c>
      <c r="AN422" t="s">
        <v>2240</v>
      </c>
      <c r="AO422" t="s">
        <v>8473</v>
      </c>
      <c r="AP422" t="s">
        <v>8474</v>
      </c>
      <c r="AQ422" t="s">
        <v>74</v>
      </c>
      <c r="AR422" t="s">
        <v>8475</v>
      </c>
      <c r="AS422" t="s">
        <v>8476</v>
      </c>
      <c r="AT422" t="s">
        <v>8350</v>
      </c>
      <c r="AU422">
        <v>2021</v>
      </c>
      <c r="AV422">
        <v>125</v>
      </c>
      <c r="AW422">
        <v>12</v>
      </c>
      <c r="AX422" t="s">
        <v>74</v>
      </c>
      <c r="AY422" t="s">
        <v>74</v>
      </c>
      <c r="AZ422" t="s">
        <v>74</v>
      </c>
      <c r="BA422" t="s">
        <v>74</v>
      </c>
      <c r="BB422">
        <v>1344</v>
      </c>
      <c r="BC422">
        <v>1358</v>
      </c>
      <c r="BD422" t="s">
        <v>8477</v>
      </c>
      <c r="BE422" t="s">
        <v>8478</v>
      </c>
      <c r="BF422" t="str">
        <f>HYPERLINK("http://dx.doi.org/10.1017/S0007114520003669","http://dx.doi.org/10.1017/S0007114520003669")</f>
        <v>http://dx.doi.org/10.1017/S0007114520003669</v>
      </c>
      <c r="BG422" t="s">
        <v>74</v>
      </c>
      <c r="BH422" t="s">
        <v>74</v>
      </c>
      <c r="BI422">
        <v>15</v>
      </c>
      <c r="BJ422" t="s">
        <v>8479</v>
      </c>
      <c r="BK422" t="s">
        <v>128</v>
      </c>
      <c r="BL422" t="s">
        <v>8479</v>
      </c>
      <c r="BM422" t="s">
        <v>8480</v>
      </c>
      <c r="BN422">
        <v>32943119</v>
      </c>
      <c r="BO422" t="s">
        <v>2125</v>
      </c>
      <c r="BP422" t="s">
        <v>74</v>
      </c>
      <c r="BQ422" t="s">
        <v>74</v>
      </c>
      <c r="BR422" t="s">
        <v>102</v>
      </c>
      <c r="BS422" t="s">
        <v>8481</v>
      </c>
      <c r="BT422" t="str">
        <f>HYPERLINK("https%3A%2F%2Fwww.webofscience.com%2Fwos%2Fwoscc%2Ffull-record%2FWOS:000651777700003","View Full Record in Web of Science")</f>
        <v>View Full Record in Web of Science</v>
      </c>
    </row>
    <row r="423" spans="1:72" x14ac:dyDescent="0.15">
      <c r="A423" t="s">
        <v>72</v>
      </c>
      <c r="B423" t="s">
        <v>8482</v>
      </c>
      <c r="C423" t="s">
        <v>74</v>
      </c>
      <c r="D423" t="s">
        <v>74</v>
      </c>
      <c r="E423" t="s">
        <v>74</v>
      </c>
      <c r="F423" t="s">
        <v>8483</v>
      </c>
      <c r="G423" t="s">
        <v>74</v>
      </c>
      <c r="H423" t="s">
        <v>74</v>
      </c>
      <c r="I423" t="s">
        <v>8484</v>
      </c>
      <c r="J423" t="s">
        <v>8485</v>
      </c>
      <c r="K423" t="s">
        <v>74</v>
      </c>
      <c r="L423" t="s">
        <v>74</v>
      </c>
      <c r="M423" t="s">
        <v>78</v>
      </c>
      <c r="N423" t="s">
        <v>79</v>
      </c>
      <c r="O423" t="s">
        <v>74</v>
      </c>
      <c r="P423" t="s">
        <v>74</v>
      </c>
      <c r="Q423" t="s">
        <v>74</v>
      </c>
      <c r="R423" t="s">
        <v>74</v>
      </c>
      <c r="S423" t="s">
        <v>74</v>
      </c>
      <c r="T423" t="s">
        <v>8486</v>
      </c>
      <c r="U423" t="s">
        <v>8487</v>
      </c>
      <c r="V423" t="s">
        <v>8488</v>
      </c>
      <c r="W423" t="s">
        <v>8489</v>
      </c>
      <c r="X423" t="s">
        <v>8490</v>
      </c>
      <c r="Y423" t="s">
        <v>8491</v>
      </c>
      <c r="Z423" t="s">
        <v>8492</v>
      </c>
      <c r="AA423" t="s">
        <v>8493</v>
      </c>
      <c r="AB423" t="s">
        <v>8494</v>
      </c>
      <c r="AC423" t="s">
        <v>8495</v>
      </c>
      <c r="AD423" t="s">
        <v>8496</v>
      </c>
      <c r="AE423" t="s">
        <v>8497</v>
      </c>
      <c r="AF423" t="s">
        <v>74</v>
      </c>
      <c r="AG423">
        <v>117</v>
      </c>
      <c r="AH423">
        <v>2</v>
      </c>
      <c r="AI423">
        <v>2</v>
      </c>
      <c r="AJ423">
        <v>0</v>
      </c>
      <c r="AK423">
        <v>13</v>
      </c>
      <c r="AL423" t="s">
        <v>89</v>
      </c>
      <c r="AM423" t="s">
        <v>90</v>
      </c>
      <c r="AN423" t="s">
        <v>91</v>
      </c>
      <c r="AO423" t="s">
        <v>8498</v>
      </c>
      <c r="AP423" t="s">
        <v>8499</v>
      </c>
      <c r="AQ423" t="s">
        <v>74</v>
      </c>
      <c r="AR423" t="s">
        <v>8500</v>
      </c>
      <c r="AS423" t="s">
        <v>8501</v>
      </c>
      <c r="AT423" t="s">
        <v>204</v>
      </c>
      <c r="AU423">
        <v>2021</v>
      </c>
      <c r="AV423">
        <v>98</v>
      </c>
      <c r="AW423" t="s">
        <v>74</v>
      </c>
      <c r="AX423" t="s">
        <v>74</v>
      </c>
      <c r="AY423" t="s">
        <v>74</v>
      </c>
      <c r="AZ423" t="s">
        <v>74</v>
      </c>
      <c r="BA423" t="s">
        <v>74</v>
      </c>
      <c r="BB423">
        <v>257</v>
      </c>
      <c r="BC423">
        <v>276</v>
      </c>
      <c r="BD423" t="s">
        <v>74</v>
      </c>
      <c r="BE423" t="s">
        <v>8502</v>
      </c>
      <c r="BF423" t="str">
        <f>HYPERLINK("http://dx.doi.org/10.1016/j.gr.2021.06.003","http://dx.doi.org/10.1016/j.gr.2021.06.003")</f>
        <v>http://dx.doi.org/10.1016/j.gr.2021.06.003</v>
      </c>
      <c r="BG423" t="s">
        <v>74</v>
      </c>
      <c r="BH423" t="s">
        <v>8134</v>
      </c>
      <c r="BI423">
        <v>20</v>
      </c>
      <c r="BJ423" t="s">
        <v>405</v>
      </c>
      <c r="BK423" t="s">
        <v>128</v>
      </c>
      <c r="BL423" t="s">
        <v>406</v>
      </c>
      <c r="BM423" t="s">
        <v>8503</v>
      </c>
      <c r="BN423" t="s">
        <v>74</v>
      </c>
      <c r="BO423" t="s">
        <v>74</v>
      </c>
      <c r="BP423" t="s">
        <v>74</v>
      </c>
      <c r="BQ423" t="s">
        <v>74</v>
      </c>
      <c r="BR423" t="s">
        <v>102</v>
      </c>
      <c r="BS423" t="s">
        <v>8504</v>
      </c>
      <c r="BT423" t="str">
        <f>HYPERLINK("https%3A%2F%2Fwww.webofscience.com%2Fwos%2Fwoscc%2Ffull-record%2FWOS:000684875400003","View Full Record in Web of Science")</f>
        <v>View Full Record in Web of Science</v>
      </c>
    </row>
    <row r="424" spans="1:72" x14ac:dyDescent="0.15">
      <c r="A424" t="s">
        <v>72</v>
      </c>
      <c r="B424" t="s">
        <v>8505</v>
      </c>
      <c r="C424" t="s">
        <v>74</v>
      </c>
      <c r="D424" t="s">
        <v>74</v>
      </c>
      <c r="E424" t="s">
        <v>74</v>
      </c>
      <c r="F424" t="s">
        <v>8506</v>
      </c>
      <c r="G424" t="s">
        <v>74</v>
      </c>
      <c r="H424" t="s">
        <v>74</v>
      </c>
      <c r="I424" t="s">
        <v>8507</v>
      </c>
      <c r="J424" t="s">
        <v>8508</v>
      </c>
      <c r="K424" t="s">
        <v>74</v>
      </c>
      <c r="L424" t="s">
        <v>74</v>
      </c>
      <c r="M424" t="s">
        <v>78</v>
      </c>
      <c r="N424" t="s">
        <v>79</v>
      </c>
      <c r="O424" t="s">
        <v>74</v>
      </c>
      <c r="P424" t="s">
        <v>74</v>
      </c>
      <c r="Q424" t="s">
        <v>74</v>
      </c>
      <c r="R424" t="s">
        <v>74</v>
      </c>
      <c r="S424" t="s">
        <v>74</v>
      </c>
      <c r="T424" t="s">
        <v>8509</v>
      </c>
      <c r="U424" t="s">
        <v>8510</v>
      </c>
      <c r="V424" t="s">
        <v>8511</v>
      </c>
      <c r="W424" t="s">
        <v>8512</v>
      </c>
      <c r="X424" t="s">
        <v>8513</v>
      </c>
      <c r="Y424" t="s">
        <v>8514</v>
      </c>
      <c r="Z424" t="s">
        <v>8515</v>
      </c>
      <c r="AA424" t="s">
        <v>8516</v>
      </c>
      <c r="AB424" t="s">
        <v>8517</v>
      </c>
      <c r="AC424" t="s">
        <v>8518</v>
      </c>
      <c r="AD424" t="s">
        <v>8519</v>
      </c>
      <c r="AE424" t="s">
        <v>8520</v>
      </c>
      <c r="AF424" t="s">
        <v>74</v>
      </c>
      <c r="AG424">
        <v>65</v>
      </c>
      <c r="AH424">
        <v>0</v>
      </c>
      <c r="AI424">
        <v>0</v>
      </c>
      <c r="AJ424">
        <v>0</v>
      </c>
      <c r="AK424">
        <v>2</v>
      </c>
      <c r="AL424" t="s">
        <v>89</v>
      </c>
      <c r="AM424" t="s">
        <v>90</v>
      </c>
      <c r="AN424" t="s">
        <v>91</v>
      </c>
      <c r="AO424" t="s">
        <v>8521</v>
      </c>
      <c r="AP424" t="s">
        <v>8522</v>
      </c>
      <c r="AQ424" t="s">
        <v>74</v>
      </c>
      <c r="AR424" t="s">
        <v>8523</v>
      </c>
      <c r="AS424" t="s">
        <v>8524</v>
      </c>
      <c r="AT424" t="s">
        <v>402</v>
      </c>
      <c r="AU424">
        <v>2021</v>
      </c>
      <c r="AV424">
        <v>417</v>
      </c>
      <c r="AW424" t="s">
        <v>74</v>
      </c>
      <c r="AX424" t="s">
        <v>74</v>
      </c>
      <c r="AY424" t="s">
        <v>74</v>
      </c>
      <c r="AZ424" t="s">
        <v>74</v>
      </c>
      <c r="BA424" t="s">
        <v>74</v>
      </c>
      <c r="BB424" t="s">
        <v>74</v>
      </c>
      <c r="BC424" t="s">
        <v>74</v>
      </c>
      <c r="BD424">
        <v>107313</v>
      </c>
      <c r="BE424" t="s">
        <v>8525</v>
      </c>
      <c r="BF424" t="str">
        <f>HYPERLINK("http://dx.doi.org/10.1016/j.jvolgeores.2021.107313","http://dx.doi.org/10.1016/j.jvolgeores.2021.107313")</f>
        <v>http://dx.doi.org/10.1016/j.jvolgeores.2021.107313</v>
      </c>
      <c r="BG424" t="s">
        <v>74</v>
      </c>
      <c r="BH424" t="s">
        <v>8134</v>
      </c>
      <c r="BI424">
        <v>19</v>
      </c>
      <c r="BJ424" t="s">
        <v>405</v>
      </c>
      <c r="BK424" t="s">
        <v>128</v>
      </c>
      <c r="BL424" t="s">
        <v>406</v>
      </c>
      <c r="BM424" t="s">
        <v>8526</v>
      </c>
      <c r="BN424" t="s">
        <v>74</v>
      </c>
      <c r="BO424" t="s">
        <v>291</v>
      </c>
      <c r="BP424" t="s">
        <v>74</v>
      </c>
      <c r="BQ424" t="s">
        <v>74</v>
      </c>
      <c r="BR424" t="s">
        <v>102</v>
      </c>
      <c r="BS424" t="s">
        <v>8527</v>
      </c>
      <c r="BT424" t="str">
        <f>HYPERLINK("https%3A%2F%2Fwww.webofscience.com%2Fwos%2Fwoscc%2Ffull-record%2FWOS:000671085700008","View Full Record in Web of Science")</f>
        <v>View Full Record in Web of Science</v>
      </c>
    </row>
    <row r="425" spans="1:72" x14ac:dyDescent="0.15">
      <c r="A425" t="s">
        <v>72</v>
      </c>
      <c r="B425" t="s">
        <v>8528</v>
      </c>
      <c r="C425" t="s">
        <v>74</v>
      </c>
      <c r="D425" t="s">
        <v>74</v>
      </c>
      <c r="E425" t="s">
        <v>74</v>
      </c>
      <c r="F425" t="s">
        <v>8529</v>
      </c>
      <c r="G425" t="s">
        <v>74</v>
      </c>
      <c r="H425" t="s">
        <v>74</v>
      </c>
      <c r="I425" t="s">
        <v>8530</v>
      </c>
      <c r="J425" t="s">
        <v>1729</v>
      </c>
      <c r="K425" t="s">
        <v>74</v>
      </c>
      <c r="L425" t="s">
        <v>74</v>
      </c>
      <c r="M425" t="s">
        <v>78</v>
      </c>
      <c r="N425" t="s">
        <v>79</v>
      </c>
      <c r="O425" t="s">
        <v>74</v>
      </c>
      <c r="P425" t="s">
        <v>74</v>
      </c>
      <c r="Q425" t="s">
        <v>74</v>
      </c>
      <c r="R425" t="s">
        <v>74</v>
      </c>
      <c r="S425" t="s">
        <v>74</v>
      </c>
      <c r="T425" t="s">
        <v>8531</v>
      </c>
      <c r="U425" t="s">
        <v>8532</v>
      </c>
      <c r="V425" t="s">
        <v>8533</v>
      </c>
      <c r="W425" t="s">
        <v>8534</v>
      </c>
      <c r="X425" t="s">
        <v>8535</v>
      </c>
      <c r="Y425" t="s">
        <v>8536</v>
      </c>
      <c r="Z425" t="s">
        <v>8537</v>
      </c>
      <c r="AA425" t="s">
        <v>8538</v>
      </c>
      <c r="AB425" t="s">
        <v>8539</v>
      </c>
      <c r="AC425" t="s">
        <v>8540</v>
      </c>
      <c r="AD425" t="s">
        <v>8541</v>
      </c>
      <c r="AE425" t="s">
        <v>8542</v>
      </c>
      <c r="AF425" t="s">
        <v>74</v>
      </c>
      <c r="AG425">
        <v>78</v>
      </c>
      <c r="AH425">
        <v>18</v>
      </c>
      <c r="AI425">
        <v>18</v>
      </c>
      <c r="AJ425">
        <v>2</v>
      </c>
      <c r="AK425">
        <v>28</v>
      </c>
      <c r="AL425" t="s">
        <v>864</v>
      </c>
      <c r="AM425" t="s">
        <v>865</v>
      </c>
      <c r="AN425" t="s">
        <v>866</v>
      </c>
      <c r="AO425" t="s">
        <v>1739</v>
      </c>
      <c r="AP425" t="s">
        <v>1740</v>
      </c>
      <c r="AQ425" t="s">
        <v>74</v>
      </c>
      <c r="AR425" t="s">
        <v>1741</v>
      </c>
      <c r="AS425" t="s">
        <v>1742</v>
      </c>
      <c r="AT425" t="s">
        <v>8543</v>
      </c>
      <c r="AU425">
        <v>2021</v>
      </c>
      <c r="AV425">
        <v>126</v>
      </c>
      <c r="AW425">
        <v>12</v>
      </c>
      <c r="AX425" t="s">
        <v>74</v>
      </c>
      <c r="AY425" t="s">
        <v>74</v>
      </c>
      <c r="AZ425" t="s">
        <v>74</v>
      </c>
      <c r="BA425" t="s">
        <v>74</v>
      </c>
      <c r="BB425" t="s">
        <v>74</v>
      </c>
      <c r="BC425" t="s">
        <v>74</v>
      </c>
      <c r="BD425" t="s">
        <v>8544</v>
      </c>
      <c r="BE425" t="s">
        <v>8545</v>
      </c>
      <c r="BF425" t="str">
        <f>HYPERLINK("http://dx.doi.org/10.1029/2020JD033339","http://dx.doi.org/10.1029/2020JD033339")</f>
        <v>http://dx.doi.org/10.1029/2020JD033339</v>
      </c>
      <c r="BG425" t="s">
        <v>74</v>
      </c>
      <c r="BH425" t="s">
        <v>74</v>
      </c>
      <c r="BI425">
        <v>17</v>
      </c>
      <c r="BJ425" t="s">
        <v>567</v>
      </c>
      <c r="BK425" t="s">
        <v>128</v>
      </c>
      <c r="BL425" t="s">
        <v>567</v>
      </c>
      <c r="BM425" t="s">
        <v>8546</v>
      </c>
      <c r="BN425" t="s">
        <v>74</v>
      </c>
      <c r="BO425" t="s">
        <v>1154</v>
      </c>
      <c r="BP425" t="s">
        <v>74</v>
      </c>
      <c r="BQ425" t="s">
        <v>74</v>
      </c>
      <c r="BR425" t="s">
        <v>102</v>
      </c>
      <c r="BS425" t="s">
        <v>8547</v>
      </c>
      <c r="BT425" t="str">
        <f>HYPERLINK("https%3A%2F%2Fwww.webofscience.com%2Fwos%2Fwoscc%2Ffull-record%2FWOS:000667250900005","View Full Record in Web of Science")</f>
        <v>View Full Record in Web of Science</v>
      </c>
    </row>
    <row r="426" spans="1:72" x14ac:dyDescent="0.15">
      <c r="A426" t="s">
        <v>72</v>
      </c>
      <c r="B426" t="s">
        <v>8548</v>
      </c>
      <c r="C426" t="s">
        <v>74</v>
      </c>
      <c r="D426" t="s">
        <v>74</v>
      </c>
      <c r="E426" t="s">
        <v>74</v>
      </c>
      <c r="F426" t="s">
        <v>8549</v>
      </c>
      <c r="G426" t="s">
        <v>74</v>
      </c>
      <c r="H426" t="s">
        <v>74</v>
      </c>
      <c r="I426" t="s">
        <v>8550</v>
      </c>
      <c r="J426" t="s">
        <v>8551</v>
      </c>
      <c r="K426" t="s">
        <v>74</v>
      </c>
      <c r="L426" t="s">
        <v>74</v>
      </c>
      <c r="M426" t="s">
        <v>78</v>
      </c>
      <c r="N426" t="s">
        <v>79</v>
      </c>
      <c r="O426" t="s">
        <v>74</v>
      </c>
      <c r="P426" t="s">
        <v>74</v>
      </c>
      <c r="Q426" t="s">
        <v>74</v>
      </c>
      <c r="R426" t="s">
        <v>74</v>
      </c>
      <c r="S426" t="s">
        <v>74</v>
      </c>
      <c r="T426" t="s">
        <v>8552</v>
      </c>
      <c r="U426" t="s">
        <v>8553</v>
      </c>
      <c r="V426" t="s">
        <v>8554</v>
      </c>
      <c r="W426" t="s">
        <v>8555</v>
      </c>
      <c r="X426" t="s">
        <v>8556</v>
      </c>
      <c r="Y426" t="s">
        <v>8557</v>
      </c>
      <c r="Z426" t="s">
        <v>8558</v>
      </c>
      <c r="AA426" t="s">
        <v>8559</v>
      </c>
      <c r="AB426" t="s">
        <v>8560</v>
      </c>
      <c r="AC426" t="s">
        <v>8561</v>
      </c>
      <c r="AD426" t="s">
        <v>8562</v>
      </c>
      <c r="AE426" t="s">
        <v>8563</v>
      </c>
      <c r="AF426" t="s">
        <v>74</v>
      </c>
      <c r="AG426">
        <v>85</v>
      </c>
      <c r="AH426">
        <v>6</v>
      </c>
      <c r="AI426">
        <v>7</v>
      </c>
      <c r="AJ426">
        <v>2</v>
      </c>
      <c r="AK426">
        <v>15</v>
      </c>
      <c r="AL426" t="s">
        <v>197</v>
      </c>
      <c r="AM426" t="s">
        <v>198</v>
      </c>
      <c r="AN426" t="s">
        <v>199</v>
      </c>
      <c r="AO426" t="s">
        <v>8564</v>
      </c>
      <c r="AP426" t="s">
        <v>8565</v>
      </c>
      <c r="AQ426" t="s">
        <v>74</v>
      </c>
      <c r="AR426" t="s">
        <v>8566</v>
      </c>
      <c r="AS426" t="s">
        <v>8567</v>
      </c>
      <c r="AT426" t="s">
        <v>204</v>
      </c>
      <c r="AU426">
        <v>2021</v>
      </c>
      <c r="AV426">
        <v>21</v>
      </c>
      <c r="AW426">
        <v>7</v>
      </c>
      <c r="AX426" t="s">
        <v>74</v>
      </c>
      <c r="AY426" t="s">
        <v>74</v>
      </c>
      <c r="AZ426" t="s">
        <v>74</v>
      </c>
      <c r="BA426" t="s">
        <v>74</v>
      </c>
      <c r="BB426">
        <v>2455</v>
      </c>
      <c r="BC426">
        <v>2470</v>
      </c>
      <c r="BD426" t="s">
        <v>74</v>
      </c>
      <c r="BE426" t="s">
        <v>8568</v>
      </c>
      <c r="BF426" t="str">
        <f>HYPERLINK("http://dx.doi.org/10.1111/1755-0998.13443","http://dx.doi.org/10.1111/1755-0998.13443")</f>
        <v>http://dx.doi.org/10.1111/1755-0998.13443</v>
      </c>
      <c r="BG426" t="s">
        <v>74</v>
      </c>
      <c r="BH426" t="s">
        <v>8134</v>
      </c>
      <c r="BI426">
        <v>16</v>
      </c>
      <c r="BJ426" t="s">
        <v>4095</v>
      </c>
      <c r="BK426" t="s">
        <v>128</v>
      </c>
      <c r="BL426" t="s">
        <v>4096</v>
      </c>
      <c r="BM426" t="s">
        <v>8569</v>
      </c>
      <c r="BN426">
        <v>34097816</v>
      </c>
      <c r="BO426" t="s">
        <v>8570</v>
      </c>
      <c r="BP426" t="s">
        <v>74</v>
      </c>
      <c r="BQ426" t="s">
        <v>74</v>
      </c>
      <c r="BR426" t="s">
        <v>102</v>
      </c>
      <c r="BS426" t="s">
        <v>8571</v>
      </c>
      <c r="BT426" t="str">
        <f>HYPERLINK("https%3A%2F%2Fwww.webofscience.com%2Fwos%2Fwoscc%2Ffull-record%2FWOS:000666865000001","View Full Record in Web of Science")</f>
        <v>View Full Record in Web of Science</v>
      </c>
    </row>
    <row r="427" spans="1:72" x14ac:dyDescent="0.15">
      <c r="A427" t="s">
        <v>72</v>
      </c>
      <c r="B427" t="s">
        <v>8572</v>
      </c>
      <c r="C427" t="s">
        <v>74</v>
      </c>
      <c r="D427" t="s">
        <v>74</v>
      </c>
      <c r="E427" t="s">
        <v>74</v>
      </c>
      <c r="F427" t="s">
        <v>8573</v>
      </c>
      <c r="G427" t="s">
        <v>74</v>
      </c>
      <c r="H427" t="s">
        <v>74</v>
      </c>
      <c r="I427" t="s">
        <v>8574</v>
      </c>
      <c r="J427" t="s">
        <v>8575</v>
      </c>
      <c r="K427" t="s">
        <v>74</v>
      </c>
      <c r="L427" t="s">
        <v>74</v>
      </c>
      <c r="M427" t="s">
        <v>78</v>
      </c>
      <c r="N427" t="s">
        <v>79</v>
      </c>
      <c r="O427" t="s">
        <v>74</v>
      </c>
      <c r="P427" t="s">
        <v>74</v>
      </c>
      <c r="Q427" t="s">
        <v>74</v>
      </c>
      <c r="R427" t="s">
        <v>74</v>
      </c>
      <c r="S427" t="s">
        <v>74</v>
      </c>
      <c r="T427" t="s">
        <v>8576</v>
      </c>
      <c r="U427" t="s">
        <v>8577</v>
      </c>
      <c r="V427" t="s">
        <v>8578</v>
      </c>
      <c r="W427" t="s">
        <v>8579</v>
      </c>
      <c r="X427" t="s">
        <v>8580</v>
      </c>
      <c r="Y427" t="s">
        <v>8581</v>
      </c>
      <c r="Z427" t="s">
        <v>8582</v>
      </c>
      <c r="AA427" t="s">
        <v>8583</v>
      </c>
      <c r="AB427" t="s">
        <v>8584</v>
      </c>
      <c r="AC427" t="s">
        <v>8585</v>
      </c>
      <c r="AD427" t="s">
        <v>8585</v>
      </c>
      <c r="AE427" t="s">
        <v>8586</v>
      </c>
      <c r="AF427" t="s">
        <v>74</v>
      </c>
      <c r="AG427">
        <v>74</v>
      </c>
      <c r="AH427">
        <v>5</v>
      </c>
      <c r="AI427">
        <v>5</v>
      </c>
      <c r="AJ427">
        <v>0</v>
      </c>
      <c r="AK427">
        <v>3</v>
      </c>
      <c r="AL427" t="s">
        <v>281</v>
      </c>
      <c r="AM427" t="s">
        <v>228</v>
      </c>
      <c r="AN427" t="s">
        <v>282</v>
      </c>
      <c r="AO427" t="s">
        <v>8587</v>
      </c>
      <c r="AP427" t="s">
        <v>8588</v>
      </c>
      <c r="AQ427" t="s">
        <v>74</v>
      </c>
      <c r="AR427" t="s">
        <v>8589</v>
      </c>
      <c r="AS427" t="s">
        <v>8590</v>
      </c>
      <c r="AT427" t="s">
        <v>96</v>
      </c>
      <c r="AU427">
        <v>2021</v>
      </c>
      <c r="AV427">
        <v>111</v>
      </c>
      <c r="AW427" t="s">
        <v>74</v>
      </c>
      <c r="AX427" t="s">
        <v>74</v>
      </c>
      <c r="AY427" t="s">
        <v>74</v>
      </c>
      <c r="AZ427" t="s">
        <v>74</v>
      </c>
      <c r="BA427" t="s">
        <v>74</v>
      </c>
      <c r="BB427" t="s">
        <v>74</v>
      </c>
      <c r="BC427" t="s">
        <v>74</v>
      </c>
      <c r="BD427">
        <v>103412</v>
      </c>
      <c r="BE427" t="s">
        <v>8591</v>
      </c>
      <c r="BF427" t="str">
        <f>HYPERLINK("http://dx.doi.org/10.1016/j.jsames.2021.103412","http://dx.doi.org/10.1016/j.jsames.2021.103412")</f>
        <v>http://dx.doi.org/10.1016/j.jsames.2021.103412</v>
      </c>
      <c r="BG427" t="s">
        <v>74</v>
      </c>
      <c r="BH427" t="s">
        <v>8134</v>
      </c>
      <c r="BI427">
        <v>9</v>
      </c>
      <c r="BJ427" t="s">
        <v>405</v>
      </c>
      <c r="BK427" t="s">
        <v>128</v>
      </c>
      <c r="BL427" t="s">
        <v>406</v>
      </c>
      <c r="BM427" t="s">
        <v>8592</v>
      </c>
      <c r="BN427" t="s">
        <v>74</v>
      </c>
      <c r="BO427" t="s">
        <v>74</v>
      </c>
      <c r="BP427" t="s">
        <v>74</v>
      </c>
      <c r="BQ427" t="s">
        <v>74</v>
      </c>
      <c r="BR427" t="s">
        <v>102</v>
      </c>
      <c r="BS427" t="s">
        <v>8593</v>
      </c>
      <c r="BT427" t="str">
        <f>HYPERLINK("https%3A%2F%2Fwww.webofscience.com%2Fwos%2Fwoscc%2Ffull-record%2FWOS:000700185200003","View Full Record in Web of Science")</f>
        <v>View Full Record in Web of Science</v>
      </c>
    </row>
    <row r="428" spans="1:72" x14ac:dyDescent="0.15">
      <c r="A428" t="s">
        <v>72</v>
      </c>
      <c r="B428" t="s">
        <v>8594</v>
      </c>
      <c r="C428" t="s">
        <v>74</v>
      </c>
      <c r="D428" t="s">
        <v>74</v>
      </c>
      <c r="E428" t="s">
        <v>74</v>
      </c>
      <c r="F428" t="s">
        <v>8595</v>
      </c>
      <c r="G428" t="s">
        <v>74</v>
      </c>
      <c r="H428" t="s">
        <v>74</v>
      </c>
      <c r="I428" t="s">
        <v>8596</v>
      </c>
      <c r="J428" t="s">
        <v>269</v>
      </c>
      <c r="K428" t="s">
        <v>74</v>
      </c>
      <c r="L428" t="s">
        <v>74</v>
      </c>
      <c r="M428" t="s">
        <v>78</v>
      </c>
      <c r="N428" t="s">
        <v>79</v>
      </c>
      <c r="O428" t="s">
        <v>74</v>
      </c>
      <c r="P428" t="s">
        <v>74</v>
      </c>
      <c r="Q428" t="s">
        <v>74</v>
      </c>
      <c r="R428" t="s">
        <v>74</v>
      </c>
      <c r="S428" t="s">
        <v>74</v>
      </c>
      <c r="T428" t="s">
        <v>8597</v>
      </c>
      <c r="U428" t="s">
        <v>8598</v>
      </c>
      <c r="V428" t="s">
        <v>8599</v>
      </c>
      <c r="W428" t="s">
        <v>8600</v>
      </c>
      <c r="X428" t="s">
        <v>8601</v>
      </c>
      <c r="Y428" t="s">
        <v>8602</v>
      </c>
      <c r="Z428" t="s">
        <v>8603</v>
      </c>
      <c r="AA428" t="s">
        <v>74</v>
      </c>
      <c r="AB428" t="s">
        <v>8604</v>
      </c>
      <c r="AC428" t="s">
        <v>8605</v>
      </c>
      <c r="AD428" t="s">
        <v>8606</v>
      </c>
      <c r="AE428" t="s">
        <v>8607</v>
      </c>
      <c r="AF428" t="s">
        <v>74</v>
      </c>
      <c r="AG428">
        <v>59</v>
      </c>
      <c r="AH428">
        <v>7</v>
      </c>
      <c r="AI428">
        <v>8</v>
      </c>
      <c r="AJ428">
        <v>2</v>
      </c>
      <c r="AK428">
        <v>15</v>
      </c>
      <c r="AL428" t="s">
        <v>281</v>
      </c>
      <c r="AM428" t="s">
        <v>228</v>
      </c>
      <c r="AN428" t="s">
        <v>282</v>
      </c>
      <c r="AO428" t="s">
        <v>283</v>
      </c>
      <c r="AP428" t="s">
        <v>284</v>
      </c>
      <c r="AQ428" t="s">
        <v>74</v>
      </c>
      <c r="AR428" t="s">
        <v>285</v>
      </c>
      <c r="AS428" t="s">
        <v>286</v>
      </c>
      <c r="AT428" t="s">
        <v>3271</v>
      </c>
      <c r="AU428">
        <v>2021</v>
      </c>
      <c r="AV428">
        <v>308</v>
      </c>
      <c r="AW428" t="s">
        <v>74</v>
      </c>
      <c r="AX428" t="s">
        <v>74</v>
      </c>
      <c r="AY428" t="s">
        <v>74</v>
      </c>
      <c r="AZ428" t="s">
        <v>74</v>
      </c>
      <c r="BA428" t="s">
        <v>74</v>
      </c>
      <c r="BB428">
        <v>291</v>
      </c>
      <c r="BC428">
        <v>309</v>
      </c>
      <c r="BD428" t="s">
        <v>74</v>
      </c>
      <c r="BE428" t="s">
        <v>8608</v>
      </c>
      <c r="BF428" t="str">
        <f>HYPERLINK("http://dx.doi.org/10.1016/j.gca.2021.06.009","http://dx.doi.org/10.1016/j.gca.2021.06.009")</f>
        <v>http://dx.doi.org/10.1016/j.gca.2021.06.009</v>
      </c>
      <c r="BG428" t="s">
        <v>74</v>
      </c>
      <c r="BH428" t="s">
        <v>8134</v>
      </c>
      <c r="BI428">
        <v>19</v>
      </c>
      <c r="BJ428" t="s">
        <v>289</v>
      </c>
      <c r="BK428" t="s">
        <v>128</v>
      </c>
      <c r="BL428" t="s">
        <v>289</v>
      </c>
      <c r="BM428" t="s">
        <v>8609</v>
      </c>
      <c r="BN428" t="s">
        <v>74</v>
      </c>
      <c r="BO428" t="s">
        <v>291</v>
      </c>
      <c r="BP428" t="s">
        <v>74</v>
      </c>
      <c r="BQ428" t="s">
        <v>74</v>
      </c>
      <c r="BR428" t="s">
        <v>102</v>
      </c>
      <c r="BS428" t="s">
        <v>8610</v>
      </c>
      <c r="BT428" t="str">
        <f>HYPERLINK("https%3A%2F%2Fwww.webofscience.com%2Fwos%2Fwoscc%2Ffull-record%2FWOS:000677405700003","View Full Record in Web of Science")</f>
        <v>View Full Record in Web of Science</v>
      </c>
    </row>
    <row r="429" spans="1:72" x14ac:dyDescent="0.15">
      <c r="A429" t="s">
        <v>72</v>
      </c>
      <c r="B429" t="s">
        <v>8611</v>
      </c>
      <c r="C429" t="s">
        <v>74</v>
      </c>
      <c r="D429" t="s">
        <v>74</v>
      </c>
      <c r="E429" t="s">
        <v>74</v>
      </c>
      <c r="F429" t="s">
        <v>8612</v>
      </c>
      <c r="G429" t="s">
        <v>74</v>
      </c>
      <c r="H429" t="s">
        <v>74</v>
      </c>
      <c r="I429" t="s">
        <v>8613</v>
      </c>
      <c r="J429" t="s">
        <v>269</v>
      </c>
      <c r="K429" t="s">
        <v>74</v>
      </c>
      <c r="L429" t="s">
        <v>74</v>
      </c>
      <c r="M429" t="s">
        <v>78</v>
      </c>
      <c r="N429" t="s">
        <v>79</v>
      </c>
      <c r="O429" t="s">
        <v>74</v>
      </c>
      <c r="P429" t="s">
        <v>74</v>
      </c>
      <c r="Q429" t="s">
        <v>74</v>
      </c>
      <c r="R429" t="s">
        <v>74</v>
      </c>
      <c r="S429" t="s">
        <v>74</v>
      </c>
      <c r="T429" t="s">
        <v>8614</v>
      </c>
      <c r="U429" t="s">
        <v>8615</v>
      </c>
      <c r="V429" t="s">
        <v>8616</v>
      </c>
      <c r="W429" t="s">
        <v>8617</v>
      </c>
      <c r="X429" t="s">
        <v>8618</v>
      </c>
      <c r="Y429" t="s">
        <v>8619</v>
      </c>
      <c r="Z429" t="s">
        <v>8620</v>
      </c>
      <c r="AA429" t="s">
        <v>74</v>
      </c>
      <c r="AB429" t="s">
        <v>8621</v>
      </c>
      <c r="AC429" t="s">
        <v>8622</v>
      </c>
      <c r="AD429" t="s">
        <v>676</v>
      </c>
      <c r="AE429" t="s">
        <v>8623</v>
      </c>
      <c r="AF429" t="s">
        <v>74</v>
      </c>
      <c r="AG429">
        <v>64</v>
      </c>
      <c r="AH429">
        <v>1</v>
      </c>
      <c r="AI429">
        <v>1</v>
      </c>
      <c r="AJ429">
        <v>0</v>
      </c>
      <c r="AK429">
        <v>4</v>
      </c>
      <c r="AL429" t="s">
        <v>281</v>
      </c>
      <c r="AM429" t="s">
        <v>228</v>
      </c>
      <c r="AN429" t="s">
        <v>282</v>
      </c>
      <c r="AO429" t="s">
        <v>283</v>
      </c>
      <c r="AP429" t="s">
        <v>284</v>
      </c>
      <c r="AQ429" t="s">
        <v>74</v>
      </c>
      <c r="AR429" t="s">
        <v>285</v>
      </c>
      <c r="AS429" t="s">
        <v>286</v>
      </c>
      <c r="AT429" t="s">
        <v>3271</v>
      </c>
      <c r="AU429">
        <v>2021</v>
      </c>
      <c r="AV429">
        <v>308</v>
      </c>
      <c r="AW429" t="s">
        <v>74</v>
      </c>
      <c r="AX429" t="s">
        <v>74</v>
      </c>
      <c r="AY429" t="s">
        <v>74</v>
      </c>
      <c r="AZ429" t="s">
        <v>74</v>
      </c>
      <c r="BA429" t="s">
        <v>74</v>
      </c>
      <c r="BB429">
        <v>310</v>
      </c>
      <c r="BC429">
        <v>325</v>
      </c>
      <c r="BD429" t="s">
        <v>74</v>
      </c>
      <c r="BE429" t="s">
        <v>8624</v>
      </c>
      <c r="BF429" t="str">
        <f>HYPERLINK("http://dx.doi.org/10.1016/j.gca.2021.06.008","http://dx.doi.org/10.1016/j.gca.2021.06.008")</f>
        <v>http://dx.doi.org/10.1016/j.gca.2021.06.008</v>
      </c>
      <c r="BG429" t="s">
        <v>74</v>
      </c>
      <c r="BH429" t="s">
        <v>8134</v>
      </c>
      <c r="BI429">
        <v>16</v>
      </c>
      <c r="BJ429" t="s">
        <v>289</v>
      </c>
      <c r="BK429" t="s">
        <v>128</v>
      </c>
      <c r="BL429" t="s">
        <v>289</v>
      </c>
      <c r="BM429" t="s">
        <v>8609</v>
      </c>
      <c r="BN429" t="s">
        <v>74</v>
      </c>
      <c r="BO429" t="s">
        <v>291</v>
      </c>
      <c r="BP429" t="s">
        <v>74</v>
      </c>
      <c r="BQ429" t="s">
        <v>74</v>
      </c>
      <c r="BR429" t="s">
        <v>102</v>
      </c>
      <c r="BS429" t="s">
        <v>8625</v>
      </c>
      <c r="BT429" t="str">
        <f>HYPERLINK("https%3A%2F%2Fwww.webofscience.com%2Fwos%2Fwoscc%2Ffull-record%2FWOS:000677405700004","View Full Record in Web of Science")</f>
        <v>View Full Record in Web of Science</v>
      </c>
    </row>
    <row r="430" spans="1:72" x14ac:dyDescent="0.15">
      <c r="A430" t="s">
        <v>72</v>
      </c>
      <c r="B430" t="s">
        <v>8626</v>
      </c>
      <c r="C430" t="s">
        <v>74</v>
      </c>
      <c r="D430" t="s">
        <v>74</v>
      </c>
      <c r="E430" t="s">
        <v>74</v>
      </c>
      <c r="F430" t="s">
        <v>8627</v>
      </c>
      <c r="G430" t="s">
        <v>74</v>
      </c>
      <c r="H430" t="s">
        <v>74</v>
      </c>
      <c r="I430" t="s">
        <v>8628</v>
      </c>
      <c r="J430" t="s">
        <v>8629</v>
      </c>
      <c r="K430" t="s">
        <v>74</v>
      </c>
      <c r="L430" t="s">
        <v>74</v>
      </c>
      <c r="M430" t="s">
        <v>78</v>
      </c>
      <c r="N430" t="s">
        <v>79</v>
      </c>
      <c r="O430" t="s">
        <v>74</v>
      </c>
      <c r="P430" t="s">
        <v>74</v>
      </c>
      <c r="Q430" t="s">
        <v>74</v>
      </c>
      <c r="R430" t="s">
        <v>74</v>
      </c>
      <c r="S430" t="s">
        <v>74</v>
      </c>
      <c r="T430" t="s">
        <v>8630</v>
      </c>
      <c r="U430" t="s">
        <v>8631</v>
      </c>
      <c r="V430" t="s">
        <v>8632</v>
      </c>
      <c r="W430" t="s">
        <v>8633</v>
      </c>
      <c r="X430" t="s">
        <v>8634</v>
      </c>
      <c r="Y430" t="s">
        <v>8635</v>
      </c>
      <c r="Z430" t="s">
        <v>8636</v>
      </c>
      <c r="AA430" t="s">
        <v>8637</v>
      </c>
      <c r="AB430" t="s">
        <v>8638</v>
      </c>
      <c r="AC430" t="s">
        <v>8639</v>
      </c>
      <c r="AD430" t="s">
        <v>8639</v>
      </c>
      <c r="AE430" t="s">
        <v>8640</v>
      </c>
      <c r="AF430" t="s">
        <v>74</v>
      </c>
      <c r="AG430">
        <v>92</v>
      </c>
      <c r="AH430">
        <v>11</v>
      </c>
      <c r="AI430">
        <v>11</v>
      </c>
      <c r="AJ430">
        <v>0</v>
      </c>
      <c r="AK430">
        <v>11</v>
      </c>
      <c r="AL430" t="s">
        <v>814</v>
      </c>
      <c r="AM430" t="s">
        <v>815</v>
      </c>
      <c r="AN430" t="s">
        <v>816</v>
      </c>
      <c r="AO430" t="s">
        <v>8641</v>
      </c>
      <c r="AP430" t="s">
        <v>8642</v>
      </c>
      <c r="AQ430" t="s">
        <v>74</v>
      </c>
      <c r="AR430" t="s">
        <v>8643</v>
      </c>
      <c r="AS430" t="s">
        <v>8644</v>
      </c>
      <c r="AT430" t="s">
        <v>96</v>
      </c>
      <c r="AU430">
        <v>2021</v>
      </c>
      <c r="AV430">
        <v>28</v>
      </c>
      <c r="AW430">
        <v>43</v>
      </c>
      <c r="AX430" t="s">
        <v>74</v>
      </c>
      <c r="AY430" t="s">
        <v>74</v>
      </c>
      <c r="AZ430" t="s">
        <v>74</v>
      </c>
      <c r="BA430" t="s">
        <v>74</v>
      </c>
      <c r="BB430">
        <v>61423</v>
      </c>
      <c r="BC430">
        <v>61440</v>
      </c>
      <c r="BD430" t="s">
        <v>74</v>
      </c>
      <c r="BE430" t="s">
        <v>8645</v>
      </c>
      <c r="BF430" t="str">
        <f>HYPERLINK("http://dx.doi.org/10.1007/s11356-021-14972-6","http://dx.doi.org/10.1007/s11356-021-14972-6")</f>
        <v>http://dx.doi.org/10.1007/s11356-021-14972-6</v>
      </c>
      <c r="BG430" t="s">
        <v>74</v>
      </c>
      <c r="BH430" t="s">
        <v>8134</v>
      </c>
      <c r="BI430">
        <v>18</v>
      </c>
      <c r="BJ430" t="s">
        <v>262</v>
      </c>
      <c r="BK430" t="s">
        <v>128</v>
      </c>
      <c r="BL430" t="s">
        <v>263</v>
      </c>
      <c r="BM430" t="s">
        <v>8646</v>
      </c>
      <c r="BN430">
        <v>34176046</v>
      </c>
      <c r="BO430" t="s">
        <v>74</v>
      </c>
      <c r="BP430" t="s">
        <v>74</v>
      </c>
      <c r="BQ430" t="s">
        <v>74</v>
      </c>
      <c r="BR430" t="s">
        <v>102</v>
      </c>
      <c r="BS430" t="s">
        <v>8647</v>
      </c>
      <c r="BT430" t="str">
        <f>HYPERLINK("https%3A%2F%2Fwww.webofscience.com%2Fwos%2Fwoscc%2Ffull-record%2FWOS:000666841800012","View Full Record in Web of Science")</f>
        <v>View Full Record in Web of Science</v>
      </c>
    </row>
    <row r="431" spans="1:72" x14ac:dyDescent="0.15">
      <c r="A431" t="s">
        <v>72</v>
      </c>
      <c r="B431" t="s">
        <v>8648</v>
      </c>
      <c r="C431" t="s">
        <v>74</v>
      </c>
      <c r="D431" t="s">
        <v>74</v>
      </c>
      <c r="E431" t="s">
        <v>74</v>
      </c>
      <c r="F431" t="s">
        <v>8649</v>
      </c>
      <c r="G431" t="s">
        <v>74</v>
      </c>
      <c r="H431" t="s">
        <v>74</v>
      </c>
      <c r="I431" t="s">
        <v>8650</v>
      </c>
      <c r="J431" t="s">
        <v>8651</v>
      </c>
      <c r="K431" t="s">
        <v>74</v>
      </c>
      <c r="L431" t="s">
        <v>74</v>
      </c>
      <c r="M431" t="s">
        <v>78</v>
      </c>
      <c r="N431" t="s">
        <v>79</v>
      </c>
      <c r="O431" t="s">
        <v>74</v>
      </c>
      <c r="P431" t="s">
        <v>74</v>
      </c>
      <c r="Q431" t="s">
        <v>74</v>
      </c>
      <c r="R431" t="s">
        <v>74</v>
      </c>
      <c r="S431" t="s">
        <v>74</v>
      </c>
      <c r="T431" t="s">
        <v>8652</v>
      </c>
      <c r="U431" t="s">
        <v>8653</v>
      </c>
      <c r="V431" t="s">
        <v>8654</v>
      </c>
      <c r="W431" t="s">
        <v>8655</v>
      </c>
      <c r="X431" t="s">
        <v>2640</v>
      </c>
      <c r="Y431" t="s">
        <v>8656</v>
      </c>
      <c r="Z431" t="s">
        <v>8657</v>
      </c>
      <c r="AA431" t="s">
        <v>8658</v>
      </c>
      <c r="AB431" t="s">
        <v>8659</v>
      </c>
      <c r="AC431" t="s">
        <v>8660</v>
      </c>
      <c r="AD431" t="s">
        <v>3657</v>
      </c>
      <c r="AE431" t="s">
        <v>8661</v>
      </c>
      <c r="AF431" t="s">
        <v>74</v>
      </c>
      <c r="AG431">
        <v>88</v>
      </c>
      <c r="AH431">
        <v>5</v>
      </c>
      <c r="AI431">
        <v>5</v>
      </c>
      <c r="AJ431">
        <v>1</v>
      </c>
      <c r="AK431">
        <v>11</v>
      </c>
      <c r="AL431" t="s">
        <v>197</v>
      </c>
      <c r="AM431" t="s">
        <v>198</v>
      </c>
      <c r="AN431" t="s">
        <v>199</v>
      </c>
      <c r="AO431" t="s">
        <v>8662</v>
      </c>
      <c r="AP431" t="s">
        <v>8663</v>
      </c>
      <c r="AQ431" t="s">
        <v>74</v>
      </c>
      <c r="AR431" t="s">
        <v>8664</v>
      </c>
      <c r="AS431" t="s">
        <v>8665</v>
      </c>
      <c r="AT431" t="s">
        <v>2651</v>
      </c>
      <c r="AU431">
        <v>2022</v>
      </c>
      <c r="AV431">
        <v>251</v>
      </c>
      <c r="AW431">
        <v>2</v>
      </c>
      <c r="AX431" t="s">
        <v>74</v>
      </c>
      <c r="AY431" t="s">
        <v>74</v>
      </c>
      <c r="AZ431" t="s">
        <v>74</v>
      </c>
      <c r="BA431" t="s">
        <v>74</v>
      </c>
      <c r="BB431">
        <v>287</v>
      </c>
      <c r="BC431">
        <v>320</v>
      </c>
      <c r="BD431" t="s">
        <v>74</v>
      </c>
      <c r="BE431" t="s">
        <v>8666</v>
      </c>
      <c r="BF431" t="str">
        <f>HYPERLINK("http://dx.doi.org/10.1002/dvdy.388","http://dx.doi.org/10.1002/dvdy.388")</f>
        <v>http://dx.doi.org/10.1002/dvdy.388</v>
      </c>
      <c r="BG431" t="s">
        <v>74</v>
      </c>
      <c r="BH431" t="s">
        <v>8134</v>
      </c>
      <c r="BI431">
        <v>34</v>
      </c>
      <c r="BJ431" t="s">
        <v>8667</v>
      </c>
      <c r="BK431" t="s">
        <v>128</v>
      </c>
      <c r="BL431" t="s">
        <v>8667</v>
      </c>
      <c r="BM431" t="s">
        <v>8668</v>
      </c>
      <c r="BN431">
        <v>34139034</v>
      </c>
      <c r="BO431" t="s">
        <v>8669</v>
      </c>
      <c r="BP431" t="s">
        <v>74</v>
      </c>
      <c r="BQ431" t="s">
        <v>74</v>
      </c>
      <c r="BR431" t="s">
        <v>102</v>
      </c>
      <c r="BS431" t="s">
        <v>8670</v>
      </c>
      <c r="BT431" t="str">
        <f>HYPERLINK("https%3A%2F%2Fwww.webofscience.com%2Fwos%2Fwoscc%2Ffull-record%2FWOS:000666582300001","View Full Record in Web of Science")</f>
        <v>View Full Record in Web of Science</v>
      </c>
    </row>
    <row r="432" spans="1:72" x14ac:dyDescent="0.15">
      <c r="A432" t="s">
        <v>72</v>
      </c>
      <c r="B432" t="s">
        <v>8671</v>
      </c>
      <c r="C432" t="s">
        <v>74</v>
      </c>
      <c r="D432" t="s">
        <v>74</v>
      </c>
      <c r="E432" t="s">
        <v>74</v>
      </c>
      <c r="F432" t="s">
        <v>8672</v>
      </c>
      <c r="G432" t="s">
        <v>74</v>
      </c>
      <c r="H432" t="s">
        <v>74</v>
      </c>
      <c r="I432" t="s">
        <v>8673</v>
      </c>
      <c r="J432" t="s">
        <v>2862</v>
      </c>
      <c r="K432" t="s">
        <v>74</v>
      </c>
      <c r="L432" t="s">
        <v>74</v>
      </c>
      <c r="M432" t="s">
        <v>78</v>
      </c>
      <c r="N432" t="s">
        <v>79</v>
      </c>
      <c r="O432" t="s">
        <v>74</v>
      </c>
      <c r="P432" t="s">
        <v>74</v>
      </c>
      <c r="Q432" t="s">
        <v>74</v>
      </c>
      <c r="R432" t="s">
        <v>74</v>
      </c>
      <c r="S432" t="s">
        <v>74</v>
      </c>
      <c r="T432" t="s">
        <v>8674</v>
      </c>
      <c r="U432" t="s">
        <v>8675</v>
      </c>
      <c r="V432" t="s">
        <v>8676</v>
      </c>
      <c r="W432" t="s">
        <v>8677</v>
      </c>
      <c r="X432" t="s">
        <v>8678</v>
      </c>
      <c r="Y432" t="s">
        <v>8679</v>
      </c>
      <c r="Z432" t="s">
        <v>8680</v>
      </c>
      <c r="AA432" t="s">
        <v>8681</v>
      </c>
      <c r="AB432" t="s">
        <v>8682</v>
      </c>
      <c r="AC432" t="s">
        <v>8683</v>
      </c>
      <c r="AD432" t="s">
        <v>8684</v>
      </c>
      <c r="AE432" t="s">
        <v>8685</v>
      </c>
      <c r="AF432" t="s">
        <v>74</v>
      </c>
      <c r="AG432">
        <v>59</v>
      </c>
      <c r="AH432">
        <v>3</v>
      </c>
      <c r="AI432">
        <v>3</v>
      </c>
      <c r="AJ432">
        <v>0</v>
      </c>
      <c r="AK432">
        <v>5</v>
      </c>
      <c r="AL432" t="s">
        <v>450</v>
      </c>
      <c r="AM432" t="s">
        <v>650</v>
      </c>
      <c r="AN432" t="s">
        <v>1957</v>
      </c>
      <c r="AO432" t="s">
        <v>2874</v>
      </c>
      <c r="AP432" t="s">
        <v>2875</v>
      </c>
      <c r="AQ432" t="s">
        <v>74</v>
      </c>
      <c r="AR432" t="s">
        <v>2876</v>
      </c>
      <c r="AS432" t="s">
        <v>2877</v>
      </c>
      <c r="AT432" t="s">
        <v>535</v>
      </c>
      <c r="AU432">
        <v>2021</v>
      </c>
      <c r="AV432">
        <v>44</v>
      </c>
      <c r="AW432">
        <v>8</v>
      </c>
      <c r="AX432" t="s">
        <v>74</v>
      </c>
      <c r="AY432" t="s">
        <v>74</v>
      </c>
      <c r="AZ432" t="s">
        <v>74</v>
      </c>
      <c r="BA432" t="s">
        <v>74</v>
      </c>
      <c r="BB432">
        <v>1541</v>
      </c>
      <c r="BC432">
        <v>1551</v>
      </c>
      <c r="BD432" t="s">
        <v>74</v>
      </c>
      <c r="BE432" t="s">
        <v>8686</v>
      </c>
      <c r="BF432" t="str">
        <f>HYPERLINK("http://dx.doi.org/10.1007/s00300-021-02889-2","http://dx.doi.org/10.1007/s00300-021-02889-2")</f>
        <v>http://dx.doi.org/10.1007/s00300-021-02889-2</v>
      </c>
      <c r="BG432" t="s">
        <v>74</v>
      </c>
      <c r="BH432" t="s">
        <v>8134</v>
      </c>
      <c r="BI432">
        <v>11</v>
      </c>
      <c r="BJ432" t="s">
        <v>1883</v>
      </c>
      <c r="BK432" t="s">
        <v>128</v>
      </c>
      <c r="BL432" t="s">
        <v>207</v>
      </c>
      <c r="BM432" t="s">
        <v>5619</v>
      </c>
      <c r="BN432" t="s">
        <v>74</v>
      </c>
      <c r="BO432" t="s">
        <v>74</v>
      </c>
      <c r="BP432" t="s">
        <v>74</v>
      </c>
      <c r="BQ432" t="s">
        <v>74</v>
      </c>
      <c r="BR432" t="s">
        <v>102</v>
      </c>
      <c r="BS432" t="s">
        <v>8687</v>
      </c>
      <c r="BT432" t="str">
        <f>HYPERLINK("https%3A%2F%2Fwww.webofscience.com%2Fwos%2Fwoscc%2Ffull-record%2FWOS:000666824900001","View Full Record in Web of Science")</f>
        <v>View Full Record in Web of Science</v>
      </c>
    </row>
    <row r="433" spans="1:72" x14ac:dyDescent="0.15">
      <c r="A433" t="s">
        <v>72</v>
      </c>
      <c r="B433" t="s">
        <v>8688</v>
      </c>
      <c r="C433" t="s">
        <v>74</v>
      </c>
      <c r="D433" t="s">
        <v>74</v>
      </c>
      <c r="E433" t="s">
        <v>74</v>
      </c>
      <c r="F433" t="s">
        <v>8689</v>
      </c>
      <c r="G433" t="s">
        <v>74</v>
      </c>
      <c r="H433" t="s">
        <v>74</v>
      </c>
      <c r="I433" t="s">
        <v>8690</v>
      </c>
      <c r="J433" t="s">
        <v>3061</v>
      </c>
      <c r="K433" t="s">
        <v>74</v>
      </c>
      <c r="L433" t="s">
        <v>74</v>
      </c>
      <c r="M433" t="s">
        <v>78</v>
      </c>
      <c r="N433" t="s">
        <v>79</v>
      </c>
      <c r="O433" t="s">
        <v>74</v>
      </c>
      <c r="P433" t="s">
        <v>74</v>
      </c>
      <c r="Q433" t="s">
        <v>74</v>
      </c>
      <c r="R433" t="s">
        <v>74</v>
      </c>
      <c r="S433" t="s">
        <v>74</v>
      </c>
      <c r="T433" t="s">
        <v>8691</v>
      </c>
      <c r="U433" t="s">
        <v>8692</v>
      </c>
      <c r="V433" t="s">
        <v>8693</v>
      </c>
      <c r="W433" t="s">
        <v>8694</v>
      </c>
      <c r="X433" t="s">
        <v>8695</v>
      </c>
      <c r="Y433" t="s">
        <v>8696</v>
      </c>
      <c r="Z433" t="s">
        <v>8697</v>
      </c>
      <c r="AA433" t="s">
        <v>8698</v>
      </c>
      <c r="AB433" t="s">
        <v>8699</v>
      </c>
      <c r="AC433" t="s">
        <v>8700</v>
      </c>
      <c r="AD433" t="s">
        <v>8701</v>
      </c>
      <c r="AE433" t="s">
        <v>8702</v>
      </c>
      <c r="AF433" t="s">
        <v>74</v>
      </c>
      <c r="AG433">
        <v>94</v>
      </c>
      <c r="AH433">
        <v>13</v>
      </c>
      <c r="AI433">
        <v>14</v>
      </c>
      <c r="AJ433">
        <v>1</v>
      </c>
      <c r="AK433">
        <v>18</v>
      </c>
      <c r="AL433" t="s">
        <v>450</v>
      </c>
      <c r="AM433" t="s">
        <v>650</v>
      </c>
      <c r="AN433" t="s">
        <v>1957</v>
      </c>
      <c r="AO433" t="s">
        <v>3074</v>
      </c>
      <c r="AP433" t="s">
        <v>3075</v>
      </c>
      <c r="AQ433" t="s">
        <v>74</v>
      </c>
      <c r="AR433" t="s">
        <v>3061</v>
      </c>
      <c r="AS433" t="s">
        <v>3076</v>
      </c>
      <c r="AT433" t="s">
        <v>430</v>
      </c>
      <c r="AU433">
        <v>2021</v>
      </c>
      <c r="AV433">
        <v>196</v>
      </c>
      <c r="AW433">
        <v>3</v>
      </c>
      <c r="AX433" t="s">
        <v>74</v>
      </c>
      <c r="AY433" t="s">
        <v>74</v>
      </c>
      <c r="AZ433" t="s">
        <v>74</v>
      </c>
      <c r="BA433" t="s">
        <v>74</v>
      </c>
      <c r="BB433">
        <v>891</v>
      </c>
      <c r="BC433">
        <v>904</v>
      </c>
      <c r="BD433" t="s">
        <v>74</v>
      </c>
      <c r="BE433" t="s">
        <v>8703</v>
      </c>
      <c r="BF433" t="str">
        <f>HYPERLINK("http://dx.doi.org/10.1007/s00442-021-04974-z","http://dx.doi.org/10.1007/s00442-021-04974-z")</f>
        <v>http://dx.doi.org/10.1007/s00442-021-04974-z</v>
      </c>
      <c r="BG433" t="s">
        <v>74</v>
      </c>
      <c r="BH433" t="s">
        <v>8134</v>
      </c>
      <c r="BI433">
        <v>14</v>
      </c>
      <c r="BJ433" t="s">
        <v>1462</v>
      </c>
      <c r="BK433" t="s">
        <v>128</v>
      </c>
      <c r="BL433" t="s">
        <v>263</v>
      </c>
      <c r="BM433" t="s">
        <v>8704</v>
      </c>
      <c r="BN433">
        <v>34173892</v>
      </c>
      <c r="BO433" t="s">
        <v>74</v>
      </c>
      <c r="BP433" t="s">
        <v>74</v>
      </c>
      <c r="BQ433" t="s">
        <v>74</v>
      </c>
      <c r="BR433" t="s">
        <v>102</v>
      </c>
      <c r="BS433" t="s">
        <v>8705</v>
      </c>
      <c r="BT433" t="str">
        <f>HYPERLINK("https%3A%2F%2Fwww.webofscience.com%2Fwos%2Fwoscc%2Ffull-record%2FWOS:000666830600002","View Full Record in Web of Science")</f>
        <v>View Full Record in Web of Science</v>
      </c>
    </row>
    <row r="434" spans="1:72" x14ac:dyDescent="0.15">
      <c r="A434" t="s">
        <v>72</v>
      </c>
      <c r="B434" t="s">
        <v>8706</v>
      </c>
      <c r="C434" t="s">
        <v>74</v>
      </c>
      <c r="D434" t="s">
        <v>74</v>
      </c>
      <c r="E434" t="s">
        <v>74</v>
      </c>
      <c r="F434" t="s">
        <v>8707</v>
      </c>
      <c r="G434" t="s">
        <v>74</v>
      </c>
      <c r="H434" t="s">
        <v>74</v>
      </c>
      <c r="I434" t="s">
        <v>8708</v>
      </c>
      <c r="J434" t="s">
        <v>4481</v>
      </c>
      <c r="K434" t="s">
        <v>74</v>
      </c>
      <c r="L434" t="s">
        <v>74</v>
      </c>
      <c r="M434" t="s">
        <v>78</v>
      </c>
      <c r="N434" t="s">
        <v>79</v>
      </c>
      <c r="O434" t="s">
        <v>74</v>
      </c>
      <c r="P434" t="s">
        <v>74</v>
      </c>
      <c r="Q434" t="s">
        <v>74</v>
      </c>
      <c r="R434" t="s">
        <v>74</v>
      </c>
      <c r="S434" t="s">
        <v>74</v>
      </c>
      <c r="T434" t="s">
        <v>8709</v>
      </c>
      <c r="U434" t="s">
        <v>8710</v>
      </c>
      <c r="V434" t="s">
        <v>8711</v>
      </c>
      <c r="W434" t="s">
        <v>8712</v>
      </c>
      <c r="X434" t="s">
        <v>8713</v>
      </c>
      <c r="Y434" t="s">
        <v>8714</v>
      </c>
      <c r="Z434" t="s">
        <v>8715</v>
      </c>
      <c r="AA434" t="s">
        <v>8716</v>
      </c>
      <c r="AB434" t="s">
        <v>8717</v>
      </c>
      <c r="AC434" t="s">
        <v>8718</v>
      </c>
      <c r="AD434" t="s">
        <v>8719</v>
      </c>
      <c r="AE434" t="s">
        <v>8720</v>
      </c>
      <c r="AF434" t="s">
        <v>74</v>
      </c>
      <c r="AG434">
        <v>71</v>
      </c>
      <c r="AH434">
        <v>3</v>
      </c>
      <c r="AI434">
        <v>3</v>
      </c>
      <c r="AJ434">
        <v>10</v>
      </c>
      <c r="AK434">
        <v>70</v>
      </c>
      <c r="AL434" t="s">
        <v>4494</v>
      </c>
      <c r="AM434" t="s">
        <v>4495</v>
      </c>
      <c r="AN434" t="s">
        <v>4496</v>
      </c>
      <c r="AO434" t="s">
        <v>4497</v>
      </c>
      <c r="AP434" t="s">
        <v>4498</v>
      </c>
      <c r="AQ434" t="s">
        <v>74</v>
      </c>
      <c r="AR434" t="s">
        <v>4499</v>
      </c>
      <c r="AS434" t="s">
        <v>4500</v>
      </c>
      <c r="AT434" t="s">
        <v>204</v>
      </c>
      <c r="AU434">
        <v>2021</v>
      </c>
      <c r="AV434">
        <v>201</v>
      </c>
      <c r="AW434" t="s">
        <v>74</v>
      </c>
      <c r="AX434" t="s">
        <v>74</v>
      </c>
      <c r="AY434" t="s">
        <v>74</v>
      </c>
      <c r="AZ434" t="s">
        <v>74</v>
      </c>
      <c r="BA434" t="s">
        <v>74</v>
      </c>
      <c r="BB434" t="s">
        <v>74</v>
      </c>
      <c r="BC434" t="s">
        <v>74</v>
      </c>
      <c r="BD434">
        <v>111538</v>
      </c>
      <c r="BE434" t="s">
        <v>8721</v>
      </c>
      <c r="BF434" t="str">
        <f>HYPERLINK("http://dx.doi.org/10.1016/j.envres.2021.111538","http://dx.doi.org/10.1016/j.envres.2021.111538")</f>
        <v>http://dx.doi.org/10.1016/j.envres.2021.111538</v>
      </c>
      <c r="BG434" t="s">
        <v>74</v>
      </c>
      <c r="BH434" t="s">
        <v>8134</v>
      </c>
      <c r="BI434">
        <v>9</v>
      </c>
      <c r="BJ434" t="s">
        <v>4502</v>
      </c>
      <c r="BK434" t="s">
        <v>128</v>
      </c>
      <c r="BL434" t="s">
        <v>4503</v>
      </c>
      <c r="BM434" t="s">
        <v>8722</v>
      </c>
      <c r="BN434">
        <v>34166656</v>
      </c>
      <c r="BO434" t="s">
        <v>74</v>
      </c>
      <c r="BP434" t="s">
        <v>74</v>
      </c>
      <c r="BQ434" t="s">
        <v>74</v>
      </c>
      <c r="BR434" t="s">
        <v>102</v>
      </c>
      <c r="BS434" t="s">
        <v>8723</v>
      </c>
      <c r="BT434" t="str">
        <f>HYPERLINK("https%3A%2F%2Fwww.webofscience.com%2Fwos%2Fwoscc%2Ffull-record%2FWOS:000703617200004","View Full Record in Web of Science")</f>
        <v>View Full Record in Web of Science</v>
      </c>
    </row>
    <row r="435" spans="1:72" x14ac:dyDescent="0.15">
      <c r="A435" t="s">
        <v>72</v>
      </c>
      <c r="B435" t="s">
        <v>8724</v>
      </c>
      <c r="C435" t="s">
        <v>74</v>
      </c>
      <c r="D435" t="s">
        <v>74</v>
      </c>
      <c r="E435" t="s">
        <v>74</v>
      </c>
      <c r="F435" t="s">
        <v>8725</v>
      </c>
      <c r="G435" t="s">
        <v>74</v>
      </c>
      <c r="H435" t="s">
        <v>74</v>
      </c>
      <c r="I435" t="s">
        <v>8726</v>
      </c>
      <c r="J435" t="s">
        <v>2594</v>
      </c>
      <c r="K435" t="s">
        <v>74</v>
      </c>
      <c r="L435" t="s">
        <v>74</v>
      </c>
      <c r="M435" t="s">
        <v>78</v>
      </c>
      <c r="N435" t="s">
        <v>79</v>
      </c>
      <c r="O435" t="s">
        <v>74</v>
      </c>
      <c r="P435" t="s">
        <v>74</v>
      </c>
      <c r="Q435" t="s">
        <v>74</v>
      </c>
      <c r="R435" t="s">
        <v>74</v>
      </c>
      <c r="S435" t="s">
        <v>74</v>
      </c>
      <c r="T435" t="s">
        <v>74</v>
      </c>
      <c r="U435" t="s">
        <v>8727</v>
      </c>
      <c r="V435" t="s">
        <v>8728</v>
      </c>
      <c r="W435" t="s">
        <v>8729</v>
      </c>
      <c r="X435" t="s">
        <v>8730</v>
      </c>
      <c r="Y435" t="s">
        <v>8731</v>
      </c>
      <c r="Z435" t="s">
        <v>8732</v>
      </c>
      <c r="AA435" t="s">
        <v>8733</v>
      </c>
      <c r="AB435" t="s">
        <v>8734</v>
      </c>
      <c r="AC435" t="s">
        <v>8735</v>
      </c>
      <c r="AD435" t="s">
        <v>8735</v>
      </c>
      <c r="AE435" t="s">
        <v>8736</v>
      </c>
      <c r="AF435" t="s">
        <v>74</v>
      </c>
      <c r="AG435">
        <v>72</v>
      </c>
      <c r="AH435">
        <v>10</v>
      </c>
      <c r="AI435">
        <v>11</v>
      </c>
      <c r="AJ435">
        <v>1</v>
      </c>
      <c r="AK435">
        <v>6</v>
      </c>
      <c r="AL435" t="s">
        <v>395</v>
      </c>
      <c r="AM435" t="s">
        <v>396</v>
      </c>
      <c r="AN435" t="s">
        <v>397</v>
      </c>
      <c r="AO435" t="s">
        <v>2605</v>
      </c>
      <c r="AP435" t="s">
        <v>74</v>
      </c>
      <c r="AQ435" t="s">
        <v>74</v>
      </c>
      <c r="AR435" t="s">
        <v>2606</v>
      </c>
      <c r="AS435" t="s">
        <v>2607</v>
      </c>
      <c r="AT435" t="s">
        <v>8737</v>
      </c>
      <c r="AU435">
        <v>2021</v>
      </c>
      <c r="AV435">
        <v>11</v>
      </c>
      <c r="AW435">
        <v>1</v>
      </c>
      <c r="AX435" t="s">
        <v>74</v>
      </c>
      <c r="AY435" t="s">
        <v>74</v>
      </c>
      <c r="AZ435" t="s">
        <v>74</v>
      </c>
      <c r="BA435" t="s">
        <v>74</v>
      </c>
      <c r="BB435" t="s">
        <v>74</v>
      </c>
      <c r="BC435" t="s">
        <v>74</v>
      </c>
      <c r="BD435">
        <v>13331</v>
      </c>
      <c r="BE435" t="s">
        <v>8738</v>
      </c>
      <c r="BF435" t="str">
        <f>HYPERLINK("http://dx.doi.org/10.1038/s41598-021-92635-9","http://dx.doi.org/10.1038/s41598-021-92635-9")</f>
        <v>http://dx.doi.org/10.1038/s41598-021-92635-9</v>
      </c>
      <c r="BG435" t="s">
        <v>74</v>
      </c>
      <c r="BH435" t="s">
        <v>74</v>
      </c>
      <c r="BI435">
        <v>13</v>
      </c>
      <c r="BJ435" t="s">
        <v>2609</v>
      </c>
      <c r="BK435" t="s">
        <v>128</v>
      </c>
      <c r="BL435" t="s">
        <v>2610</v>
      </c>
      <c r="BM435" t="s">
        <v>8739</v>
      </c>
      <c r="BN435">
        <v>34172785</v>
      </c>
      <c r="BO435" t="s">
        <v>1377</v>
      </c>
      <c r="BP435" t="s">
        <v>74</v>
      </c>
      <c r="BQ435" t="s">
        <v>74</v>
      </c>
      <c r="BR435" t="s">
        <v>102</v>
      </c>
      <c r="BS435" t="s">
        <v>8740</v>
      </c>
      <c r="BT435" t="str">
        <f>HYPERLINK("https%3A%2F%2Fwww.webofscience.com%2Fwos%2Fwoscc%2Ffull-record%2FWOS:000669452600013","View Full Record in Web of Science")</f>
        <v>View Full Record in Web of Science</v>
      </c>
    </row>
    <row r="436" spans="1:72" x14ac:dyDescent="0.15">
      <c r="A436" t="s">
        <v>72</v>
      </c>
      <c r="B436" t="s">
        <v>8741</v>
      </c>
      <c r="C436" t="s">
        <v>74</v>
      </c>
      <c r="D436" t="s">
        <v>74</v>
      </c>
      <c r="E436" t="s">
        <v>74</v>
      </c>
      <c r="F436" t="s">
        <v>8742</v>
      </c>
      <c r="G436" t="s">
        <v>74</v>
      </c>
      <c r="H436" t="s">
        <v>74</v>
      </c>
      <c r="I436" t="s">
        <v>8743</v>
      </c>
      <c r="J436" t="s">
        <v>107</v>
      </c>
      <c r="K436" t="s">
        <v>74</v>
      </c>
      <c r="L436" t="s">
        <v>74</v>
      </c>
      <c r="M436" t="s">
        <v>78</v>
      </c>
      <c r="N436" t="s">
        <v>79</v>
      </c>
      <c r="O436" t="s">
        <v>74</v>
      </c>
      <c r="P436" t="s">
        <v>74</v>
      </c>
      <c r="Q436" t="s">
        <v>74</v>
      </c>
      <c r="R436" t="s">
        <v>74</v>
      </c>
      <c r="S436" t="s">
        <v>74</v>
      </c>
      <c r="T436" t="s">
        <v>8744</v>
      </c>
      <c r="U436" t="s">
        <v>8745</v>
      </c>
      <c r="V436" t="s">
        <v>8746</v>
      </c>
      <c r="W436" t="s">
        <v>8747</v>
      </c>
      <c r="X436" t="s">
        <v>8748</v>
      </c>
      <c r="Y436" t="s">
        <v>8749</v>
      </c>
      <c r="Z436" t="s">
        <v>8750</v>
      </c>
      <c r="AA436" t="s">
        <v>74</v>
      </c>
      <c r="AB436" t="s">
        <v>8751</v>
      </c>
      <c r="AC436" t="s">
        <v>8752</v>
      </c>
      <c r="AD436" t="s">
        <v>8753</v>
      </c>
      <c r="AE436" t="s">
        <v>8754</v>
      </c>
      <c r="AF436" t="s">
        <v>74</v>
      </c>
      <c r="AG436">
        <v>96</v>
      </c>
      <c r="AH436">
        <v>2</v>
      </c>
      <c r="AI436">
        <v>2</v>
      </c>
      <c r="AJ436">
        <v>1</v>
      </c>
      <c r="AK436">
        <v>5</v>
      </c>
      <c r="AL436" t="s">
        <v>119</v>
      </c>
      <c r="AM436" t="s">
        <v>120</v>
      </c>
      <c r="AN436" t="s">
        <v>121</v>
      </c>
      <c r="AO436" t="s">
        <v>74</v>
      </c>
      <c r="AP436" t="s">
        <v>122</v>
      </c>
      <c r="AQ436" t="s">
        <v>74</v>
      </c>
      <c r="AR436" t="s">
        <v>123</v>
      </c>
      <c r="AS436" t="s">
        <v>124</v>
      </c>
      <c r="AT436" t="s">
        <v>8737</v>
      </c>
      <c r="AU436">
        <v>2021</v>
      </c>
      <c r="AV436">
        <v>8</v>
      </c>
      <c r="AW436" t="s">
        <v>74</v>
      </c>
      <c r="AX436" t="s">
        <v>74</v>
      </c>
      <c r="AY436" t="s">
        <v>74</v>
      </c>
      <c r="AZ436" t="s">
        <v>74</v>
      </c>
      <c r="BA436" t="s">
        <v>74</v>
      </c>
      <c r="BB436" t="s">
        <v>74</v>
      </c>
      <c r="BC436" t="s">
        <v>74</v>
      </c>
      <c r="BD436">
        <v>655321</v>
      </c>
      <c r="BE436" t="s">
        <v>8755</v>
      </c>
      <c r="BF436" t="str">
        <f>HYPERLINK("http://dx.doi.org/10.3389/fmars.2021.655321","http://dx.doi.org/10.3389/fmars.2021.655321")</f>
        <v>http://dx.doi.org/10.3389/fmars.2021.655321</v>
      </c>
      <c r="BG436" t="s">
        <v>74</v>
      </c>
      <c r="BH436" t="s">
        <v>74</v>
      </c>
      <c r="BI436">
        <v>20</v>
      </c>
      <c r="BJ436" t="s">
        <v>127</v>
      </c>
      <c r="BK436" t="s">
        <v>128</v>
      </c>
      <c r="BL436" t="s">
        <v>129</v>
      </c>
      <c r="BM436" t="s">
        <v>8756</v>
      </c>
      <c r="BN436" t="s">
        <v>74</v>
      </c>
      <c r="BO436" t="s">
        <v>2630</v>
      </c>
      <c r="BP436" t="s">
        <v>74</v>
      </c>
      <c r="BQ436" t="s">
        <v>74</v>
      </c>
      <c r="BR436" t="s">
        <v>102</v>
      </c>
      <c r="BS436" t="s">
        <v>8757</v>
      </c>
      <c r="BT436" t="str">
        <f>HYPERLINK("https%3A%2F%2Fwww.webofscience.com%2Fwos%2Fwoscc%2Ffull-record%2FWOS:000672861700001","View Full Record in Web of Science")</f>
        <v>View Full Record in Web of Science</v>
      </c>
    </row>
    <row r="437" spans="1:72" x14ac:dyDescent="0.15">
      <c r="A437" t="s">
        <v>72</v>
      </c>
      <c r="B437" t="s">
        <v>8758</v>
      </c>
      <c r="C437" t="s">
        <v>74</v>
      </c>
      <c r="D437" t="s">
        <v>74</v>
      </c>
      <c r="E437" t="s">
        <v>74</v>
      </c>
      <c r="F437" t="s">
        <v>8759</v>
      </c>
      <c r="G437" t="s">
        <v>74</v>
      </c>
      <c r="H437" t="s">
        <v>74</v>
      </c>
      <c r="I437" t="s">
        <v>8760</v>
      </c>
      <c r="J437" t="s">
        <v>8761</v>
      </c>
      <c r="K437" t="s">
        <v>74</v>
      </c>
      <c r="L437" t="s">
        <v>74</v>
      </c>
      <c r="M437" t="s">
        <v>78</v>
      </c>
      <c r="N437" t="s">
        <v>700</v>
      </c>
      <c r="O437" t="s">
        <v>74</v>
      </c>
      <c r="P437" t="s">
        <v>74</v>
      </c>
      <c r="Q437" t="s">
        <v>74</v>
      </c>
      <c r="R437" t="s">
        <v>74</v>
      </c>
      <c r="S437" t="s">
        <v>74</v>
      </c>
      <c r="T437" t="s">
        <v>8762</v>
      </c>
      <c r="U437" t="s">
        <v>8763</v>
      </c>
      <c r="V437" t="s">
        <v>8764</v>
      </c>
      <c r="W437" t="s">
        <v>8765</v>
      </c>
      <c r="X437" t="s">
        <v>8766</v>
      </c>
      <c r="Y437" t="s">
        <v>8767</v>
      </c>
      <c r="Z437" t="s">
        <v>8768</v>
      </c>
      <c r="AA437" t="s">
        <v>8769</v>
      </c>
      <c r="AB437" t="s">
        <v>8770</v>
      </c>
      <c r="AC437" t="s">
        <v>8771</v>
      </c>
      <c r="AD437" t="s">
        <v>8772</v>
      </c>
      <c r="AE437" t="s">
        <v>8773</v>
      </c>
      <c r="AF437" t="s">
        <v>74</v>
      </c>
      <c r="AG437">
        <v>329</v>
      </c>
      <c r="AH437">
        <v>18</v>
      </c>
      <c r="AI437">
        <v>18</v>
      </c>
      <c r="AJ437">
        <v>3</v>
      </c>
      <c r="AK437">
        <v>40</v>
      </c>
      <c r="AL437" t="s">
        <v>119</v>
      </c>
      <c r="AM437" t="s">
        <v>120</v>
      </c>
      <c r="AN437" t="s">
        <v>121</v>
      </c>
      <c r="AO437" t="s">
        <v>8774</v>
      </c>
      <c r="AP437" t="s">
        <v>74</v>
      </c>
      <c r="AQ437" t="s">
        <v>74</v>
      </c>
      <c r="AR437" t="s">
        <v>8775</v>
      </c>
      <c r="AS437" t="s">
        <v>8776</v>
      </c>
      <c r="AT437" t="s">
        <v>8737</v>
      </c>
      <c r="AU437">
        <v>2021</v>
      </c>
      <c r="AV437">
        <v>9</v>
      </c>
      <c r="AW437" t="s">
        <v>74</v>
      </c>
      <c r="AX437" t="s">
        <v>74</v>
      </c>
      <c r="AY437" t="s">
        <v>74</v>
      </c>
      <c r="AZ437" t="s">
        <v>74</v>
      </c>
      <c r="BA437" t="s">
        <v>74</v>
      </c>
      <c r="BB437" t="s">
        <v>74</v>
      </c>
      <c r="BC437" t="s">
        <v>74</v>
      </c>
      <c r="BD437">
        <v>624918</v>
      </c>
      <c r="BE437" t="s">
        <v>8777</v>
      </c>
      <c r="BF437" t="str">
        <f>HYPERLINK("http://dx.doi.org/10.3389/fevo.2021.624918","http://dx.doi.org/10.3389/fevo.2021.624918")</f>
        <v>http://dx.doi.org/10.3389/fevo.2021.624918</v>
      </c>
      <c r="BG437" t="s">
        <v>74</v>
      </c>
      <c r="BH437" t="s">
        <v>74</v>
      </c>
      <c r="BI437">
        <v>25</v>
      </c>
      <c r="BJ437" t="s">
        <v>1462</v>
      </c>
      <c r="BK437" t="s">
        <v>128</v>
      </c>
      <c r="BL437" t="s">
        <v>263</v>
      </c>
      <c r="BM437" t="s">
        <v>8778</v>
      </c>
      <c r="BN437" t="s">
        <v>74</v>
      </c>
      <c r="BO437" t="s">
        <v>486</v>
      </c>
      <c r="BP437" t="s">
        <v>74</v>
      </c>
      <c r="BQ437" t="s">
        <v>74</v>
      </c>
      <c r="BR437" t="s">
        <v>102</v>
      </c>
      <c r="BS437" t="s">
        <v>8779</v>
      </c>
      <c r="BT437" t="str">
        <f>HYPERLINK("https%3A%2F%2Fwww.webofscience.com%2Fwos%2Fwoscc%2Ffull-record%2FWOS:000670774200001","View Full Record in Web of Science")</f>
        <v>View Full Record in Web of Science</v>
      </c>
    </row>
    <row r="438" spans="1:72" x14ac:dyDescent="0.15">
      <c r="A438" t="s">
        <v>72</v>
      </c>
      <c r="B438" t="s">
        <v>8780</v>
      </c>
      <c r="C438" t="s">
        <v>74</v>
      </c>
      <c r="D438" t="s">
        <v>74</v>
      </c>
      <c r="E438" t="s">
        <v>74</v>
      </c>
      <c r="F438" t="s">
        <v>8781</v>
      </c>
      <c r="G438" t="s">
        <v>74</v>
      </c>
      <c r="H438" t="s">
        <v>74</v>
      </c>
      <c r="I438" t="s">
        <v>8782</v>
      </c>
      <c r="J438" t="s">
        <v>2862</v>
      </c>
      <c r="K438" t="s">
        <v>74</v>
      </c>
      <c r="L438" t="s">
        <v>74</v>
      </c>
      <c r="M438" t="s">
        <v>78</v>
      </c>
      <c r="N438" t="s">
        <v>79</v>
      </c>
      <c r="O438" t="s">
        <v>74</v>
      </c>
      <c r="P438" t="s">
        <v>74</v>
      </c>
      <c r="Q438" t="s">
        <v>74</v>
      </c>
      <c r="R438" t="s">
        <v>74</v>
      </c>
      <c r="S438" t="s">
        <v>74</v>
      </c>
      <c r="T438" t="s">
        <v>8783</v>
      </c>
      <c r="U438" t="s">
        <v>8784</v>
      </c>
      <c r="V438" t="s">
        <v>8785</v>
      </c>
      <c r="W438" t="s">
        <v>8786</v>
      </c>
      <c r="X438" t="s">
        <v>8787</v>
      </c>
      <c r="Y438" t="s">
        <v>8788</v>
      </c>
      <c r="Z438" t="s">
        <v>8789</v>
      </c>
      <c r="AA438" t="s">
        <v>74</v>
      </c>
      <c r="AB438" t="s">
        <v>8790</v>
      </c>
      <c r="AC438" t="s">
        <v>8791</v>
      </c>
      <c r="AD438" t="s">
        <v>6544</v>
      </c>
      <c r="AE438" t="s">
        <v>8792</v>
      </c>
      <c r="AF438" t="s">
        <v>74</v>
      </c>
      <c r="AG438">
        <v>108</v>
      </c>
      <c r="AH438">
        <v>5</v>
      </c>
      <c r="AI438">
        <v>6</v>
      </c>
      <c r="AJ438">
        <v>0</v>
      </c>
      <c r="AK438">
        <v>9</v>
      </c>
      <c r="AL438" t="s">
        <v>450</v>
      </c>
      <c r="AM438" t="s">
        <v>650</v>
      </c>
      <c r="AN438" t="s">
        <v>1957</v>
      </c>
      <c r="AO438" t="s">
        <v>2874</v>
      </c>
      <c r="AP438" t="s">
        <v>2875</v>
      </c>
      <c r="AQ438" t="s">
        <v>74</v>
      </c>
      <c r="AR438" t="s">
        <v>2876</v>
      </c>
      <c r="AS438" t="s">
        <v>2877</v>
      </c>
      <c r="AT438" t="s">
        <v>535</v>
      </c>
      <c r="AU438">
        <v>2021</v>
      </c>
      <c r="AV438">
        <v>44</v>
      </c>
      <c r="AW438">
        <v>8</v>
      </c>
      <c r="AX438" t="s">
        <v>74</v>
      </c>
      <c r="AY438" t="s">
        <v>74</v>
      </c>
      <c r="AZ438" t="s">
        <v>74</v>
      </c>
      <c r="BA438" t="s">
        <v>74</v>
      </c>
      <c r="BB438">
        <v>1655</v>
      </c>
      <c r="BC438">
        <v>1667</v>
      </c>
      <c r="BD438" t="s">
        <v>74</v>
      </c>
      <c r="BE438" t="s">
        <v>8793</v>
      </c>
      <c r="BF438" t="str">
        <f>HYPERLINK("http://dx.doi.org/10.1007/s00300-021-02908-2","http://dx.doi.org/10.1007/s00300-021-02908-2")</f>
        <v>http://dx.doi.org/10.1007/s00300-021-02908-2</v>
      </c>
      <c r="BG438" t="s">
        <v>74</v>
      </c>
      <c r="BH438" t="s">
        <v>8134</v>
      </c>
      <c r="BI438">
        <v>13</v>
      </c>
      <c r="BJ438" t="s">
        <v>1883</v>
      </c>
      <c r="BK438" t="s">
        <v>100</v>
      </c>
      <c r="BL438" t="s">
        <v>207</v>
      </c>
      <c r="BM438" t="s">
        <v>5619</v>
      </c>
      <c r="BN438" t="s">
        <v>74</v>
      </c>
      <c r="BO438" t="s">
        <v>74</v>
      </c>
      <c r="BP438" t="s">
        <v>74</v>
      </c>
      <c r="BQ438" t="s">
        <v>74</v>
      </c>
      <c r="BR438" t="s">
        <v>102</v>
      </c>
      <c r="BS438" t="s">
        <v>8794</v>
      </c>
      <c r="BT438" t="str">
        <f>HYPERLINK("https%3A%2F%2Fwww.webofscience.com%2Fwos%2Fwoscc%2Ffull-record%2FWOS:000666964300003","View Full Record in Web of Science")</f>
        <v>View Full Record in Web of Science</v>
      </c>
    </row>
    <row r="439" spans="1:72" x14ac:dyDescent="0.15">
      <c r="A439" t="s">
        <v>72</v>
      </c>
      <c r="B439" t="s">
        <v>8795</v>
      </c>
      <c r="C439" t="s">
        <v>74</v>
      </c>
      <c r="D439" t="s">
        <v>74</v>
      </c>
      <c r="E439" t="s">
        <v>74</v>
      </c>
      <c r="F439" t="s">
        <v>8796</v>
      </c>
      <c r="G439" t="s">
        <v>74</v>
      </c>
      <c r="H439" t="s">
        <v>74</v>
      </c>
      <c r="I439" t="s">
        <v>8797</v>
      </c>
      <c r="J439" t="s">
        <v>2862</v>
      </c>
      <c r="K439" t="s">
        <v>74</v>
      </c>
      <c r="L439" t="s">
        <v>74</v>
      </c>
      <c r="M439" t="s">
        <v>78</v>
      </c>
      <c r="N439" t="s">
        <v>79</v>
      </c>
      <c r="O439" t="s">
        <v>74</v>
      </c>
      <c r="P439" t="s">
        <v>74</v>
      </c>
      <c r="Q439" t="s">
        <v>74</v>
      </c>
      <c r="R439" t="s">
        <v>74</v>
      </c>
      <c r="S439" t="s">
        <v>74</v>
      </c>
      <c r="T439" t="s">
        <v>8798</v>
      </c>
      <c r="U439" t="s">
        <v>8799</v>
      </c>
      <c r="V439" t="s">
        <v>8800</v>
      </c>
      <c r="W439" t="s">
        <v>8801</v>
      </c>
      <c r="X439" t="s">
        <v>8802</v>
      </c>
      <c r="Y439" t="s">
        <v>8803</v>
      </c>
      <c r="Z439" t="s">
        <v>8804</v>
      </c>
      <c r="AA439" t="s">
        <v>8805</v>
      </c>
      <c r="AB439" t="s">
        <v>8806</v>
      </c>
      <c r="AC439" t="s">
        <v>8807</v>
      </c>
      <c r="AD439" t="s">
        <v>8808</v>
      </c>
      <c r="AE439" t="s">
        <v>8809</v>
      </c>
      <c r="AF439" t="s">
        <v>74</v>
      </c>
      <c r="AG439">
        <v>115</v>
      </c>
      <c r="AH439">
        <v>4</v>
      </c>
      <c r="AI439">
        <v>4</v>
      </c>
      <c r="AJ439">
        <v>0</v>
      </c>
      <c r="AK439">
        <v>7</v>
      </c>
      <c r="AL439" t="s">
        <v>450</v>
      </c>
      <c r="AM439" t="s">
        <v>650</v>
      </c>
      <c r="AN439" t="s">
        <v>1957</v>
      </c>
      <c r="AO439" t="s">
        <v>2874</v>
      </c>
      <c r="AP439" t="s">
        <v>2875</v>
      </c>
      <c r="AQ439" t="s">
        <v>74</v>
      </c>
      <c r="AR439" t="s">
        <v>2876</v>
      </c>
      <c r="AS439" t="s">
        <v>2877</v>
      </c>
      <c r="AT439" t="s">
        <v>535</v>
      </c>
      <c r="AU439">
        <v>2021</v>
      </c>
      <c r="AV439">
        <v>44</v>
      </c>
      <c r="AW439">
        <v>8</v>
      </c>
      <c r="AX439" t="s">
        <v>74</v>
      </c>
      <c r="AY439" t="s">
        <v>74</v>
      </c>
      <c r="AZ439" t="s">
        <v>74</v>
      </c>
      <c r="BA439" t="s">
        <v>74</v>
      </c>
      <c r="BB439">
        <v>1669</v>
      </c>
      <c r="BC439">
        <v>1689</v>
      </c>
      <c r="BD439" t="s">
        <v>74</v>
      </c>
      <c r="BE439" t="s">
        <v>8810</v>
      </c>
      <c r="BF439" t="str">
        <f>HYPERLINK("http://dx.doi.org/10.1007/s00300-021-02909-1","http://dx.doi.org/10.1007/s00300-021-02909-1")</f>
        <v>http://dx.doi.org/10.1007/s00300-021-02909-1</v>
      </c>
      <c r="BG439" t="s">
        <v>74</v>
      </c>
      <c r="BH439" t="s">
        <v>8134</v>
      </c>
      <c r="BI439">
        <v>21</v>
      </c>
      <c r="BJ439" t="s">
        <v>1883</v>
      </c>
      <c r="BK439" t="s">
        <v>128</v>
      </c>
      <c r="BL439" t="s">
        <v>207</v>
      </c>
      <c r="BM439" t="s">
        <v>5619</v>
      </c>
      <c r="BN439" t="s">
        <v>74</v>
      </c>
      <c r="BO439" t="s">
        <v>408</v>
      </c>
      <c r="BP439" t="s">
        <v>74</v>
      </c>
      <c r="BQ439" t="s">
        <v>74</v>
      </c>
      <c r="BR439" t="s">
        <v>102</v>
      </c>
      <c r="BS439" t="s">
        <v>8811</v>
      </c>
      <c r="BT439" t="str">
        <f>HYPERLINK("https%3A%2F%2Fwww.webofscience.com%2Fwos%2Fwoscc%2Ffull-record%2FWOS:000666964300002","View Full Record in Web of Science")</f>
        <v>View Full Record in Web of Science</v>
      </c>
    </row>
    <row r="440" spans="1:72" x14ac:dyDescent="0.15">
      <c r="A440" t="s">
        <v>72</v>
      </c>
      <c r="B440" t="s">
        <v>8812</v>
      </c>
      <c r="C440" t="s">
        <v>74</v>
      </c>
      <c r="D440" t="s">
        <v>74</v>
      </c>
      <c r="E440" t="s">
        <v>74</v>
      </c>
      <c r="F440" t="s">
        <v>8813</v>
      </c>
      <c r="G440" t="s">
        <v>74</v>
      </c>
      <c r="H440" t="s">
        <v>74</v>
      </c>
      <c r="I440" t="s">
        <v>8814</v>
      </c>
      <c r="J440" t="s">
        <v>8815</v>
      </c>
      <c r="K440" t="s">
        <v>74</v>
      </c>
      <c r="L440" t="s">
        <v>74</v>
      </c>
      <c r="M440" t="s">
        <v>78</v>
      </c>
      <c r="N440" t="s">
        <v>79</v>
      </c>
      <c r="O440" t="s">
        <v>74</v>
      </c>
      <c r="P440" t="s">
        <v>74</v>
      </c>
      <c r="Q440" t="s">
        <v>74</v>
      </c>
      <c r="R440" t="s">
        <v>74</v>
      </c>
      <c r="S440" t="s">
        <v>74</v>
      </c>
      <c r="T440" t="s">
        <v>8816</v>
      </c>
      <c r="U440" t="s">
        <v>8817</v>
      </c>
      <c r="V440" t="s">
        <v>8818</v>
      </c>
      <c r="W440" t="s">
        <v>8819</v>
      </c>
      <c r="X440" t="s">
        <v>8820</v>
      </c>
      <c r="Y440" t="s">
        <v>8821</v>
      </c>
      <c r="Z440" t="s">
        <v>8822</v>
      </c>
      <c r="AA440" t="s">
        <v>8823</v>
      </c>
      <c r="AB440" t="s">
        <v>8824</v>
      </c>
      <c r="AC440" t="s">
        <v>8825</v>
      </c>
      <c r="AD440" t="s">
        <v>8826</v>
      </c>
      <c r="AE440" t="s">
        <v>8827</v>
      </c>
      <c r="AF440" t="s">
        <v>74</v>
      </c>
      <c r="AG440">
        <v>46</v>
      </c>
      <c r="AH440">
        <v>5</v>
      </c>
      <c r="AI440">
        <v>5</v>
      </c>
      <c r="AJ440">
        <v>3</v>
      </c>
      <c r="AK440">
        <v>5</v>
      </c>
      <c r="AL440" t="s">
        <v>281</v>
      </c>
      <c r="AM440" t="s">
        <v>228</v>
      </c>
      <c r="AN440" t="s">
        <v>282</v>
      </c>
      <c r="AO440" t="s">
        <v>8828</v>
      </c>
      <c r="AP440" t="s">
        <v>8829</v>
      </c>
      <c r="AQ440" t="s">
        <v>74</v>
      </c>
      <c r="AR440" t="s">
        <v>8830</v>
      </c>
      <c r="AS440" t="s">
        <v>8831</v>
      </c>
      <c r="AT440" t="s">
        <v>204</v>
      </c>
      <c r="AU440">
        <v>2021</v>
      </c>
      <c r="AV440">
        <v>187</v>
      </c>
      <c r="AW440" t="s">
        <v>74</v>
      </c>
      <c r="AX440" t="s">
        <v>74</v>
      </c>
      <c r="AY440" t="s">
        <v>74</v>
      </c>
      <c r="AZ440" t="s">
        <v>74</v>
      </c>
      <c r="BA440" t="s">
        <v>74</v>
      </c>
      <c r="BB440">
        <v>36</v>
      </c>
      <c r="BC440">
        <v>42</v>
      </c>
      <c r="BD440" t="s">
        <v>74</v>
      </c>
      <c r="BE440" t="s">
        <v>8832</v>
      </c>
      <c r="BF440" t="str">
        <f>HYPERLINK("http://dx.doi.org/10.1016/j.actaastro.2021.05.045","http://dx.doi.org/10.1016/j.actaastro.2021.05.045")</f>
        <v>http://dx.doi.org/10.1016/j.actaastro.2021.05.045</v>
      </c>
      <c r="BG440" t="s">
        <v>74</v>
      </c>
      <c r="BH440" t="s">
        <v>8134</v>
      </c>
      <c r="BI440">
        <v>7</v>
      </c>
      <c r="BJ440" t="s">
        <v>8833</v>
      </c>
      <c r="BK440" t="s">
        <v>100</v>
      </c>
      <c r="BL440" t="s">
        <v>2974</v>
      </c>
      <c r="BM440" t="s">
        <v>8834</v>
      </c>
      <c r="BN440" t="s">
        <v>74</v>
      </c>
      <c r="BO440" t="s">
        <v>74</v>
      </c>
      <c r="BP440" t="s">
        <v>74</v>
      </c>
      <c r="BQ440" t="s">
        <v>74</v>
      </c>
      <c r="BR440" t="s">
        <v>102</v>
      </c>
      <c r="BS440" t="s">
        <v>8835</v>
      </c>
      <c r="BT440" t="str">
        <f>HYPERLINK("https%3A%2F%2Fwww.webofscience.com%2Fwos%2Fwoscc%2Ffull-record%2FWOS:000686218700004","View Full Record in Web of Science")</f>
        <v>View Full Record in Web of Science</v>
      </c>
    </row>
    <row r="441" spans="1:72" x14ac:dyDescent="0.15">
      <c r="A441" t="s">
        <v>72</v>
      </c>
      <c r="B441" t="s">
        <v>8836</v>
      </c>
      <c r="C441" t="s">
        <v>74</v>
      </c>
      <c r="D441" t="s">
        <v>74</v>
      </c>
      <c r="E441" t="s">
        <v>74</v>
      </c>
      <c r="F441" t="s">
        <v>8837</v>
      </c>
      <c r="G441" t="s">
        <v>74</v>
      </c>
      <c r="H441" t="s">
        <v>74</v>
      </c>
      <c r="I441" t="s">
        <v>8838</v>
      </c>
      <c r="J441" t="s">
        <v>5154</v>
      </c>
      <c r="K441" t="s">
        <v>74</v>
      </c>
      <c r="L441" t="s">
        <v>74</v>
      </c>
      <c r="M441" t="s">
        <v>78</v>
      </c>
      <c r="N441" t="s">
        <v>700</v>
      </c>
      <c r="O441" t="s">
        <v>74</v>
      </c>
      <c r="P441" t="s">
        <v>74</v>
      </c>
      <c r="Q441" t="s">
        <v>74</v>
      </c>
      <c r="R441" t="s">
        <v>74</v>
      </c>
      <c r="S441" t="s">
        <v>74</v>
      </c>
      <c r="T441" t="s">
        <v>8839</v>
      </c>
      <c r="U441" t="s">
        <v>8840</v>
      </c>
      <c r="V441" t="s">
        <v>8841</v>
      </c>
      <c r="W441" t="s">
        <v>8842</v>
      </c>
      <c r="X441" t="s">
        <v>8843</v>
      </c>
      <c r="Y441" t="s">
        <v>8844</v>
      </c>
      <c r="Z441" t="s">
        <v>8845</v>
      </c>
      <c r="AA441" t="s">
        <v>74</v>
      </c>
      <c r="AB441" t="s">
        <v>8846</v>
      </c>
      <c r="AC441" t="s">
        <v>8847</v>
      </c>
      <c r="AD441" t="s">
        <v>8848</v>
      </c>
      <c r="AE441" t="s">
        <v>8849</v>
      </c>
      <c r="AF441" t="s">
        <v>74</v>
      </c>
      <c r="AG441">
        <v>251</v>
      </c>
      <c r="AH441">
        <v>24</v>
      </c>
      <c r="AI441">
        <v>24</v>
      </c>
      <c r="AJ441">
        <v>14</v>
      </c>
      <c r="AK441">
        <v>77</v>
      </c>
      <c r="AL441" t="s">
        <v>5166</v>
      </c>
      <c r="AM441" t="s">
        <v>5167</v>
      </c>
      <c r="AN441" t="s">
        <v>5168</v>
      </c>
      <c r="AO441" t="s">
        <v>5169</v>
      </c>
      <c r="AP441" t="s">
        <v>5170</v>
      </c>
      <c r="AQ441" t="s">
        <v>74</v>
      </c>
      <c r="AR441" t="s">
        <v>5171</v>
      </c>
      <c r="AS441" t="s">
        <v>5172</v>
      </c>
      <c r="AT441" t="s">
        <v>8850</v>
      </c>
      <c r="AU441">
        <v>2021</v>
      </c>
      <c r="AV441">
        <v>668</v>
      </c>
      <c r="AW441" t="s">
        <v>74</v>
      </c>
      <c r="AX441" t="s">
        <v>74</v>
      </c>
      <c r="AY441" t="s">
        <v>74</v>
      </c>
      <c r="AZ441" t="s">
        <v>74</v>
      </c>
      <c r="BA441" t="s">
        <v>74</v>
      </c>
      <c r="BB441">
        <v>185</v>
      </c>
      <c r="BC441">
        <v>214</v>
      </c>
      <c r="BD441" t="s">
        <v>74</v>
      </c>
      <c r="BE441" t="s">
        <v>8851</v>
      </c>
      <c r="BF441" t="str">
        <f>HYPERLINK("http://dx.doi.org/10.3354/meps13705","http://dx.doi.org/10.3354/meps13705")</f>
        <v>http://dx.doi.org/10.3354/meps13705</v>
      </c>
      <c r="BG441" t="s">
        <v>74</v>
      </c>
      <c r="BH441" t="s">
        <v>74</v>
      </c>
      <c r="BI441">
        <v>30</v>
      </c>
      <c r="BJ441" t="s">
        <v>5174</v>
      </c>
      <c r="BK441" t="s">
        <v>128</v>
      </c>
      <c r="BL441" t="s">
        <v>5175</v>
      </c>
      <c r="BM441" t="s">
        <v>8852</v>
      </c>
      <c r="BN441" t="s">
        <v>74</v>
      </c>
      <c r="BO441" t="s">
        <v>291</v>
      </c>
      <c r="BP441" t="s">
        <v>74</v>
      </c>
      <c r="BQ441" t="s">
        <v>74</v>
      </c>
      <c r="BR441" t="s">
        <v>102</v>
      </c>
      <c r="BS441" t="s">
        <v>8853</v>
      </c>
      <c r="BT441" t="str">
        <f>HYPERLINK("https%3A%2F%2Fwww.webofscience.com%2Fwos%2Fwoscc%2Ffull-record%2FWOS:000670332700014","View Full Record in Web of Science")</f>
        <v>View Full Record in Web of Science</v>
      </c>
    </row>
    <row r="442" spans="1:72" x14ac:dyDescent="0.15">
      <c r="A442" t="s">
        <v>72</v>
      </c>
      <c r="B442" t="s">
        <v>8854</v>
      </c>
      <c r="C442" t="s">
        <v>74</v>
      </c>
      <c r="D442" t="s">
        <v>74</v>
      </c>
      <c r="E442" t="s">
        <v>74</v>
      </c>
      <c r="F442" t="s">
        <v>8855</v>
      </c>
      <c r="G442" t="s">
        <v>74</v>
      </c>
      <c r="H442" t="s">
        <v>74</v>
      </c>
      <c r="I442" t="s">
        <v>8856</v>
      </c>
      <c r="J442" t="s">
        <v>3149</v>
      </c>
      <c r="K442" t="s">
        <v>74</v>
      </c>
      <c r="L442" t="s">
        <v>74</v>
      </c>
      <c r="M442" t="s">
        <v>78</v>
      </c>
      <c r="N442" t="s">
        <v>700</v>
      </c>
      <c r="O442" t="s">
        <v>74</v>
      </c>
      <c r="P442" t="s">
        <v>74</v>
      </c>
      <c r="Q442" t="s">
        <v>74</v>
      </c>
      <c r="R442" t="s">
        <v>74</v>
      </c>
      <c r="S442" t="s">
        <v>74</v>
      </c>
      <c r="T442" t="s">
        <v>8857</v>
      </c>
      <c r="U442" t="s">
        <v>8858</v>
      </c>
      <c r="V442" t="s">
        <v>8859</v>
      </c>
      <c r="W442" t="s">
        <v>8860</v>
      </c>
      <c r="X442" t="s">
        <v>8861</v>
      </c>
      <c r="Y442" t="s">
        <v>8862</v>
      </c>
      <c r="Z442" t="s">
        <v>8863</v>
      </c>
      <c r="AA442" t="s">
        <v>74</v>
      </c>
      <c r="AB442" t="s">
        <v>74</v>
      </c>
      <c r="AC442" t="s">
        <v>8864</v>
      </c>
      <c r="AD442" t="s">
        <v>8865</v>
      </c>
      <c r="AE442" t="s">
        <v>8866</v>
      </c>
      <c r="AF442" t="s">
        <v>74</v>
      </c>
      <c r="AG442">
        <v>112</v>
      </c>
      <c r="AH442">
        <v>5</v>
      </c>
      <c r="AI442">
        <v>6</v>
      </c>
      <c r="AJ442">
        <v>9</v>
      </c>
      <c r="AK442">
        <v>26</v>
      </c>
      <c r="AL442" t="s">
        <v>281</v>
      </c>
      <c r="AM442" t="s">
        <v>228</v>
      </c>
      <c r="AN442" t="s">
        <v>282</v>
      </c>
      <c r="AO442" t="s">
        <v>3161</v>
      </c>
      <c r="AP442" t="s">
        <v>3162</v>
      </c>
      <c r="AQ442" t="s">
        <v>74</v>
      </c>
      <c r="AR442" t="s">
        <v>3163</v>
      </c>
      <c r="AS442" t="s">
        <v>3164</v>
      </c>
      <c r="AT442" t="s">
        <v>535</v>
      </c>
      <c r="AU442">
        <v>2021</v>
      </c>
      <c r="AV442">
        <v>196</v>
      </c>
      <c r="AW442" t="s">
        <v>74</v>
      </c>
      <c r="AX442" t="s">
        <v>74</v>
      </c>
      <c r="AY442" t="s">
        <v>74</v>
      </c>
      <c r="AZ442" t="s">
        <v>74</v>
      </c>
      <c r="BA442" t="s">
        <v>74</v>
      </c>
      <c r="BB442" t="s">
        <v>74</v>
      </c>
      <c r="BC442" t="s">
        <v>74</v>
      </c>
      <c r="BD442">
        <v>102610</v>
      </c>
      <c r="BE442" t="s">
        <v>8867</v>
      </c>
      <c r="BF442" t="str">
        <f>HYPERLINK("http://dx.doi.org/10.1016/j.pocean.2021.102610","http://dx.doi.org/10.1016/j.pocean.2021.102610")</f>
        <v>http://dx.doi.org/10.1016/j.pocean.2021.102610</v>
      </c>
      <c r="BG442" t="s">
        <v>74</v>
      </c>
      <c r="BH442" t="s">
        <v>8134</v>
      </c>
      <c r="BI442">
        <v>16</v>
      </c>
      <c r="BJ442" t="s">
        <v>1134</v>
      </c>
      <c r="BK442" t="s">
        <v>128</v>
      </c>
      <c r="BL442" t="s">
        <v>1134</v>
      </c>
      <c r="BM442" t="s">
        <v>8868</v>
      </c>
      <c r="BN442" t="s">
        <v>74</v>
      </c>
      <c r="BO442" t="s">
        <v>291</v>
      </c>
      <c r="BP442" t="s">
        <v>74</v>
      </c>
      <c r="BQ442" t="s">
        <v>74</v>
      </c>
      <c r="BR442" t="s">
        <v>102</v>
      </c>
      <c r="BS442" t="s">
        <v>8869</v>
      </c>
      <c r="BT442" t="str">
        <f>HYPERLINK("https%3A%2F%2Fwww.webofscience.com%2Fwos%2Fwoscc%2Ffull-record%2FWOS:000677549200001","View Full Record in Web of Science")</f>
        <v>View Full Record in Web of Science</v>
      </c>
    </row>
    <row r="443" spans="1:72" x14ac:dyDescent="0.15">
      <c r="A443" t="s">
        <v>72</v>
      </c>
      <c r="B443" t="s">
        <v>8870</v>
      </c>
      <c r="C443" t="s">
        <v>74</v>
      </c>
      <c r="D443" t="s">
        <v>74</v>
      </c>
      <c r="E443" t="s">
        <v>74</v>
      </c>
      <c r="F443" t="s">
        <v>8871</v>
      </c>
      <c r="G443" t="s">
        <v>74</v>
      </c>
      <c r="H443" t="s">
        <v>74</v>
      </c>
      <c r="I443" t="s">
        <v>8872</v>
      </c>
      <c r="J443" t="s">
        <v>8761</v>
      </c>
      <c r="K443" t="s">
        <v>74</v>
      </c>
      <c r="L443" t="s">
        <v>74</v>
      </c>
      <c r="M443" t="s">
        <v>78</v>
      </c>
      <c r="N443" t="s">
        <v>700</v>
      </c>
      <c r="O443" t="s">
        <v>74</v>
      </c>
      <c r="P443" t="s">
        <v>74</v>
      </c>
      <c r="Q443" t="s">
        <v>74</v>
      </c>
      <c r="R443" t="s">
        <v>74</v>
      </c>
      <c r="S443" t="s">
        <v>74</v>
      </c>
      <c r="T443" t="s">
        <v>8873</v>
      </c>
      <c r="U443" t="s">
        <v>8874</v>
      </c>
      <c r="V443" t="s">
        <v>8875</v>
      </c>
      <c r="W443" t="s">
        <v>8876</v>
      </c>
      <c r="X443" t="s">
        <v>8877</v>
      </c>
      <c r="Y443" t="s">
        <v>8878</v>
      </c>
      <c r="Z443" t="s">
        <v>8879</v>
      </c>
      <c r="AA443" t="s">
        <v>8880</v>
      </c>
      <c r="AB443" t="s">
        <v>8881</v>
      </c>
      <c r="AC443" t="s">
        <v>8882</v>
      </c>
      <c r="AD443" t="s">
        <v>3525</v>
      </c>
      <c r="AE443" t="s">
        <v>74</v>
      </c>
      <c r="AF443" t="s">
        <v>74</v>
      </c>
      <c r="AG443">
        <v>210</v>
      </c>
      <c r="AH443">
        <v>17</v>
      </c>
      <c r="AI443">
        <v>18</v>
      </c>
      <c r="AJ443">
        <v>5</v>
      </c>
      <c r="AK443">
        <v>52</v>
      </c>
      <c r="AL443" t="s">
        <v>119</v>
      </c>
      <c r="AM443" t="s">
        <v>120</v>
      </c>
      <c r="AN443" t="s">
        <v>121</v>
      </c>
      <c r="AO443" t="s">
        <v>8774</v>
      </c>
      <c r="AP443" t="s">
        <v>74</v>
      </c>
      <c r="AQ443" t="s">
        <v>74</v>
      </c>
      <c r="AR443" t="s">
        <v>8775</v>
      </c>
      <c r="AS443" t="s">
        <v>8776</v>
      </c>
      <c r="AT443" t="s">
        <v>8850</v>
      </c>
      <c r="AU443">
        <v>2021</v>
      </c>
      <c r="AV443">
        <v>9</v>
      </c>
      <c r="AW443" t="s">
        <v>74</v>
      </c>
      <c r="AX443" t="s">
        <v>74</v>
      </c>
      <c r="AY443" t="s">
        <v>74</v>
      </c>
      <c r="AZ443" t="s">
        <v>74</v>
      </c>
      <c r="BA443" t="s">
        <v>74</v>
      </c>
      <c r="BB443" t="s">
        <v>74</v>
      </c>
      <c r="BC443" t="s">
        <v>74</v>
      </c>
      <c r="BD443">
        <v>624518</v>
      </c>
      <c r="BE443" t="s">
        <v>8883</v>
      </c>
      <c r="BF443" t="str">
        <f>HYPERLINK("http://dx.doi.org/10.3389/fevo.2021.624518","http://dx.doi.org/10.3389/fevo.2021.624518")</f>
        <v>http://dx.doi.org/10.3389/fevo.2021.624518</v>
      </c>
      <c r="BG443" t="s">
        <v>74</v>
      </c>
      <c r="BH443" t="s">
        <v>74</v>
      </c>
      <c r="BI443">
        <v>26</v>
      </c>
      <c r="BJ443" t="s">
        <v>1462</v>
      </c>
      <c r="BK443" t="s">
        <v>100</v>
      </c>
      <c r="BL443" t="s">
        <v>263</v>
      </c>
      <c r="BM443" t="s">
        <v>8884</v>
      </c>
      <c r="BN443" t="s">
        <v>74</v>
      </c>
      <c r="BO443" t="s">
        <v>8885</v>
      </c>
      <c r="BP443" t="s">
        <v>74</v>
      </c>
      <c r="BQ443" t="s">
        <v>74</v>
      </c>
      <c r="BR443" t="s">
        <v>102</v>
      </c>
      <c r="BS443" t="s">
        <v>8886</v>
      </c>
      <c r="BT443" t="str">
        <f>HYPERLINK("https%3A%2F%2Fwww.webofscience.com%2Fwos%2Fwoscc%2Ffull-record%2FWOS:000670431100001","View Full Record in Web of Science")</f>
        <v>View Full Record in Web of Science</v>
      </c>
    </row>
    <row r="444" spans="1:72" x14ac:dyDescent="0.15">
      <c r="A444" t="s">
        <v>72</v>
      </c>
      <c r="B444" t="s">
        <v>8887</v>
      </c>
      <c r="C444" t="s">
        <v>74</v>
      </c>
      <c r="D444" t="s">
        <v>74</v>
      </c>
      <c r="E444" t="s">
        <v>74</v>
      </c>
      <c r="F444" t="s">
        <v>8888</v>
      </c>
      <c r="G444" t="s">
        <v>74</v>
      </c>
      <c r="H444" t="s">
        <v>74</v>
      </c>
      <c r="I444" t="s">
        <v>8889</v>
      </c>
      <c r="J444" t="s">
        <v>3776</v>
      </c>
      <c r="K444" t="s">
        <v>74</v>
      </c>
      <c r="L444" t="s">
        <v>74</v>
      </c>
      <c r="M444" t="s">
        <v>78</v>
      </c>
      <c r="N444" t="s">
        <v>79</v>
      </c>
      <c r="O444" t="s">
        <v>74</v>
      </c>
      <c r="P444" t="s">
        <v>74</v>
      </c>
      <c r="Q444" t="s">
        <v>74</v>
      </c>
      <c r="R444" t="s">
        <v>74</v>
      </c>
      <c r="S444" t="s">
        <v>74</v>
      </c>
      <c r="T444" t="s">
        <v>74</v>
      </c>
      <c r="U444" t="s">
        <v>8890</v>
      </c>
      <c r="V444" t="s">
        <v>8891</v>
      </c>
      <c r="W444" t="s">
        <v>8892</v>
      </c>
      <c r="X444" t="s">
        <v>8893</v>
      </c>
      <c r="Y444" t="s">
        <v>8894</v>
      </c>
      <c r="Z444" t="s">
        <v>8895</v>
      </c>
      <c r="AA444" t="s">
        <v>8896</v>
      </c>
      <c r="AB444" t="s">
        <v>8897</v>
      </c>
      <c r="AC444" t="s">
        <v>8898</v>
      </c>
      <c r="AD444" t="s">
        <v>8899</v>
      </c>
      <c r="AE444" t="s">
        <v>8900</v>
      </c>
      <c r="AF444" t="s">
        <v>74</v>
      </c>
      <c r="AG444">
        <v>132</v>
      </c>
      <c r="AH444">
        <v>8</v>
      </c>
      <c r="AI444">
        <v>8</v>
      </c>
      <c r="AJ444">
        <v>1</v>
      </c>
      <c r="AK444">
        <v>7</v>
      </c>
      <c r="AL444" t="s">
        <v>143</v>
      </c>
      <c r="AM444" t="s">
        <v>144</v>
      </c>
      <c r="AN444" t="s">
        <v>145</v>
      </c>
      <c r="AO444" t="s">
        <v>3788</v>
      </c>
      <c r="AP444" t="s">
        <v>3789</v>
      </c>
      <c r="AQ444" t="s">
        <v>74</v>
      </c>
      <c r="AR444" t="s">
        <v>3790</v>
      </c>
      <c r="AS444" t="s">
        <v>3791</v>
      </c>
      <c r="AT444" t="s">
        <v>8850</v>
      </c>
      <c r="AU444">
        <v>2021</v>
      </c>
      <c r="AV444">
        <v>21</v>
      </c>
      <c r="AW444">
        <v>12</v>
      </c>
      <c r="AX444" t="s">
        <v>74</v>
      </c>
      <c r="AY444" t="s">
        <v>74</v>
      </c>
      <c r="AZ444" t="s">
        <v>74</v>
      </c>
      <c r="BA444" t="s">
        <v>74</v>
      </c>
      <c r="BB444">
        <v>9515</v>
      </c>
      <c r="BC444">
        <v>9543</v>
      </c>
      <c r="BD444" t="s">
        <v>74</v>
      </c>
      <c r="BE444" t="s">
        <v>8901</v>
      </c>
      <c r="BF444" t="str">
        <f>HYPERLINK("http://dx.doi.org/10.5194/acp-21-9515-2021","http://dx.doi.org/10.5194/acp-21-9515-2021")</f>
        <v>http://dx.doi.org/10.5194/acp-21-9515-2021</v>
      </c>
      <c r="BG444" t="s">
        <v>74</v>
      </c>
      <c r="BH444" t="s">
        <v>74</v>
      </c>
      <c r="BI444">
        <v>29</v>
      </c>
      <c r="BJ444" t="s">
        <v>635</v>
      </c>
      <c r="BK444" t="s">
        <v>128</v>
      </c>
      <c r="BL444" t="s">
        <v>636</v>
      </c>
      <c r="BM444" t="s">
        <v>8902</v>
      </c>
      <c r="BN444" t="s">
        <v>74</v>
      </c>
      <c r="BO444" t="s">
        <v>1353</v>
      </c>
      <c r="BP444" t="s">
        <v>74</v>
      </c>
      <c r="BQ444" t="s">
        <v>74</v>
      </c>
      <c r="BR444" t="s">
        <v>102</v>
      </c>
      <c r="BS444" t="s">
        <v>8903</v>
      </c>
      <c r="BT444" t="str">
        <f>HYPERLINK("https%3A%2F%2Fwww.webofscience.com%2Fwos%2Fwoscc%2Ffull-record%2FWOS:000667944900001","View Full Record in Web of Science")</f>
        <v>View Full Record in Web of Science</v>
      </c>
    </row>
    <row r="445" spans="1:72" x14ac:dyDescent="0.15">
      <c r="A445" t="s">
        <v>72</v>
      </c>
      <c r="B445" t="s">
        <v>8904</v>
      </c>
      <c r="C445" t="s">
        <v>74</v>
      </c>
      <c r="D445" t="s">
        <v>74</v>
      </c>
      <c r="E445" t="s">
        <v>74</v>
      </c>
      <c r="F445" t="s">
        <v>8905</v>
      </c>
      <c r="G445" t="s">
        <v>74</v>
      </c>
      <c r="H445" t="s">
        <v>74</v>
      </c>
      <c r="I445" t="s">
        <v>8906</v>
      </c>
      <c r="J445" t="s">
        <v>4055</v>
      </c>
      <c r="K445" t="s">
        <v>74</v>
      </c>
      <c r="L445" t="s">
        <v>74</v>
      </c>
      <c r="M445" t="s">
        <v>78</v>
      </c>
      <c r="N445" t="s">
        <v>79</v>
      </c>
      <c r="O445" t="s">
        <v>74</v>
      </c>
      <c r="P445" t="s">
        <v>74</v>
      </c>
      <c r="Q445" t="s">
        <v>74</v>
      </c>
      <c r="R445" t="s">
        <v>74</v>
      </c>
      <c r="S445" t="s">
        <v>74</v>
      </c>
      <c r="T445" t="s">
        <v>74</v>
      </c>
      <c r="U445" t="s">
        <v>8907</v>
      </c>
      <c r="V445" t="s">
        <v>8908</v>
      </c>
      <c r="W445" t="s">
        <v>8909</v>
      </c>
      <c r="X445" t="s">
        <v>8910</v>
      </c>
      <c r="Y445" t="s">
        <v>8911</v>
      </c>
      <c r="Z445" t="s">
        <v>8912</v>
      </c>
      <c r="AA445" t="s">
        <v>8913</v>
      </c>
      <c r="AB445" t="s">
        <v>8914</v>
      </c>
      <c r="AC445" t="s">
        <v>8915</v>
      </c>
      <c r="AD445" t="s">
        <v>8916</v>
      </c>
      <c r="AE445" t="s">
        <v>8917</v>
      </c>
      <c r="AF445" t="s">
        <v>74</v>
      </c>
      <c r="AG445">
        <v>70</v>
      </c>
      <c r="AH445">
        <v>27</v>
      </c>
      <c r="AI445">
        <v>30</v>
      </c>
      <c r="AJ445">
        <v>5</v>
      </c>
      <c r="AK445">
        <v>35</v>
      </c>
      <c r="AL445" t="s">
        <v>4067</v>
      </c>
      <c r="AM445" t="s">
        <v>396</v>
      </c>
      <c r="AN445" t="s">
        <v>397</v>
      </c>
      <c r="AO445" t="s">
        <v>4068</v>
      </c>
      <c r="AP445" t="s">
        <v>74</v>
      </c>
      <c r="AQ445" t="s">
        <v>74</v>
      </c>
      <c r="AR445" t="s">
        <v>4069</v>
      </c>
      <c r="AS445" t="s">
        <v>4070</v>
      </c>
      <c r="AT445" t="s">
        <v>8850</v>
      </c>
      <c r="AU445">
        <v>2021</v>
      </c>
      <c r="AV445">
        <v>12</v>
      </c>
      <c r="AW445">
        <v>1</v>
      </c>
      <c r="AX445" t="s">
        <v>74</v>
      </c>
      <c r="AY445" t="s">
        <v>74</v>
      </c>
      <c r="AZ445" t="s">
        <v>74</v>
      </c>
      <c r="BA445" t="s">
        <v>74</v>
      </c>
      <c r="BB445" t="s">
        <v>74</v>
      </c>
      <c r="BC445" t="s">
        <v>74</v>
      </c>
      <c r="BD445">
        <v>3948</v>
      </c>
      <c r="BE445" t="s">
        <v>8918</v>
      </c>
      <c r="BF445" t="str">
        <f>HYPERLINK("http://dx.doi.org/10.1038/s41467-021-24264-9","http://dx.doi.org/10.1038/s41467-021-24264-9")</f>
        <v>http://dx.doi.org/10.1038/s41467-021-24264-9</v>
      </c>
      <c r="BG445" t="s">
        <v>74</v>
      </c>
      <c r="BH445" t="s">
        <v>74</v>
      </c>
      <c r="BI445">
        <v>9</v>
      </c>
      <c r="BJ445" t="s">
        <v>2609</v>
      </c>
      <c r="BK445" t="s">
        <v>128</v>
      </c>
      <c r="BL445" t="s">
        <v>2610</v>
      </c>
      <c r="BM445" t="s">
        <v>8919</v>
      </c>
      <c r="BN445">
        <v>34168158</v>
      </c>
      <c r="BO445" t="s">
        <v>8920</v>
      </c>
      <c r="BP445" t="s">
        <v>74</v>
      </c>
      <c r="BQ445" t="s">
        <v>74</v>
      </c>
      <c r="BR445" t="s">
        <v>102</v>
      </c>
      <c r="BS445" t="s">
        <v>8921</v>
      </c>
      <c r="BT445" t="str">
        <f>HYPERLINK("https%3A%2F%2Fwww.webofscience.com%2Fwos%2Fwoscc%2Ffull-record%2FWOS:000669490300003","View Full Record in Web of Science")</f>
        <v>View Full Record in Web of Science</v>
      </c>
    </row>
    <row r="446" spans="1:72" x14ac:dyDescent="0.15">
      <c r="A446" t="s">
        <v>72</v>
      </c>
      <c r="B446" t="s">
        <v>8922</v>
      </c>
      <c r="C446" t="s">
        <v>74</v>
      </c>
      <c r="D446" t="s">
        <v>74</v>
      </c>
      <c r="E446" t="s">
        <v>74</v>
      </c>
      <c r="F446" t="s">
        <v>8923</v>
      </c>
      <c r="G446" t="s">
        <v>74</v>
      </c>
      <c r="H446" t="s">
        <v>74</v>
      </c>
      <c r="I446" t="s">
        <v>8924</v>
      </c>
      <c r="J446" t="s">
        <v>8925</v>
      </c>
      <c r="K446" t="s">
        <v>74</v>
      </c>
      <c r="L446" t="s">
        <v>74</v>
      </c>
      <c r="M446" t="s">
        <v>78</v>
      </c>
      <c r="N446" t="s">
        <v>700</v>
      </c>
      <c r="O446" t="s">
        <v>74</v>
      </c>
      <c r="P446" t="s">
        <v>74</v>
      </c>
      <c r="Q446" t="s">
        <v>74</v>
      </c>
      <c r="R446" t="s">
        <v>74</v>
      </c>
      <c r="S446" t="s">
        <v>74</v>
      </c>
      <c r="T446" t="s">
        <v>8926</v>
      </c>
      <c r="U446" t="s">
        <v>8927</v>
      </c>
      <c r="V446" t="s">
        <v>8928</v>
      </c>
      <c r="W446" t="s">
        <v>8929</v>
      </c>
      <c r="X446" t="s">
        <v>8930</v>
      </c>
      <c r="Y446" t="s">
        <v>8931</v>
      </c>
      <c r="Z446" t="s">
        <v>8932</v>
      </c>
      <c r="AA446" t="s">
        <v>8933</v>
      </c>
      <c r="AB446" t="s">
        <v>8934</v>
      </c>
      <c r="AC446" t="s">
        <v>8935</v>
      </c>
      <c r="AD446" t="s">
        <v>8936</v>
      </c>
      <c r="AE446" t="s">
        <v>8937</v>
      </c>
      <c r="AF446" t="s">
        <v>74</v>
      </c>
      <c r="AG446">
        <v>83</v>
      </c>
      <c r="AH446">
        <v>8</v>
      </c>
      <c r="AI446">
        <v>8</v>
      </c>
      <c r="AJ446">
        <v>0</v>
      </c>
      <c r="AK446">
        <v>2</v>
      </c>
      <c r="AL446" t="s">
        <v>119</v>
      </c>
      <c r="AM446" t="s">
        <v>120</v>
      </c>
      <c r="AN446" t="s">
        <v>121</v>
      </c>
      <c r="AO446" t="s">
        <v>8938</v>
      </c>
      <c r="AP446" t="s">
        <v>74</v>
      </c>
      <c r="AQ446" t="s">
        <v>74</v>
      </c>
      <c r="AR446" t="s">
        <v>8939</v>
      </c>
      <c r="AS446" t="s">
        <v>8940</v>
      </c>
      <c r="AT446" t="s">
        <v>8850</v>
      </c>
      <c r="AU446">
        <v>2021</v>
      </c>
      <c r="AV446">
        <v>12</v>
      </c>
      <c r="AW446" t="s">
        <v>74</v>
      </c>
      <c r="AX446" t="s">
        <v>74</v>
      </c>
      <c r="AY446" t="s">
        <v>74</v>
      </c>
      <c r="AZ446" t="s">
        <v>74</v>
      </c>
      <c r="BA446" t="s">
        <v>74</v>
      </c>
      <c r="BB446" t="s">
        <v>74</v>
      </c>
      <c r="BC446" t="s">
        <v>74</v>
      </c>
      <c r="BD446">
        <v>697435</v>
      </c>
      <c r="BE446" t="s">
        <v>8941</v>
      </c>
      <c r="BF446" t="str">
        <f>HYPERLINK("http://dx.doi.org/10.3389/fimmu.2021.697435","http://dx.doi.org/10.3389/fimmu.2021.697435")</f>
        <v>http://dx.doi.org/10.3389/fimmu.2021.697435</v>
      </c>
      <c r="BG446" t="s">
        <v>74</v>
      </c>
      <c r="BH446" t="s">
        <v>74</v>
      </c>
      <c r="BI446">
        <v>16</v>
      </c>
      <c r="BJ446" t="s">
        <v>8942</v>
      </c>
      <c r="BK446" t="s">
        <v>128</v>
      </c>
      <c r="BL446" t="s">
        <v>8942</v>
      </c>
      <c r="BM446" t="s">
        <v>8943</v>
      </c>
      <c r="BN446">
        <v>34248999</v>
      </c>
      <c r="BO446" t="s">
        <v>1377</v>
      </c>
      <c r="BP446" t="s">
        <v>74</v>
      </c>
      <c r="BQ446" t="s">
        <v>74</v>
      </c>
      <c r="BR446" t="s">
        <v>102</v>
      </c>
      <c r="BS446" t="s">
        <v>8944</v>
      </c>
      <c r="BT446" t="str">
        <f>HYPERLINK("https%3A%2F%2Fwww.webofscience.com%2Fwos%2Fwoscc%2Ffull-record%2FWOS:000670640000001","View Full Record in Web of Science")</f>
        <v>View Full Record in Web of Science</v>
      </c>
    </row>
    <row r="447" spans="1:72" x14ac:dyDescent="0.15">
      <c r="A447" t="s">
        <v>72</v>
      </c>
      <c r="B447" t="s">
        <v>8945</v>
      </c>
      <c r="C447" t="s">
        <v>74</v>
      </c>
      <c r="D447" t="s">
        <v>74</v>
      </c>
      <c r="E447" t="s">
        <v>74</v>
      </c>
      <c r="F447" t="s">
        <v>8946</v>
      </c>
      <c r="G447" t="s">
        <v>74</v>
      </c>
      <c r="H447" t="s">
        <v>74</v>
      </c>
      <c r="I447" t="s">
        <v>8947</v>
      </c>
      <c r="J447" t="s">
        <v>8205</v>
      </c>
      <c r="K447" t="s">
        <v>74</v>
      </c>
      <c r="L447" t="s">
        <v>74</v>
      </c>
      <c r="M447" t="s">
        <v>78</v>
      </c>
      <c r="N447" t="s">
        <v>79</v>
      </c>
      <c r="O447" t="s">
        <v>74</v>
      </c>
      <c r="P447" t="s">
        <v>74</v>
      </c>
      <c r="Q447" t="s">
        <v>74</v>
      </c>
      <c r="R447" t="s">
        <v>74</v>
      </c>
      <c r="S447" t="s">
        <v>74</v>
      </c>
      <c r="T447" t="s">
        <v>74</v>
      </c>
      <c r="U447" t="s">
        <v>8948</v>
      </c>
      <c r="V447" t="s">
        <v>8949</v>
      </c>
      <c r="W447" t="s">
        <v>8950</v>
      </c>
      <c r="X447" t="s">
        <v>8951</v>
      </c>
      <c r="Y447" t="s">
        <v>8952</v>
      </c>
      <c r="Z447" t="s">
        <v>8953</v>
      </c>
      <c r="AA447" t="s">
        <v>8954</v>
      </c>
      <c r="AB447" t="s">
        <v>8955</v>
      </c>
      <c r="AC447" t="s">
        <v>8956</v>
      </c>
      <c r="AD447" t="s">
        <v>8957</v>
      </c>
      <c r="AE447" t="s">
        <v>8958</v>
      </c>
      <c r="AF447" t="s">
        <v>74</v>
      </c>
      <c r="AG447">
        <v>45</v>
      </c>
      <c r="AH447">
        <v>16</v>
      </c>
      <c r="AI447">
        <v>18</v>
      </c>
      <c r="AJ447">
        <v>4</v>
      </c>
      <c r="AK447">
        <v>15</v>
      </c>
      <c r="AL447" t="s">
        <v>3453</v>
      </c>
      <c r="AM447" t="s">
        <v>368</v>
      </c>
      <c r="AN447" t="s">
        <v>3454</v>
      </c>
      <c r="AO447" t="s">
        <v>74</v>
      </c>
      <c r="AP447" t="s">
        <v>8217</v>
      </c>
      <c r="AQ447" t="s">
        <v>74</v>
      </c>
      <c r="AR447" t="s">
        <v>8218</v>
      </c>
      <c r="AS447" t="s">
        <v>8219</v>
      </c>
      <c r="AT447" t="s">
        <v>8850</v>
      </c>
      <c r="AU447">
        <v>2021</v>
      </c>
      <c r="AV447">
        <v>2</v>
      </c>
      <c r="AW447">
        <v>1</v>
      </c>
      <c r="AX447" t="s">
        <v>74</v>
      </c>
      <c r="AY447" t="s">
        <v>74</v>
      </c>
      <c r="AZ447" t="s">
        <v>74</v>
      </c>
      <c r="BA447" t="s">
        <v>74</v>
      </c>
      <c r="BB447" t="s">
        <v>74</v>
      </c>
      <c r="BC447" t="s">
        <v>74</v>
      </c>
      <c r="BD447">
        <v>133</v>
      </c>
      <c r="BE447" t="s">
        <v>8959</v>
      </c>
      <c r="BF447" t="str">
        <f>HYPERLINK("http://dx.doi.org/10.1038/s43247-021-00203-w","http://dx.doi.org/10.1038/s43247-021-00203-w")</f>
        <v>http://dx.doi.org/10.1038/s43247-021-00203-w</v>
      </c>
      <c r="BG447" t="s">
        <v>74</v>
      </c>
      <c r="BH447" t="s">
        <v>74</v>
      </c>
      <c r="BI447">
        <v>9</v>
      </c>
      <c r="BJ447" t="s">
        <v>1044</v>
      </c>
      <c r="BK447" t="s">
        <v>128</v>
      </c>
      <c r="BL447" t="s">
        <v>1045</v>
      </c>
      <c r="BM447" t="s">
        <v>8960</v>
      </c>
      <c r="BN447" t="s">
        <v>74</v>
      </c>
      <c r="BO447" t="s">
        <v>638</v>
      </c>
      <c r="BP447" t="s">
        <v>74</v>
      </c>
      <c r="BQ447" t="s">
        <v>74</v>
      </c>
      <c r="BR447" t="s">
        <v>102</v>
      </c>
      <c r="BS447" t="s">
        <v>8961</v>
      </c>
      <c r="BT447" t="str">
        <f>HYPERLINK("https%3A%2F%2Fwww.webofscience.com%2Fwos%2Fwoscc%2Ffull-record%2FWOS:000668156500001","View Full Record in Web of Science")</f>
        <v>View Full Record in Web of Science</v>
      </c>
    </row>
    <row r="448" spans="1:72" x14ac:dyDescent="0.15">
      <c r="A448" t="s">
        <v>72</v>
      </c>
      <c r="B448" t="s">
        <v>8962</v>
      </c>
      <c r="C448" t="s">
        <v>74</v>
      </c>
      <c r="D448" t="s">
        <v>74</v>
      </c>
      <c r="E448" t="s">
        <v>74</v>
      </c>
      <c r="F448" t="s">
        <v>8963</v>
      </c>
      <c r="G448" t="s">
        <v>74</v>
      </c>
      <c r="H448" t="s">
        <v>74</v>
      </c>
      <c r="I448" t="s">
        <v>8964</v>
      </c>
      <c r="J448" t="s">
        <v>8965</v>
      </c>
      <c r="K448" t="s">
        <v>74</v>
      </c>
      <c r="L448" t="s">
        <v>74</v>
      </c>
      <c r="M448" t="s">
        <v>78</v>
      </c>
      <c r="N448" t="s">
        <v>3298</v>
      </c>
      <c r="O448" t="s">
        <v>74</v>
      </c>
      <c r="P448" t="s">
        <v>74</v>
      </c>
      <c r="Q448" t="s">
        <v>74</v>
      </c>
      <c r="R448" t="s">
        <v>74</v>
      </c>
      <c r="S448" t="s">
        <v>74</v>
      </c>
      <c r="T448" t="s">
        <v>74</v>
      </c>
      <c r="U448" t="s">
        <v>74</v>
      </c>
      <c r="V448" t="s">
        <v>74</v>
      </c>
      <c r="W448" t="s">
        <v>8966</v>
      </c>
      <c r="X448" t="s">
        <v>1949</v>
      </c>
      <c r="Y448" t="s">
        <v>8967</v>
      </c>
      <c r="Z448" t="s">
        <v>8968</v>
      </c>
      <c r="AA448" t="s">
        <v>8969</v>
      </c>
      <c r="AB448" t="s">
        <v>8970</v>
      </c>
      <c r="AC448" t="s">
        <v>74</v>
      </c>
      <c r="AD448" t="s">
        <v>74</v>
      </c>
      <c r="AE448" t="s">
        <v>74</v>
      </c>
      <c r="AF448" t="s">
        <v>74</v>
      </c>
      <c r="AG448">
        <v>1</v>
      </c>
      <c r="AH448">
        <v>0</v>
      </c>
      <c r="AI448">
        <v>0</v>
      </c>
      <c r="AJ448">
        <v>0</v>
      </c>
      <c r="AK448">
        <v>6</v>
      </c>
      <c r="AL448" t="s">
        <v>450</v>
      </c>
      <c r="AM448" t="s">
        <v>650</v>
      </c>
      <c r="AN448" t="s">
        <v>1957</v>
      </c>
      <c r="AO448" t="s">
        <v>74</v>
      </c>
      <c r="AP448" t="s">
        <v>8971</v>
      </c>
      <c r="AQ448" t="s">
        <v>74</v>
      </c>
      <c r="AR448" t="s">
        <v>8972</v>
      </c>
      <c r="AS448" t="s">
        <v>8973</v>
      </c>
      <c r="AT448" t="s">
        <v>8850</v>
      </c>
      <c r="AU448">
        <v>2021</v>
      </c>
      <c r="AV448">
        <v>73</v>
      </c>
      <c r="AW448">
        <v>1</v>
      </c>
      <c r="AX448" t="s">
        <v>74</v>
      </c>
      <c r="AY448" t="s">
        <v>74</v>
      </c>
      <c r="AZ448" t="s">
        <v>74</v>
      </c>
      <c r="BA448" t="s">
        <v>74</v>
      </c>
      <c r="BB448" t="s">
        <v>74</v>
      </c>
      <c r="BC448" t="s">
        <v>74</v>
      </c>
      <c r="BD448">
        <v>133</v>
      </c>
      <c r="BE448" t="s">
        <v>8974</v>
      </c>
      <c r="BF448" t="str">
        <f>HYPERLINK("http://dx.doi.org/10.1186/s40623-021-01460-x","http://dx.doi.org/10.1186/s40623-021-01460-x")</f>
        <v>http://dx.doi.org/10.1186/s40623-021-01460-x</v>
      </c>
      <c r="BG448" t="s">
        <v>74</v>
      </c>
      <c r="BH448" t="s">
        <v>74</v>
      </c>
      <c r="BI448">
        <v>2</v>
      </c>
      <c r="BJ448" t="s">
        <v>405</v>
      </c>
      <c r="BK448" t="s">
        <v>128</v>
      </c>
      <c r="BL448" t="s">
        <v>406</v>
      </c>
      <c r="BM448" t="s">
        <v>8975</v>
      </c>
      <c r="BN448" t="s">
        <v>74</v>
      </c>
      <c r="BO448" t="s">
        <v>638</v>
      </c>
      <c r="BP448" t="s">
        <v>74</v>
      </c>
      <c r="BQ448" t="s">
        <v>74</v>
      </c>
      <c r="BR448" t="s">
        <v>102</v>
      </c>
      <c r="BS448" t="s">
        <v>8976</v>
      </c>
      <c r="BT448" t="str">
        <f>HYPERLINK("https%3A%2F%2Fwww.webofscience.com%2Fwos%2Fwoscc%2Ffull-record%2FWOS:000665829600001","View Full Record in Web of Science")</f>
        <v>View Full Record in Web of Science</v>
      </c>
    </row>
    <row r="449" spans="1:72" x14ac:dyDescent="0.15">
      <c r="A449" t="s">
        <v>72</v>
      </c>
      <c r="B449" t="s">
        <v>8977</v>
      </c>
      <c r="C449" t="s">
        <v>74</v>
      </c>
      <c r="D449" t="s">
        <v>74</v>
      </c>
      <c r="E449" t="s">
        <v>74</v>
      </c>
      <c r="F449" t="s">
        <v>8978</v>
      </c>
      <c r="G449" t="s">
        <v>74</v>
      </c>
      <c r="H449" t="s">
        <v>74</v>
      </c>
      <c r="I449" t="s">
        <v>8979</v>
      </c>
      <c r="J449" t="s">
        <v>8980</v>
      </c>
      <c r="K449" t="s">
        <v>74</v>
      </c>
      <c r="L449" t="s">
        <v>74</v>
      </c>
      <c r="M449" t="s">
        <v>78</v>
      </c>
      <c r="N449" t="s">
        <v>79</v>
      </c>
      <c r="O449" t="s">
        <v>74</v>
      </c>
      <c r="P449" t="s">
        <v>74</v>
      </c>
      <c r="Q449" t="s">
        <v>74</v>
      </c>
      <c r="R449" t="s">
        <v>74</v>
      </c>
      <c r="S449" t="s">
        <v>74</v>
      </c>
      <c r="T449" t="s">
        <v>8981</v>
      </c>
      <c r="U449" t="s">
        <v>8982</v>
      </c>
      <c r="V449" t="s">
        <v>8983</v>
      </c>
      <c r="W449" t="s">
        <v>8984</v>
      </c>
      <c r="X449" t="s">
        <v>8985</v>
      </c>
      <c r="Y449" t="s">
        <v>8986</v>
      </c>
      <c r="Z449" t="s">
        <v>8987</v>
      </c>
      <c r="AA449" t="s">
        <v>8988</v>
      </c>
      <c r="AB449" t="s">
        <v>8989</v>
      </c>
      <c r="AC449" t="s">
        <v>8990</v>
      </c>
      <c r="AD449" t="s">
        <v>8991</v>
      </c>
      <c r="AE449" t="s">
        <v>8992</v>
      </c>
      <c r="AF449" t="s">
        <v>74</v>
      </c>
      <c r="AG449">
        <v>60</v>
      </c>
      <c r="AH449">
        <v>2</v>
      </c>
      <c r="AI449">
        <v>2</v>
      </c>
      <c r="AJ449">
        <v>3</v>
      </c>
      <c r="AK449">
        <v>17</v>
      </c>
      <c r="AL449" t="s">
        <v>628</v>
      </c>
      <c r="AM449" t="s">
        <v>629</v>
      </c>
      <c r="AN449" t="s">
        <v>8993</v>
      </c>
      <c r="AO449" t="s">
        <v>8994</v>
      </c>
      <c r="AP449" t="s">
        <v>8995</v>
      </c>
      <c r="AQ449" t="s">
        <v>74</v>
      </c>
      <c r="AR449" t="s">
        <v>8996</v>
      </c>
      <c r="AS449" t="s">
        <v>8997</v>
      </c>
      <c r="AT449" t="s">
        <v>96</v>
      </c>
      <c r="AU449">
        <v>2021</v>
      </c>
      <c r="AV449">
        <v>39</v>
      </c>
      <c r="AW449">
        <v>6</v>
      </c>
      <c r="AX449" t="s">
        <v>74</v>
      </c>
      <c r="AY449" t="s">
        <v>74</v>
      </c>
      <c r="AZ449" t="s">
        <v>431</v>
      </c>
      <c r="BA449" t="s">
        <v>74</v>
      </c>
      <c r="BB449">
        <v>2209</v>
      </c>
      <c r="BC449">
        <v>2219</v>
      </c>
      <c r="BD449" t="s">
        <v>74</v>
      </c>
      <c r="BE449" t="s">
        <v>8998</v>
      </c>
      <c r="BF449" t="str">
        <f>HYPERLINK("http://dx.doi.org/10.1007/s00343-021-0297-5","http://dx.doi.org/10.1007/s00343-021-0297-5")</f>
        <v>http://dx.doi.org/10.1007/s00343-021-0297-5</v>
      </c>
      <c r="BG449" t="s">
        <v>74</v>
      </c>
      <c r="BH449" t="s">
        <v>8134</v>
      </c>
      <c r="BI449">
        <v>11</v>
      </c>
      <c r="BJ449" t="s">
        <v>8999</v>
      </c>
      <c r="BK449" t="s">
        <v>128</v>
      </c>
      <c r="BL449" t="s">
        <v>3436</v>
      </c>
      <c r="BM449" t="s">
        <v>9000</v>
      </c>
      <c r="BN449" t="s">
        <v>74</v>
      </c>
      <c r="BO449" t="s">
        <v>74</v>
      </c>
      <c r="BP449" t="s">
        <v>74</v>
      </c>
      <c r="BQ449" t="s">
        <v>74</v>
      </c>
      <c r="BR449" t="s">
        <v>102</v>
      </c>
      <c r="BS449" t="s">
        <v>9001</v>
      </c>
      <c r="BT449" t="str">
        <f>HYPERLINK("https%3A%2F%2Fwww.webofscience.com%2Fwos%2Fwoscc%2Ffull-record%2FWOS:000665680000008","View Full Record in Web of Science")</f>
        <v>View Full Record in Web of Science</v>
      </c>
    </row>
    <row r="450" spans="1:72" x14ac:dyDescent="0.15">
      <c r="A450" t="s">
        <v>72</v>
      </c>
      <c r="B450" t="s">
        <v>9002</v>
      </c>
      <c r="C450" t="s">
        <v>74</v>
      </c>
      <c r="D450" t="s">
        <v>74</v>
      </c>
      <c r="E450" t="s">
        <v>74</v>
      </c>
      <c r="F450" t="s">
        <v>9003</v>
      </c>
      <c r="G450" t="s">
        <v>74</v>
      </c>
      <c r="H450" t="s">
        <v>74</v>
      </c>
      <c r="I450" t="s">
        <v>9004</v>
      </c>
      <c r="J450" t="s">
        <v>5856</v>
      </c>
      <c r="K450" t="s">
        <v>74</v>
      </c>
      <c r="L450" t="s">
        <v>74</v>
      </c>
      <c r="M450" t="s">
        <v>78</v>
      </c>
      <c r="N450" t="s">
        <v>79</v>
      </c>
      <c r="O450" t="s">
        <v>74</v>
      </c>
      <c r="P450" t="s">
        <v>74</v>
      </c>
      <c r="Q450" t="s">
        <v>74</v>
      </c>
      <c r="R450" t="s">
        <v>74</v>
      </c>
      <c r="S450" t="s">
        <v>74</v>
      </c>
      <c r="T450" t="s">
        <v>74</v>
      </c>
      <c r="U450" t="s">
        <v>9005</v>
      </c>
      <c r="V450" t="s">
        <v>9006</v>
      </c>
      <c r="W450" t="s">
        <v>9007</v>
      </c>
      <c r="X450" t="s">
        <v>9008</v>
      </c>
      <c r="Y450" t="s">
        <v>9009</v>
      </c>
      <c r="Z450" t="s">
        <v>9010</v>
      </c>
      <c r="AA450" t="s">
        <v>9011</v>
      </c>
      <c r="AB450" t="s">
        <v>9012</v>
      </c>
      <c r="AC450" t="s">
        <v>9013</v>
      </c>
      <c r="AD450" t="s">
        <v>9014</v>
      </c>
      <c r="AE450" t="s">
        <v>9015</v>
      </c>
      <c r="AF450" t="s">
        <v>74</v>
      </c>
      <c r="AG450">
        <v>46</v>
      </c>
      <c r="AH450">
        <v>4</v>
      </c>
      <c r="AI450">
        <v>5</v>
      </c>
      <c r="AJ450">
        <v>1</v>
      </c>
      <c r="AK450">
        <v>3</v>
      </c>
      <c r="AL450" t="s">
        <v>5868</v>
      </c>
      <c r="AM450" t="s">
        <v>5869</v>
      </c>
      <c r="AN450" t="s">
        <v>5870</v>
      </c>
      <c r="AO450" t="s">
        <v>5871</v>
      </c>
      <c r="AP450" t="s">
        <v>5872</v>
      </c>
      <c r="AQ450" t="s">
        <v>74</v>
      </c>
      <c r="AR450" t="s">
        <v>5873</v>
      </c>
      <c r="AS450" t="s">
        <v>5874</v>
      </c>
      <c r="AT450" t="s">
        <v>9016</v>
      </c>
      <c r="AU450">
        <v>2021</v>
      </c>
      <c r="AV450">
        <v>41</v>
      </c>
      <c r="AW450">
        <v>2</v>
      </c>
      <c r="AX450" t="s">
        <v>74</v>
      </c>
      <c r="AY450" t="s">
        <v>74</v>
      </c>
      <c r="AZ450" t="s">
        <v>74</v>
      </c>
      <c r="BA450" t="s">
        <v>74</v>
      </c>
      <c r="BB450" t="s">
        <v>74</v>
      </c>
      <c r="BC450" t="s">
        <v>74</v>
      </c>
      <c r="BD450" t="s">
        <v>74</v>
      </c>
      <c r="BE450" t="s">
        <v>9017</v>
      </c>
      <c r="BF450" t="str">
        <f>HYPERLINK("http://dx.doi.org/10.1080/02724634.2021.1929269","http://dx.doi.org/10.1080/02724634.2021.1929269")</f>
        <v>http://dx.doi.org/10.1080/02724634.2021.1929269</v>
      </c>
      <c r="BG450" t="s">
        <v>74</v>
      </c>
      <c r="BH450" t="s">
        <v>8134</v>
      </c>
      <c r="BI450">
        <v>10</v>
      </c>
      <c r="BJ450" t="s">
        <v>4393</v>
      </c>
      <c r="BK450" t="s">
        <v>128</v>
      </c>
      <c r="BL450" t="s">
        <v>4393</v>
      </c>
      <c r="BM450" t="s">
        <v>9018</v>
      </c>
      <c r="BN450" t="s">
        <v>74</v>
      </c>
      <c r="BO450" t="s">
        <v>408</v>
      </c>
      <c r="BP450" t="s">
        <v>74</v>
      </c>
      <c r="BQ450" t="s">
        <v>74</v>
      </c>
      <c r="BR450" t="s">
        <v>102</v>
      </c>
      <c r="BS450" t="s">
        <v>9019</v>
      </c>
      <c r="BT450" t="str">
        <f>HYPERLINK("https%3A%2F%2Fwww.webofscience.com%2Fwos%2Fwoscc%2Ffull-record%2FWOS:000666939100001","View Full Record in Web of Science")</f>
        <v>View Full Record in Web of Science</v>
      </c>
    </row>
    <row r="451" spans="1:72" x14ac:dyDescent="0.15">
      <c r="A451" t="s">
        <v>72</v>
      </c>
      <c r="B451" t="s">
        <v>9020</v>
      </c>
      <c r="C451" t="s">
        <v>74</v>
      </c>
      <c r="D451" t="s">
        <v>74</v>
      </c>
      <c r="E451" t="s">
        <v>74</v>
      </c>
      <c r="F451" t="s">
        <v>9021</v>
      </c>
      <c r="G451" t="s">
        <v>74</v>
      </c>
      <c r="H451" t="s">
        <v>74</v>
      </c>
      <c r="I451" t="s">
        <v>9022</v>
      </c>
      <c r="J451" t="s">
        <v>3776</v>
      </c>
      <c r="K451" t="s">
        <v>74</v>
      </c>
      <c r="L451" t="s">
        <v>74</v>
      </c>
      <c r="M451" t="s">
        <v>78</v>
      </c>
      <c r="N451" t="s">
        <v>79</v>
      </c>
      <c r="O451" t="s">
        <v>74</v>
      </c>
      <c r="P451" t="s">
        <v>74</v>
      </c>
      <c r="Q451" t="s">
        <v>74</v>
      </c>
      <c r="R451" t="s">
        <v>74</v>
      </c>
      <c r="S451" t="s">
        <v>74</v>
      </c>
      <c r="T451" t="s">
        <v>74</v>
      </c>
      <c r="U451" t="s">
        <v>9023</v>
      </c>
      <c r="V451" t="s">
        <v>9024</v>
      </c>
      <c r="W451" t="s">
        <v>9025</v>
      </c>
      <c r="X451" t="s">
        <v>9026</v>
      </c>
      <c r="Y451" t="s">
        <v>9027</v>
      </c>
      <c r="Z451" t="s">
        <v>9028</v>
      </c>
      <c r="AA451" t="s">
        <v>9029</v>
      </c>
      <c r="AB451" t="s">
        <v>9030</v>
      </c>
      <c r="AC451" t="s">
        <v>9031</v>
      </c>
      <c r="AD451" t="s">
        <v>9032</v>
      </c>
      <c r="AE451" t="s">
        <v>9033</v>
      </c>
      <c r="AF451" t="s">
        <v>74</v>
      </c>
      <c r="AG451">
        <v>59</v>
      </c>
      <c r="AH451">
        <v>7</v>
      </c>
      <c r="AI451">
        <v>7</v>
      </c>
      <c r="AJ451">
        <v>3</v>
      </c>
      <c r="AK451">
        <v>25</v>
      </c>
      <c r="AL451" t="s">
        <v>143</v>
      </c>
      <c r="AM451" t="s">
        <v>144</v>
      </c>
      <c r="AN451" t="s">
        <v>145</v>
      </c>
      <c r="AO451" t="s">
        <v>3788</v>
      </c>
      <c r="AP451" t="s">
        <v>3789</v>
      </c>
      <c r="AQ451" t="s">
        <v>74</v>
      </c>
      <c r="AR451" t="s">
        <v>3790</v>
      </c>
      <c r="AS451" t="s">
        <v>3791</v>
      </c>
      <c r="AT451" t="s">
        <v>9034</v>
      </c>
      <c r="AU451">
        <v>2021</v>
      </c>
      <c r="AV451">
        <v>21</v>
      </c>
      <c r="AW451">
        <v>12</v>
      </c>
      <c r="AX451" t="s">
        <v>74</v>
      </c>
      <c r="AY451" t="s">
        <v>74</v>
      </c>
      <c r="AZ451" t="s">
        <v>74</v>
      </c>
      <c r="BA451" t="s">
        <v>74</v>
      </c>
      <c r="BB451">
        <v>9497</v>
      </c>
      <c r="BC451">
        <v>9513</v>
      </c>
      <c r="BD451" t="s">
        <v>74</v>
      </c>
      <c r="BE451" t="s">
        <v>9035</v>
      </c>
      <c r="BF451" t="str">
        <f>HYPERLINK("http://dx.doi.org/10.5194/acp-21-9497-2021","http://dx.doi.org/10.5194/acp-21-9497-2021")</f>
        <v>http://dx.doi.org/10.5194/acp-21-9497-2021</v>
      </c>
      <c r="BG451" t="s">
        <v>74</v>
      </c>
      <c r="BH451" t="s">
        <v>74</v>
      </c>
      <c r="BI451">
        <v>17</v>
      </c>
      <c r="BJ451" t="s">
        <v>635</v>
      </c>
      <c r="BK451" t="s">
        <v>128</v>
      </c>
      <c r="BL451" t="s">
        <v>636</v>
      </c>
      <c r="BM451" t="s">
        <v>9036</v>
      </c>
      <c r="BN451" t="s">
        <v>74</v>
      </c>
      <c r="BO451" t="s">
        <v>353</v>
      </c>
      <c r="BP451" t="s">
        <v>74</v>
      </c>
      <c r="BQ451" t="s">
        <v>74</v>
      </c>
      <c r="BR451" t="s">
        <v>102</v>
      </c>
      <c r="BS451" t="s">
        <v>9037</v>
      </c>
      <c r="BT451" t="str">
        <f>HYPERLINK("https%3A%2F%2Fwww.webofscience.com%2Fwos%2Fwoscc%2Ffull-record%2FWOS:000667533500003","View Full Record in Web of Science")</f>
        <v>View Full Record in Web of Science</v>
      </c>
    </row>
    <row r="452" spans="1:72" x14ac:dyDescent="0.15">
      <c r="A452" t="s">
        <v>72</v>
      </c>
      <c r="B452" t="s">
        <v>9038</v>
      </c>
      <c r="C452" t="s">
        <v>74</v>
      </c>
      <c r="D452" t="s">
        <v>74</v>
      </c>
      <c r="E452" t="s">
        <v>74</v>
      </c>
      <c r="F452" t="s">
        <v>9039</v>
      </c>
      <c r="G452" t="s">
        <v>74</v>
      </c>
      <c r="H452" t="s">
        <v>74</v>
      </c>
      <c r="I452" t="s">
        <v>9040</v>
      </c>
      <c r="J452" t="s">
        <v>4055</v>
      </c>
      <c r="K452" t="s">
        <v>74</v>
      </c>
      <c r="L452" t="s">
        <v>74</v>
      </c>
      <c r="M452" t="s">
        <v>78</v>
      </c>
      <c r="N452" t="s">
        <v>79</v>
      </c>
      <c r="O452" t="s">
        <v>74</v>
      </c>
      <c r="P452" t="s">
        <v>74</v>
      </c>
      <c r="Q452" t="s">
        <v>74</v>
      </c>
      <c r="R452" t="s">
        <v>74</v>
      </c>
      <c r="S452" t="s">
        <v>74</v>
      </c>
      <c r="T452" t="s">
        <v>74</v>
      </c>
      <c r="U452" t="s">
        <v>9041</v>
      </c>
      <c r="V452" t="s">
        <v>9042</v>
      </c>
      <c r="W452" t="s">
        <v>9043</v>
      </c>
      <c r="X452" t="s">
        <v>9044</v>
      </c>
      <c r="Y452" t="s">
        <v>9045</v>
      </c>
      <c r="Z452" t="s">
        <v>9046</v>
      </c>
      <c r="AA452" t="s">
        <v>9047</v>
      </c>
      <c r="AB452" t="s">
        <v>9048</v>
      </c>
      <c r="AC452" t="s">
        <v>9049</v>
      </c>
      <c r="AD452" t="s">
        <v>9050</v>
      </c>
      <c r="AE452" t="s">
        <v>9051</v>
      </c>
      <c r="AF452" t="s">
        <v>74</v>
      </c>
      <c r="AG452">
        <v>53</v>
      </c>
      <c r="AH452">
        <v>7</v>
      </c>
      <c r="AI452">
        <v>7</v>
      </c>
      <c r="AJ452">
        <v>0</v>
      </c>
      <c r="AK452">
        <v>8</v>
      </c>
      <c r="AL452" t="s">
        <v>395</v>
      </c>
      <c r="AM452" t="s">
        <v>396</v>
      </c>
      <c r="AN452" t="s">
        <v>397</v>
      </c>
      <c r="AO452" t="s">
        <v>74</v>
      </c>
      <c r="AP452" t="s">
        <v>4068</v>
      </c>
      <c r="AQ452" t="s">
        <v>74</v>
      </c>
      <c r="AR452" t="s">
        <v>4069</v>
      </c>
      <c r="AS452" t="s">
        <v>4070</v>
      </c>
      <c r="AT452" t="s">
        <v>9034</v>
      </c>
      <c r="AU452">
        <v>2021</v>
      </c>
      <c r="AV452">
        <v>12</v>
      </c>
      <c r="AW452">
        <v>1</v>
      </c>
      <c r="AX452" t="s">
        <v>74</v>
      </c>
      <c r="AY452" t="s">
        <v>74</v>
      </c>
      <c r="AZ452" t="s">
        <v>74</v>
      </c>
      <c r="BA452" t="s">
        <v>74</v>
      </c>
      <c r="BB452" t="s">
        <v>74</v>
      </c>
      <c r="BC452" t="s">
        <v>74</v>
      </c>
      <c r="BD452">
        <v>3717</v>
      </c>
      <c r="BE452" t="s">
        <v>9052</v>
      </c>
      <c r="BF452" t="str">
        <f>HYPERLINK("http://dx.doi.org/10.1038/s41467-021-23910-6","http://dx.doi.org/10.1038/s41467-021-23910-6")</f>
        <v>http://dx.doi.org/10.1038/s41467-021-23910-6</v>
      </c>
      <c r="BG452" t="s">
        <v>74</v>
      </c>
      <c r="BH452" t="s">
        <v>74</v>
      </c>
      <c r="BI452">
        <v>8</v>
      </c>
      <c r="BJ452" t="s">
        <v>2609</v>
      </c>
      <c r="BK452" t="s">
        <v>100</v>
      </c>
      <c r="BL452" t="s">
        <v>2610</v>
      </c>
      <c r="BM452" t="s">
        <v>9053</v>
      </c>
      <c r="BN452">
        <v>34162841</v>
      </c>
      <c r="BO452" t="s">
        <v>7792</v>
      </c>
      <c r="BP452" t="s">
        <v>74</v>
      </c>
      <c r="BQ452" t="s">
        <v>74</v>
      </c>
      <c r="BR452" t="s">
        <v>102</v>
      </c>
      <c r="BS452" t="s">
        <v>9054</v>
      </c>
      <c r="BT452" t="str">
        <f>HYPERLINK("https%3A%2F%2Fwww.webofscience.com%2Fwos%2Fwoscc%2Ffull-record%2FWOS:000668759800001","View Full Record in Web of Science")</f>
        <v>View Full Record in Web of Science</v>
      </c>
    </row>
    <row r="453" spans="1:72" x14ac:dyDescent="0.15">
      <c r="A453" t="s">
        <v>72</v>
      </c>
      <c r="B453" t="s">
        <v>9055</v>
      </c>
      <c r="C453" t="s">
        <v>74</v>
      </c>
      <c r="D453" t="s">
        <v>74</v>
      </c>
      <c r="E453" t="s">
        <v>74</v>
      </c>
      <c r="F453" t="s">
        <v>9056</v>
      </c>
      <c r="G453" t="s">
        <v>74</v>
      </c>
      <c r="H453" t="s">
        <v>74</v>
      </c>
      <c r="I453" t="s">
        <v>9057</v>
      </c>
      <c r="J453" t="s">
        <v>9058</v>
      </c>
      <c r="K453" t="s">
        <v>74</v>
      </c>
      <c r="L453" t="s">
        <v>74</v>
      </c>
      <c r="M453" t="s">
        <v>78</v>
      </c>
      <c r="N453" t="s">
        <v>79</v>
      </c>
      <c r="O453" t="s">
        <v>74</v>
      </c>
      <c r="P453" t="s">
        <v>74</v>
      </c>
      <c r="Q453" t="s">
        <v>74</v>
      </c>
      <c r="R453" t="s">
        <v>74</v>
      </c>
      <c r="S453" t="s">
        <v>74</v>
      </c>
      <c r="T453" t="s">
        <v>9059</v>
      </c>
      <c r="U453" t="s">
        <v>9060</v>
      </c>
      <c r="V453" t="s">
        <v>9061</v>
      </c>
      <c r="W453" t="s">
        <v>9062</v>
      </c>
      <c r="X453" t="s">
        <v>9063</v>
      </c>
      <c r="Y453" t="s">
        <v>9064</v>
      </c>
      <c r="Z453" t="s">
        <v>9065</v>
      </c>
      <c r="AA453" t="s">
        <v>9066</v>
      </c>
      <c r="AB453" t="s">
        <v>9067</v>
      </c>
      <c r="AC453" t="s">
        <v>74</v>
      </c>
      <c r="AD453" t="s">
        <v>74</v>
      </c>
      <c r="AE453" t="s">
        <v>74</v>
      </c>
      <c r="AF453" t="s">
        <v>74</v>
      </c>
      <c r="AG453">
        <v>41</v>
      </c>
      <c r="AH453">
        <v>3</v>
      </c>
      <c r="AI453">
        <v>3</v>
      </c>
      <c r="AJ453">
        <v>3</v>
      </c>
      <c r="AK453">
        <v>22</v>
      </c>
      <c r="AL453" t="s">
        <v>450</v>
      </c>
      <c r="AM453" t="s">
        <v>650</v>
      </c>
      <c r="AN453" t="s">
        <v>1957</v>
      </c>
      <c r="AO453" t="s">
        <v>9068</v>
      </c>
      <c r="AP453" t="s">
        <v>9069</v>
      </c>
      <c r="AQ453" t="s">
        <v>74</v>
      </c>
      <c r="AR453" t="s">
        <v>9070</v>
      </c>
      <c r="AS453" t="s">
        <v>9071</v>
      </c>
      <c r="AT453" t="s">
        <v>430</v>
      </c>
      <c r="AU453">
        <v>2021</v>
      </c>
      <c r="AV453">
        <v>105</v>
      </c>
      <c r="AW453">
        <v>13</v>
      </c>
      <c r="AX453" t="s">
        <v>74</v>
      </c>
      <c r="AY453" t="s">
        <v>74</v>
      </c>
      <c r="AZ453" t="s">
        <v>74</v>
      </c>
      <c r="BA453" t="s">
        <v>74</v>
      </c>
      <c r="BB453">
        <v>5675</v>
      </c>
      <c r="BC453">
        <v>5687</v>
      </c>
      <c r="BD453" t="s">
        <v>74</v>
      </c>
      <c r="BE453" t="s">
        <v>9072</v>
      </c>
      <c r="BF453" t="str">
        <f>HYPERLINK("http://dx.doi.org/10.1007/s00253-021-11260-8","http://dx.doi.org/10.1007/s00253-021-11260-8")</f>
        <v>http://dx.doi.org/10.1007/s00253-021-11260-8</v>
      </c>
      <c r="BG453" t="s">
        <v>74</v>
      </c>
      <c r="BH453" t="s">
        <v>8134</v>
      </c>
      <c r="BI453">
        <v>13</v>
      </c>
      <c r="BJ453" t="s">
        <v>844</v>
      </c>
      <c r="BK453" t="s">
        <v>128</v>
      </c>
      <c r="BL453" t="s">
        <v>844</v>
      </c>
      <c r="BM453" t="s">
        <v>9073</v>
      </c>
      <c r="BN453">
        <v>34164714</v>
      </c>
      <c r="BO453" t="s">
        <v>2514</v>
      </c>
      <c r="BP453" t="s">
        <v>74</v>
      </c>
      <c r="BQ453" t="s">
        <v>74</v>
      </c>
      <c r="BR453" t="s">
        <v>102</v>
      </c>
      <c r="BS453" t="s">
        <v>9074</v>
      </c>
      <c r="BT453" t="str">
        <f>HYPERLINK("https%3A%2F%2Fwww.webofscience.com%2Fwos%2Fwoscc%2Ffull-record%2FWOS:000664864100001","View Full Record in Web of Science")</f>
        <v>View Full Record in Web of Science</v>
      </c>
    </row>
    <row r="454" spans="1:72" x14ac:dyDescent="0.15">
      <c r="A454" t="s">
        <v>72</v>
      </c>
      <c r="B454" t="s">
        <v>9075</v>
      </c>
      <c r="C454" t="s">
        <v>74</v>
      </c>
      <c r="D454" t="s">
        <v>74</v>
      </c>
      <c r="E454" t="s">
        <v>74</v>
      </c>
      <c r="F454" t="s">
        <v>9076</v>
      </c>
      <c r="G454" t="s">
        <v>74</v>
      </c>
      <c r="H454" t="s">
        <v>74</v>
      </c>
      <c r="I454" t="s">
        <v>9077</v>
      </c>
      <c r="J454" t="s">
        <v>9078</v>
      </c>
      <c r="K454" t="s">
        <v>74</v>
      </c>
      <c r="L454" t="s">
        <v>74</v>
      </c>
      <c r="M454" t="s">
        <v>78</v>
      </c>
      <c r="N454" t="s">
        <v>3298</v>
      </c>
      <c r="O454" t="s">
        <v>74</v>
      </c>
      <c r="P454" t="s">
        <v>74</v>
      </c>
      <c r="Q454" t="s">
        <v>74</v>
      </c>
      <c r="R454" t="s">
        <v>74</v>
      </c>
      <c r="S454" t="s">
        <v>74</v>
      </c>
      <c r="T454" t="s">
        <v>74</v>
      </c>
      <c r="U454" t="s">
        <v>74</v>
      </c>
      <c r="V454" t="s">
        <v>74</v>
      </c>
      <c r="W454" t="s">
        <v>9079</v>
      </c>
      <c r="X454" t="s">
        <v>9080</v>
      </c>
      <c r="Y454" t="s">
        <v>9081</v>
      </c>
      <c r="Z454" t="s">
        <v>9082</v>
      </c>
      <c r="AA454" t="s">
        <v>74</v>
      </c>
      <c r="AB454" t="s">
        <v>9083</v>
      </c>
      <c r="AC454" t="s">
        <v>74</v>
      </c>
      <c r="AD454" t="s">
        <v>74</v>
      </c>
      <c r="AE454" t="s">
        <v>74</v>
      </c>
      <c r="AF454" t="s">
        <v>74</v>
      </c>
      <c r="AG454">
        <v>1</v>
      </c>
      <c r="AH454">
        <v>0</v>
      </c>
      <c r="AI454">
        <v>0</v>
      </c>
      <c r="AJ454">
        <v>0</v>
      </c>
      <c r="AK454">
        <v>8</v>
      </c>
      <c r="AL454" t="s">
        <v>450</v>
      </c>
      <c r="AM454" t="s">
        <v>451</v>
      </c>
      <c r="AN454" t="s">
        <v>452</v>
      </c>
      <c r="AO454" t="s">
        <v>9084</v>
      </c>
      <c r="AP454" t="s">
        <v>9085</v>
      </c>
      <c r="AQ454" t="s">
        <v>74</v>
      </c>
      <c r="AR454" t="s">
        <v>9086</v>
      </c>
      <c r="AS454" t="s">
        <v>9087</v>
      </c>
      <c r="AT454" t="s">
        <v>204</v>
      </c>
      <c r="AU454">
        <v>2021</v>
      </c>
      <c r="AV454">
        <v>23</v>
      </c>
      <c r="AW454">
        <v>10</v>
      </c>
      <c r="AX454" t="s">
        <v>74</v>
      </c>
      <c r="AY454" t="s">
        <v>74</v>
      </c>
      <c r="AZ454" t="s">
        <v>74</v>
      </c>
      <c r="BA454" t="s">
        <v>74</v>
      </c>
      <c r="BB454">
        <v>3279</v>
      </c>
      <c r="BC454">
        <v>3280</v>
      </c>
      <c r="BD454" t="s">
        <v>74</v>
      </c>
      <c r="BE454" t="s">
        <v>9088</v>
      </c>
      <c r="BF454" t="str">
        <f>HYPERLINK("http://dx.doi.org/10.1007/s10530-021-02582-9","http://dx.doi.org/10.1007/s10530-021-02582-9")</f>
        <v>http://dx.doi.org/10.1007/s10530-021-02582-9</v>
      </c>
      <c r="BG454" t="s">
        <v>74</v>
      </c>
      <c r="BH454" t="s">
        <v>8134</v>
      </c>
      <c r="BI454">
        <v>2</v>
      </c>
      <c r="BJ454" t="s">
        <v>1883</v>
      </c>
      <c r="BK454" t="s">
        <v>128</v>
      </c>
      <c r="BL454" t="s">
        <v>207</v>
      </c>
      <c r="BM454" t="s">
        <v>9089</v>
      </c>
      <c r="BN454" t="s">
        <v>74</v>
      </c>
      <c r="BO454" t="s">
        <v>291</v>
      </c>
      <c r="BP454" t="s">
        <v>74</v>
      </c>
      <c r="BQ454" t="s">
        <v>74</v>
      </c>
      <c r="BR454" t="s">
        <v>102</v>
      </c>
      <c r="BS454" t="s">
        <v>9090</v>
      </c>
      <c r="BT454" t="str">
        <f>HYPERLINK("https%3A%2F%2Fwww.webofscience.com%2Fwos%2Fwoscc%2Ffull-record%2FWOS:000664863200001","View Full Record in Web of Science")</f>
        <v>View Full Record in Web of Science</v>
      </c>
    </row>
    <row r="455" spans="1:72" x14ac:dyDescent="0.15">
      <c r="A455" t="s">
        <v>72</v>
      </c>
      <c r="B455" t="s">
        <v>9091</v>
      </c>
      <c r="C455" t="s">
        <v>74</v>
      </c>
      <c r="D455" t="s">
        <v>74</v>
      </c>
      <c r="E455" t="s">
        <v>74</v>
      </c>
      <c r="F455" t="s">
        <v>9092</v>
      </c>
      <c r="G455" t="s">
        <v>74</v>
      </c>
      <c r="H455" t="s">
        <v>74</v>
      </c>
      <c r="I455" t="s">
        <v>9093</v>
      </c>
      <c r="J455" t="s">
        <v>9094</v>
      </c>
      <c r="K455" t="s">
        <v>74</v>
      </c>
      <c r="L455" t="s">
        <v>74</v>
      </c>
      <c r="M455" t="s">
        <v>78</v>
      </c>
      <c r="N455" t="s">
        <v>79</v>
      </c>
      <c r="O455" t="s">
        <v>74</v>
      </c>
      <c r="P455" t="s">
        <v>74</v>
      </c>
      <c r="Q455" t="s">
        <v>74</v>
      </c>
      <c r="R455" t="s">
        <v>74</v>
      </c>
      <c r="S455" t="s">
        <v>74</v>
      </c>
      <c r="T455" t="s">
        <v>9095</v>
      </c>
      <c r="U455" t="s">
        <v>9096</v>
      </c>
      <c r="V455" t="s">
        <v>9097</v>
      </c>
      <c r="W455" t="s">
        <v>9098</v>
      </c>
      <c r="X455" t="s">
        <v>9099</v>
      </c>
      <c r="Y455" t="s">
        <v>9100</v>
      </c>
      <c r="Z455" t="s">
        <v>9101</v>
      </c>
      <c r="AA455" t="s">
        <v>9102</v>
      </c>
      <c r="AB455" t="s">
        <v>9103</v>
      </c>
      <c r="AC455" t="s">
        <v>9104</v>
      </c>
      <c r="AD455" t="s">
        <v>9105</v>
      </c>
      <c r="AE455" t="s">
        <v>9106</v>
      </c>
      <c r="AF455" t="s">
        <v>74</v>
      </c>
      <c r="AG455">
        <v>89</v>
      </c>
      <c r="AH455">
        <v>2</v>
      </c>
      <c r="AI455">
        <v>2</v>
      </c>
      <c r="AJ455">
        <v>0</v>
      </c>
      <c r="AK455">
        <v>1</v>
      </c>
      <c r="AL455" t="s">
        <v>450</v>
      </c>
      <c r="AM455" t="s">
        <v>650</v>
      </c>
      <c r="AN455" t="s">
        <v>1957</v>
      </c>
      <c r="AO455" t="s">
        <v>9107</v>
      </c>
      <c r="AP455" t="s">
        <v>9108</v>
      </c>
      <c r="AQ455" t="s">
        <v>74</v>
      </c>
      <c r="AR455" t="s">
        <v>9109</v>
      </c>
      <c r="AS455" t="s">
        <v>9110</v>
      </c>
      <c r="AT455" t="s">
        <v>402</v>
      </c>
      <c r="AU455">
        <v>2021</v>
      </c>
      <c r="AV455">
        <v>110</v>
      </c>
      <c r="AW455">
        <v>6</v>
      </c>
      <c r="AX455" t="s">
        <v>74</v>
      </c>
      <c r="AY455" t="s">
        <v>74</v>
      </c>
      <c r="AZ455" t="s">
        <v>74</v>
      </c>
      <c r="BA455" t="s">
        <v>74</v>
      </c>
      <c r="BB455">
        <v>2021</v>
      </c>
      <c r="BC455">
        <v>2042</v>
      </c>
      <c r="BD455" t="s">
        <v>74</v>
      </c>
      <c r="BE455" t="s">
        <v>9111</v>
      </c>
      <c r="BF455" t="str">
        <f>HYPERLINK("http://dx.doi.org/10.1007/s00531-021-02054-4","http://dx.doi.org/10.1007/s00531-021-02054-4")</f>
        <v>http://dx.doi.org/10.1007/s00531-021-02054-4</v>
      </c>
      <c r="BG455" t="s">
        <v>74</v>
      </c>
      <c r="BH455" t="s">
        <v>8134</v>
      </c>
      <c r="BI455">
        <v>22</v>
      </c>
      <c r="BJ455" t="s">
        <v>405</v>
      </c>
      <c r="BK455" t="s">
        <v>128</v>
      </c>
      <c r="BL455" t="s">
        <v>406</v>
      </c>
      <c r="BM455" t="s">
        <v>9112</v>
      </c>
      <c r="BN455" t="s">
        <v>74</v>
      </c>
      <c r="BO455" t="s">
        <v>238</v>
      </c>
      <c r="BP455" t="s">
        <v>74</v>
      </c>
      <c r="BQ455" t="s">
        <v>74</v>
      </c>
      <c r="BR455" t="s">
        <v>102</v>
      </c>
      <c r="BS455" t="s">
        <v>9113</v>
      </c>
      <c r="BT455" t="str">
        <f>HYPERLINK("https%3A%2F%2Fwww.webofscience.com%2Fwos%2Fwoscc%2Ffull-record%2FWOS:000664809500001","View Full Record in Web of Science")</f>
        <v>View Full Record in Web of Science</v>
      </c>
    </row>
    <row r="456" spans="1:72" x14ac:dyDescent="0.15">
      <c r="A456" t="s">
        <v>72</v>
      </c>
      <c r="B456" t="s">
        <v>9114</v>
      </c>
      <c r="C456" t="s">
        <v>74</v>
      </c>
      <c r="D456" t="s">
        <v>74</v>
      </c>
      <c r="E456" t="s">
        <v>74</v>
      </c>
      <c r="F456" t="s">
        <v>9115</v>
      </c>
      <c r="G456" t="s">
        <v>74</v>
      </c>
      <c r="H456" t="s">
        <v>74</v>
      </c>
      <c r="I456" t="s">
        <v>9116</v>
      </c>
      <c r="J456" t="s">
        <v>2594</v>
      </c>
      <c r="K456" t="s">
        <v>74</v>
      </c>
      <c r="L456" t="s">
        <v>74</v>
      </c>
      <c r="M456" t="s">
        <v>78</v>
      </c>
      <c r="N456" t="s">
        <v>79</v>
      </c>
      <c r="O456" t="s">
        <v>74</v>
      </c>
      <c r="P456" t="s">
        <v>74</v>
      </c>
      <c r="Q456" t="s">
        <v>74</v>
      </c>
      <c r="R456" t="s">
        <v>74</v>
      </c>
      <c r="S456" t="s">
        <v>74</v>
      </c>
      <c r="T456" t="s">
        <v>74</v>
      </c>
      <c r="U456" t="s">
        <v>9117</v>
      </c>
      <c r="V456" t="s">
        <v>9118</v>
      </c>
      <c r="W456" t="s">
        <v>9119</v>
      </c>
      <c r="X456" t="s">
        <v>9120</v>
      </c>
      <c r="Y456" t="s">
        <v>9121</v>
      </c>
      <c r="Z456" t="s">
        <v>9122</v>
      </c>
      <c r="AA456" t="s">
        <v>9123</v>
      </c>
      <c r="AB456" t="s">
        <v>9124</v>
      </c>
      <c r="AC456" t="s">
        <v>9125</v>
      </c>
      <c r="AD456" t="s">
        <v>9126</v>
      </c>
      <c r="AE456" t="s">
        <v>9127</v>
      </c>
      <c r="AF456" t="s">
        <v>74</v>
      </c>
      <c r="AG456">
        <v>109</v>
      </c>
      <c r="AH456">
        <v>13</v>
      </c>
      <c r="AI456">
        <v>13</v>
      </c>
      <c r="AJ456">
        <v>2</v>
      </c>
      <c r="AK456">
        <v>17</v>
      </c>
      <c r="AL456" t="s">
        <v>395</v>
      </c>
      <c r="AM456" t="s">
        <v>396</v>
      </c>
      <c r="AN456" t="s">
        <v>397</v>
      </c>
      <c r="AO456" t="s">
        <v>2605</v>
      </c>
      <c r="AP456" t="s">
        <v>74</v>
      </c>
      <c r="AQ456" t="s">
        <v>74</v>
      </c>
      <c r="AR456" t="s">
        <v>2606</v>
      </c>
      <c r="AS456" t="s">
        <v>2607</v>
      </c>
      <c r="AT456" t="s">
        <v>9034</v>
      </c>
      <c r="AU456">
        <v>2021</v>
      </c>
      <c r="AV456">
        <v>11</v>
      </c>
      <c r="AW456">
        <v>1</v>
      </c>
      <c r="AX456" t="s">
        <v>74</v>
      </c>
      <c r="AY456" t="s">
        <v>74</v>
      </c>
      <c r="AZ456" t="s">
        <v>74</v>
      </c>
      <c r="BA456" t="s">
        <v>74</v>
      </c>
      <c r="BB456" t="s">
        <v>74</v>
      </c>
      <c r="BC456" t="s">
        <v>74</v>
      </c>
      <c r="BD456">
        <v>13135</v>
      </c>
      <c r="BE456" t="s">
        <v>9128</v>
      </c>
      <c r="BF456" t="str">
        <f>HYPERLINK("http://dx.doi.org/10.1038/s41598-021-92205-z","http://dx.doi.org/10.1038/s41598-021-92205-z")</f>
        <v>http://dx.doi.org/10.1038/s41598-021-92205-z</v>
      </c>
      <c r="BG456" t="s">
        <v>74</v>
      </c>
      <c r="BH456" t="s">
        <v>74</v>
      </c>
      <c r="BI456">
        <v>15</v>
      </c>
      <c r="BJ456" t="s">
        <v>2609</v>
      </c>
      <c r="BK456" t="s">
        <v>128</v>
      </c>
      <c r="BL456" t="s">
        <v>2610</v>
      </c>
      <c r="BM456" t="s">
        <v>9129</v>
      </c>
      <c r="BN456">
        <v>34162928</v>
      </c>
      <c r="BO456" t="s">
        <v>1377</v>
      </c>
      <c r="BP456" t="s">
        <v>74</v>
      </c>
      <c r="BQ456" t="s">
        <v>74</v>
      </c>
      <c r="BR456" t="s">
        <v>102</v>
      </c>
      <c r="BS456" t="s">
        <v>9130</v>
      </c>
      <c r="BT456" t="str">
        <f>HYPERLINK("https%3A%2F%2Fwww.webofscience.com%2Fwos%2Fwoscc%2Ffull-record%2FWOS:000669996400003","View Full Record in Web of Science")</f>
        <v>View Full Record in Web of Science</v>
      </c>
    </row>
    <row r="457" spans="1:72" x14ac:dyDescent="0.15">
      <c r="A457" t="s">
        <v>72</v>
      </c>
      <c r="B457" t="s">
        <v>9131</v>
      </c>
      <c r="C457" t="s">
        <v>74</v>
      </c>
      <c r="D457" t="s">
        <v>74</v>
      </c>
      <c r="E457" t="s">
        <v>74</v>
      </c>
      <c r="F457" t="s">
        <v>9132</v>
      </c>
      <c r="G457" t="s">
        <v>74</v>
      </c>
      <c r="H457" t="s">
        <v>74</v>
      </c>
      <c r="I457" t="s">
        <v>9133</v>
      </c>
      <c r="J457" t="s">
        <v>4202</v>
      </c>
      <c r="K457" t="s">
        <v>74</v>
      </c>
      <c r="L457" t="s">
        <v>74</v>
      </c>
      <c r="M457" t="s">
        <v>78</v>
      </c>
      <c r="N457" t="s">
        <v>79</v>
      </c>
      <c r="O457" t="s">
        <v>74</v>
      </c>
      <c r="P457" t="s">
        <v>74</v>
      </c>
      <c r="Q457" t="s">
        <v>74</v>
      </c>
      <c r="R457" t="s">
        <v>74</v>
      </c>
      <c r="S457" t="s">
        <v>74</v>
      </c>
      <c r="T457" t="s">
        <v>9134</v>
      </c>
      <c r="U457" t="s">
        <v>9135</v>
      </c>
      <c r="V457" t="s">
        <v>9136</v>
      </c>
      <c r="W457" t="s">
        <v>9137</v>
      </c>
      <c r="X457" t="s">
        <v>9138</v>
      </c>
      <c r="Y457" t="s">
        <v>9139</v>
      </c>
      <c r="Z457" t="s">
        <v>9140</v>
      </c>
      <c r="AA457" t="s">
        <v>9141</v>
      </c>
      <c r="AB457" t="s">
        <v>9142</v>
      </c>
      <c r="AC457" t="s">
        <v>9143</v>
      </c>
      <c r="AD457" t="s">
        <v>9144</v>
      </c>
      <c r="AE457" t="s">
        <v>9145</v>
      </c>
      <c r="AF457" t="s">
        <v>74</v>
      </c>
      <c r="AG457">
        <v>58</v>
      </c>
      <c r="AH457">
        <v>1</v>
      </c>
      <c r="AI457">
        <v>1</v>
      </c>
      <c r="AJ457">
        <v>12</v>
      </c>
      <c r="AK457">
        <v>75</v>
      </c>
      <c r="AL457" t="s">
        <v>4214</v>
      </c>
      <c r="AM457" t="s">
        <v>865</v>
      </c>
      <c r="AN457" t="s">
        <v>4215</v>
      </c>
      <c r="AO457" t="s">
        <v>4216</v>
      </c>
      <c r="AP457" t="s">
        <v>4217</v>
      </c>
      <c r="AQ457" t="s">
        <v>74</v>
      </c>
      <c r="AR457" t="s">
        <v>4218</v>
      </c>
      <c r="AS457" t="s">
        <v>4219</v>
      </c>
      <c r="AT457" t="s">
        <v>5634</v>
      </c>
      <c r="AU457">
        <v>2021</v>
      </c>
      <c r="AV457">
        <v>55</v>
      </c>
      <c r="AW457">
        <v>13</v>
      </c>
      <c r="AX457" t="s">
        <v>74</v>
      </c>
      <c r="AY457" t="s">
        <v>74</v>
      </c>
      <c r="AZ457" t="s">
        <v>74</v>
      </c>
      <c r="BA457" t="s">
        <v>74</v>
      </c>
      <c r="BB457">
        <v>9172</v>
      </c>
      <c r="BC457">
        <v>9180</v>
      </c>
      <c r="BD457" t="s">
        <v>74</v>
      </c>
      <c r="BE457" t="s">
        <v>9146</v>
      </c>
      <c r="BF457" t="str">
        <f>HYPERLINK("http://dx.doi.org/10.1021/acs.est.0c07502","http://dx.doi.org/10.1021/acs.est.0c07502")</f>
        <v>http://dx.doi.org/10.1021/acs.est.0c07502</v>
      </c>
      <c r="BG457" t="s">
        <v>74</v>
      </c>
      <c r="BH457" t="s">
        <v>8134</v>
      </c>
      <c r="BI457">
        <v>9</v>
      </c>
      <c r="BJ457" t="s">
        <v>335</v>
      </c>
      <c r="BK457" t="s">
        <v>128</v>
      </c>
      <c r="BL457" t="s">
        <v>336</v>
      </c>
      <c r="BM457" t="s">
        <v>9147</v>
      </c>
      <c r="BN457">
        <v>34156830</v>
      </c>
      <c r="BO457" t="s">
        <v>74</v>
      </c>
      <c r="BP457" t="s">
        <v>74</v>
      </c>
      <c r="BQ457" t="s">
        <v>74</v>
      </c>
      <c r="BR457" t="s">
        <v>102</v>
      </c>
      <c r="BS457" t="s">
        <v>9148</v>
      </c>
      <c r="BT457" t="str">
        <f>HYPERLINK("https%3A%2F%2Fwww.webofscience.com%2Fwos%2Fwoscc%2Ffull-record%2FWOS:000671872100070","View Full Record in Web of Science")</f>
        <v>View Full Record in Web of Science</v>
      </c>
    </row>
    <row r="458" spans="1:72" x14ac:dyDescent="0.15">
      <c r="A458" t="s">
        <v>72</v>
      </c>
      <c r="B458" t="s">
        <v>9149</v>
      </c>
      <c r="C458" t="s">
        <v>74</v>
      </c>
      <c r="D458" t="s">
        <v>74</v>
      </c>
      <c r="E458" t="s">
        <v>74</v>
      </c>
      <c r="F458" t="s">
        <v>9150</v>
      </c>
      <c r="G458" t="s">
        <v>74</v>
      </c>
      <c r="H458" t="s">
        <v>74</v>
      </c>
      <c r="I458" t="s">
        <v>9151</v>
      </c>
      <c r="J458" t="s">
        <v>3310</v>
      </c>
      <c r="K458" t="s">
        <v>74</v>
      </c>
      <c r="L458" t="s">
        <v>74</v>
      </c>
      <c r="M458" t="s">
        <v>78</v>
      </c>
      <c r="N458" t="s">
        <v>79</v>
      </c>
      <c r="O458" t="s">
        <v>74</v>
      </c>
      <c r="P458" t="s">
        <v>74</v>
      </c>
      <c r="Q458" t="s">
        <v>74</v>
      </c>
      <c r="R458" t="s">
        <v>74</v>
      </c>
      <c r="S458" t="s">
        <v>74</v>
      </c>
      <c r="T458" t="s">
        <v>74</v>
      </c>
      <c r="U458" t="s">
        <v>9152</v>
      </c>
      <c r="V458" t="s">
        <v>9153</v>
      </c>
      <c r="W458" t="s">
        <v>9154</v>
      </c>
      <c r="X458" t="s">
        <v>9155</v>
      </c>
      <c r="Y458" t="s">
        <v>9156</v>
      </c>
      <c r="Z458" t="s">
        <v>9157</v>
      </c>
      <c r="AA458" t="s">
        <v>9158</v>
      </c>
      <c r="AB458" t="s">
        <v>9159</v>
      </c>
      <c r="AC458" t="s">
        <v>74</v>
      </c>
      <c r="AD458" t="s">
        <v>74</v>
      </c>
      <c r="AE458" t="s">
        <v>74</v>
      </c>
      <c r="AF458" t="s">
        <v>74</v>
      </c>
      <c r="AG458">
        <v>100</v>
      </c>
      <c r="AH458">
        <v>14</v>
      </c>
      <c r="AI458">
        <v>15</v>
      </c>
      <c r="AJ458">
        <v>1</v>
      </c>
      <c r="AK458">
        <v>16</v>
      </c>
      <c r="AL458" t="s">
        <v>143</v>
      </c>
      <c r="AM458" t="s">
        <v>144</v>
      </c>
      <c r="AN458" t="s">
        <v>145</v>
      </c>
      <c r="AO458" t="s">
        <v>3322</v>
      </c>
      <c r="AP458" t="s">
        <v>3323</v>
      </c>
      <c r="AQ458" t="s">
        <v>74</v>
      </c>
      <c r="AR458" t="s">
        <v>3310</v>
      </c>
      <c r="AS458" t="s">
        <v>3324</v>
      </c>
      <c r="AT458" t="s">
        <v>9160</v>
      </c>
      <c r="AU458">
        <v>2021</v>
      </c>
      <c r="AV458">
        <v>18</v>
      </c>
      <c r="AW458">
        <v>12</v>
      </c>
      <c r="AX458" t="s">
        <v>74</v>
      </c>
      <c r="AY458" t="s">
        <v>74</v>
      </c>
      <c r="AZ458" t="s">
        <v>74</v>
      </c>
      <c r="BA458" t="s">
        <v>74</v>
      </c>
      <c r="BB458">
        <v>3733</v>
      </c>
      <c r="BC458">
        <v>3749</v>
      </c>
      <c r="BD458" t="s">
        <v>74</v>
      </c>
      <c r="BE458" t="s">
        <v>9161</v>
      </c>
      <c r="BF458" t="str">
        <f>HYPERLINK("http://dx.doi.org/10.5194/bg-18-3733-2021","http://dx.doi.org/10.5194/bg-18-3733-2021")</f>
        <v>http://dx.doi.org/10.5194/bg-18-3733-2021</v>
      </c>
      <c r="BG458" t="s">
        <v>74</v>
      </c>
      <c r="BH458" t="s">
        <v>74</v>
      </c>
      <c r="BI458">
        <v>17</v>
      </c>
      <c r="BJ458" t="s">
        <v>3326</v>
      </c>
      <c r="BK458" t="s">
        <v>128</v>
      </c>
      <c r="BL458" t="s">
        <v>3327</v>
      </c>
      <c r="BM458" t="s">
        <v>9162</v>
      </c>
      <c r="BN458" t="s">
        <v>74</v>
      </c>
      <c r="BO458" t="s">
        <v>9163</v>
      </c>
      <c r="BP458" t="s">
        <v>74</v>
      </c>
      <c r="BQ458" t="s">
        <v>74</v>
      </c>
      <c r="BR458" t="s">
        <v>102</v>
      </c>
      <c r="BS458" t="s">
        <v>9164</v>
      </c>
      <c r="BT458" t="str">
        <f>HYPERLINK("https%3A%2F%2Fwww.webofscience.com%2Fwos%2Fwoscc%2Ffull-record%2FWOS:000665535800002","View Full Record in Web of Science")</f>
        <v>View Full Record in Web of Science</v>
      </c>
    </row>
    <row r="459" spans="1:72" x14ac:dyDescent="0.15">
      <c r="A459" t="s">
        <v>72</v>
      </c>
      <c r="B459" t="s">
        <v>9165</v>
      </c>
      <c r="C459" t="s">
        <v>74</v>
      </c>
      <c r="D459" t="s">
        <v>74</v>
      </c>
      <c r="E459" t="s">
        <v>74</v>
      </c>
      <c r="F459" t="s">
        <v>9166</v>
      </c>
      <c r="G459" t="s">
        <v>74</v>
      </c>
      <c r="H459" t="s">
        <v>74</v>
      </c>
      <c r="I459" t="s">
        <v>9167</v>
      </c>
      <c r="J459" t="s">
        <v>4671</v>
      </c>
      <c r="K459" t="s">
        <v>74</v>
      </c>
      <c r="L459" t="s">
        <v>74</v>
      </c>
      <c r="M459" t="s">
        <v>78</v>
      </c>
      <c r="N459" t="s">
        <v>79</v>
      </c>
      <c r="O459" t="s">
        <v>74</v>
      </c>
      <c r="P459" t="s">
        <v>74</v>
      </c>
      <c r="Q459" t="s">
        <v>74</v>
      </c>
      <c r="R459" t="s">
        <v>74</v>
      </c>
      <c r="S459" t="s">
        <v>74</v>
      </c>
      <c r="T459" t="s">
        <v>74</v>
      </c>
      <c r="U459" t="s">
        <v>9168</v>
      </c>
      <c r="V459" t="s">
        <v>9169</v>
      </c>
      <c r="W459" t="s">
        <v>9170</v>
      </c>
      <c r="X459" t="s">
        <v>9171</v>
      </c>
      <c r="Y459" t="s">
        <v>9172</v>
      </c>
      <c r="Z459" t="s">
        <v>9173</v>
      </c>
      <c r="AA459" t="s">
        <v>9174</v>
      </c>
      <c r="AB459" t="s">
        <v>9175</v>
      </c>
      <c r="AC459" t="s">
        <v>9176</v>
      </c>
      <c r="AD459" t="s">
        <v>9177</v>
      </c>
      <c r="AE459" t="s">
        <v>9178</v>
      </c>
      <c r="AF459" t="s">
        <v>74</v>
      </c>
      <c r="AG459">
        <v>71</v>
      </c>
      <c r="AH459">
        <v>10</v>
      </c>
      <c r="AI459">
        <v>10</v>
      </c>
      <c r="AJ459">
        <v>1</v>
      </c>
      <c r="AK459">
        <v>1</v>
      </c>
      <c r="AL459" t="s">
        <v>143</v>
      </c>
      <c r="AM459" t="s">
        <v>144</v>
      </c>
      <c r="AN459" t="s">
        <v>145</v>
      </c>
      <c r="AO459" t="s">
        <v>4683</v>
      </c>
      <c r="AP459" t="s">
        <v>4684</v>
      </c>
      <c r="AQ459" t="s">
        <v>74</v>
      </c>
      <c r="AR459" t="s">
        <v>4685</v>
      </c>
      <c r="AS459" t="s">
        <v>4686</v>
      </c>
      <c r="AT459" t="s">
        <v>9160</v>
      </c>
      <c r="AU459">
        <v>2021</v>
      </c>
      <c r="AV459">
        <v>14</v>
      </c>
      <c r="AW459">
        <v>6</v>
      </c>
      <c r="AX459" t="s">
        <v>74</v>
      </c>
      <c r="AY459" t="s">
        <v>74</v>
      </c>
      <c r="AZ459" t="s">
        <v>74</v>
      </c>
      <c r="BA459" t="s">
        <v>74</v>
      </c>
      <c r="BB459">
        <v>3697</v>
      </c>
      <c r="BC459">
        <v>3714</v>
      </c>
      <c r="BD459" t="s">
        <v>74</v>
      </c>
      <c r="BE459" t="s">
        <v>9179</v>
      </c>
      <c r="BF459" t="str">
        <f>HYPERLINK("http://dx.doi.org/10.5194/gmd-14-3697-2021","http://dx.doi.org/10.5194/gmd-14-3697-2021")</f>
        <v>http://dx.doi.org/10.5194/gmd-14-3697-2021</v>
      </c>
      <c r="BG459" t="s">
        <v>74</v>
      </c>
      <c r="BH459" t="s">
        <v>74</v>
      </c>
      <c r="BI459">
        <v>18</v>
      </c>
      <c r="BJ459" t="s">
        <v>405</v>
      </c>
      <c r="BK459" t="s">
        <v>128</v>
      </c>
      <c r="BL459" t="s">
        <v>406</v>
      </c>
      <c r="BM459" t="s">
        <v>9180</v>
      </c>
      <c r="BN459" t="s">
        <v>74</v>
      </c>
      <c r="BO459" t="s">
        <v>5569</v>
      </c>
      <c r="BP459" t="s">
        <v>74</v>
      </c>
      <c r="BQ459" t="s">
        <v>74</v>
      </c>
      <c r="BR459" t="s">
        <v>102</v>
      </c>
      <c r="BS459" t="s">
        <v>9181</v>
      </c>
      <c r="BT459" t="str">
        <f>HYPERLINK("https%3A%2F%2Fwww.webofscience.com%2Fwos%2Fwoscc%2Ffull-record%2FWOS:000665538700003","View Full Record in Web of Science")</f>
        <v>View Full Record in Web of Science</v>
      </c>
    </row>
    <row r="460" spans="1:72" x14ac:dyDescent="0.15">
      <c r="A460" t="s">
        <v>72</v>
      </c>
      <c r="B460" t="s">
        <v>9182</v>
      </c>
      <c r="C460" t="s">
        <v>74</v>
      </c>
      <c r="D460" t="s">
        <v>74</v>
      </c>
      <c r="E460" t="s">
        <v>74</v>
      </c>
      <c r="F460" t="s">
        <v>9183</v>
      </c>
      <c r="G460" t="s">
        <v>74</v>
      </c>
      <c r="H460" t="s">
        <v>74</v>
      </c>
      <c r="I460" t="s">
        <v>9184</v>
      </c>
      <c r="J460" t="s">
        <v>9185</v>
      </c>
      <c r="K460" t="s">
        <v>74</v>
      </c>
      <c r="L460" t="s">
        <v>74</v>
      </c>
      <c r="M460" t="s">
        <v>78</v>
      </c>
      <c r="N460" t="s">
        <v>79</v>
      </c>
      <c r="O460" t="s">
        <v>74</v>
      </c>
      <c r="P460" t="s">
        <v>74</v>
      </c>
      <c r="Q460" t="s">
        <v>74</v>
      </c>
      <c r="R460" t="s">
        <v>74</v>
      </c>
      <c r="S460" t="s">
        <v>74</v>
      </c>
      <c r="T460" t="s">
        <v>74</v>
      </c>
      <c r="U460" t="s">
        <v>9186</v>
      </c>
      <c r="V460" t="s">
        <v>9187</v>
      </c>
      <c r="W460" t="s">
        <v>9188</v>
      </c>
      <c r="X460" t="s">
        <v>9189</v>
      </c>
      <c r="Y460" t="s">
        <v>9190</v>
      </c>
      <c r="Z460" t="s">
        <v>9191</v>
      </c>
      <c r="AA460" t="s">
        <v>9192</v>
      </c>
      <c r="AB460" t="s">
        <v>9193</v>
      </c>
      <c r="AC460" t="s">
        <v>9194</v>
      </c>
      <c r="AD460" t="s">
        <v>9195</v>
      </c>
      <c r="AE460" t="s">
        <v>9196</v>
      </c>
      <c r="AF460" t="s">
        <v>74</v>
      </c>
      <c r="AG460">
        <v>101</v>
      </c>
      <c r="AH460">
        <v>42</v>
      </c>
      <c r="AI460">
        <v>45</v>
      </c>
      <c r="AJ460">
        <v>2</v>
      </c>
      <c r="AK460">
        <v>26</v>
      </c>
      <c r="AL460" t="s">
        <v>9197</v>
      </c>
      <c r="AM460" t="s">
        <v>2239</v>
      </c>
      <c r="AN460" t="s">
        <v>9198</v>
      </c>
      <c r="AO460" t="s">
        <v>9199</v>
      </c>
      <c r="AP460" t="s">
        <v>74</v>
      </c>
      <c r="AQ460" t="s">
        <v>74</v>
      </c>
      <c r="AR460" t="s">
        <v>9185</v>
      </c>
      <c r="AS460" t="s">
        <v>9200</v>
      </c>
      <c r="AT460" t="s">
        <v>9160</v>
      </c>
      <c r="AU460">
        <v>2021</v>
      </c>
      <c r="AV460">
        <v>10</v>
      </c>
      <c r="AW460" t="s">
        <v>74</v>
      </c>
      <c r="AX460" t="s">
        <v>74</v>
      </c>
      <c r="AY460" t="s">
        <v>74</v>
      </c>
      <c r="AZ460" t="s">
        <v>74</v>
      </c>
      <c r="BA460" t="s">
        <v>74</v>
      </c>
      <c r="BB460" t="s">
        <v>74</v>
      </c>
      <c r="BC460" t="s">
        <v>74</v>
      </c>
      <c r="BD460" t="s">
        <v>9201</v>
      </c>
      <c r="BE460" t="s">
        <v>9202</v>
      </c>
      <c r="BF460" t="str">
        <f>HYPERLINK("http://dx.doi.org/10.7554/eLife.67577","http://dx.doi.org/10.7554/eLife.67577")</f>
        <v>http://dx.doi.org/10.7554/eLife.67577</v>
      </c>
      <c r="BG460" t="s">
        <v>74</v>
      </c>
      <c r="BH460" t="s">
        <v>74</v>
      </c>
      <c r="BI460">
        <v>21</v>
      </c>
      <c r="BJ460" t="s">
        <v>511</v>
      </c>
      <c r="BK460" t="s">
        <v>128</v>
      </c>
      <c r="BL460" t="s">
        <v>512</v>
      </c>
      <c r="BM460" t="s">
        <v>9203</v>
      </c>
      <c r="BN460">
        <v>34155971</v>
      </c>
      <c r="BO460" t="s">
        <v>2367</v>
      </c>
      <c r="BP460" t="s">
        <v>74</v>
      </c>
      <c r="BQ460" t="s">
        <v>74</v>
      </c>
      <c r="BR460" t="s">
        <v>102</v>
      </c>
      <c r="BS460" t="s">
        <v>9204</v>
      </c>
      <c r="BT460" t="str">
        <f>HYPERLINK("https%3A%2F%2Fwww.webofscience.com%2Fwos%2Fwoscc%2Ffull-record%2FWOS:000670473900001","View Full Record in Web of Science")</f>
        <v>View Full Record in Web of Science</v>
      </c>
    </row>
    <row r="461" spans="1:72" x14ac:dyDescent="0.15">
      <c r="A461" t="s">
        <v>72</v>
      </c>
      <c r="B461" t="s">
        <v>9205</v>
      </c>
      <c r="C461" t="s">
        <v>74</v>
      </c>
      <c r="D461" t="s">
        <v>74</v>
      </c>
      <c r="E461" t="s">
        <v>74</v>
      </c>
      <c r="F461" t="s">
        <v>9206</v>
      </c>
      <c r="G461" t="s">
        <v>74</v>
      </c>
      <c r="H461" t="s">
        <v>74</v>
      </c>
      <c r="I461" t="s">
        <v>9207</v>
      </c>
      <c r="J461" t="s">
        <v>9208</v>
      </c>
      <c r="K461" t="s">
        <v>74</v>
      </c>
      <c r="L461" t="s">
        <v>74</v>
      </c>
      <c r="M461" t="s">
        <v>78</v>
      </c>
      <c r="N461" t="s">
        <v>79</v>
      </c>
      <c r="O461" t="s">
        <v>74</v>
      </c>
      <c r="P461" t="s">
        <v>74</v>
      </c>
      <c r="Q461" t="s">
        <v>74</v>
      </c>
      <c r="R461" t="s">
        <v>74</v>
      </c>
      <c r="S461" t="s">
        <v>74</v>
      </c>
      <c r="T461" t="s">
        <v>9209</v>
      </c>
      <c r="U461" t="s">
        <v>9210</v>
      </c>
      <c r="V461" t="s">
        <v>9211</v>
      </c>
      <c r="W461" t="s">
        <v>9212</v>
      </c>
      <c r="X461" t="s">
        <v>9213</v>
      </c>
      <c r="Y461" t="s">
        <v>9214</v>
      </c>
      <c r="Z461" t="s">
        <v>9215</v>
      </c>
      <c r="AA461" t="s">
        <v>9216</v>
      </c>
      <c r="AB461" t="s">
        <v>9217</v>
      </c>
      <c r="AC461" t="s">
        <v>9218</v>
      </c>
      <c r="AD461" t="s">
        <v>9219</v>
      </c>
      <c r="AE461" t="s">
        <v>9220</v>
      </c>
      <c r="AF461" t="s">
        <v>74</v>
      </c>
      <c r="AG461">
        <v>40</v>
      </c>
      <c r="AH461">
        <v>4</v>
      </c>
      <c r="AI461">
        <v>4</v>
      </c>
      <c r="AJ461">
        <v>0</v>
      </c>
      <c r="AK461">
        <v>6</v>
      </c>
      <c r="AL461" t="s">
        <v>3526</v>
      </c>
      <c r="AM461" t="s">
        <v>650</v>
      </c>
      <c r="AN461" t="s">
        <v>3527</v>
      </c>
      <c r="AO461" t="s">
        <v>9221</v>
      </c>
      <c r="AP461" t="s">
        <v>9222</v>
      </c>
      <c r="AQ461" t="s">
        <v>74</v>
      </c>
      <c r="AR461" t="s">
        <v>9223</v>
      </c>
      <c r="AS461" t="s">
        <v>9224</v>
      </c>
      <c r="AT461" t="s">
        <v>9225</v>
      </c>
      <c r="AU461">
        <v>2021</v>
      </c>
      <c r="AV461">
        <v>256</v>
      </c>
      <c r="AW461" t="s">
        <v>74</v>
      </c>
      <c r="AX461" t="s">
        <v>74</v>
      </c>
      <c r="AY461" t="s">
        <v>74</v>
      </c>
      <c r="AZ461" t="s">
        <v>74</v>
      </c>
      <c r="BA461" t="s">
        <v>74</v>
      </c>
      <c r="BB461" t="s">
        <v>74</v>
      </c>
      <c r="BC461" t="s">
        <v>74</v>
      </c>
      <c r="BD461">
        <v>110633</v>
      </c>
      <c r="BE461" t="s">
        <v>9226</v>
      </c>
      <c r="BF461" t="str">
        <f>HYPERLINK("http://dx.doi.org/10.1016/j.cbpb.2021.110633","http://dx.doi.org/10.1016/j.cbpb.2021.110633")</f>
        <v>http://dx.doi.org/10.1016/j.cbpb.2021.110633</v>
      </c>
      <c r="BG461" t="s">
        <v>74</v>
      </c>
      <c r="BH461" t="s">
        <v>8134</v>
      </c>
      <c r="BI461">
        <v>10</v>
      </c>
      <c r="BJ461" t="s">
        <v>9227</v>
      </c>
      <c r="BK461" t="s">
        <v>128</v>
      </c>
      <c r="BL461" t="s">
        <v>9227</v>
      </c>
      <c r="BM461" t="s">
        <v>9228</v>
      </c>
      <c r="BN461">
        <v>34126205</v>
      </c>
      <c r="BO461" t="s">
        <v>408</v>
      </c>
      <c r="BP461" t="s">
        <v>74</v>
      </c>
      <c r="BQ461" t="s">
        <v>74</v>
      </c>
      <c r="BR461" t="s">
        <v>102</v>
      </c>
      <c r="BS461" t="s">
        <v>9229</v>
      </c>
      <c r="BT461" t="str">
        <f>HYPERLINK("https%3A%2F%2Fwww.webofscience.com%2Fwos%2Fwoscc%2Ffull-record%2FWOS:000684852500016","View Full Record in Web of Science")</f>
        <v>View Full Record in Web of Science</v>
      </c>
    </row>
    <row r="462" spans="1:72" x14ac:dyDescent="0.15">
      <c r="A462" t="s">
        <v>72</v>
      </c>
      <c r="B462" t="s">
        <v>9230</v>
      </c>
      <c r="C462" t="s">
        <v>74</v>
      </c>
      <c r="D462" t="s">
        <v>74</v>
      </c>
      <c r="E462" t="s">
        <v>74</v>
      </c>
      <c r="F462" t="s">
        <v>9231</v>
      </c>
      <c r="G462" t="s">
        <v>74</v>
      </c>
      <c r="H462" t="s">
        <v>74</v>
      </c>
      <c r="I462" t="s">
        <v>9232</v>
      </c>
      <c r="J462" t="s">
        <v>5814</v>
      </c>
      <c r="K462" t="s">
        <v>74</v>
      </c>
      <c r="L462" t="s">
        <v>74</v>
      </c>
      <c r="M462" t="s">
        <v>78</v>
      </c>
      <c r="N462" t="s">
        <v>79</v>
      </c>
      <c r="O462" t="s">
        <v>74</v>
      </c>
      <c r="P462" t="s">
        <v>74</v>
      </c>
      <c r="Q462" t="s">
        <v>74</v>
      </c>
      <c r="R462" t="s">
        <v>74</v>
      </c>
      <c r="S462" t="s">
        <v>74</v>
      </c>
      <c r="T462" t="s">
        <v>74</v>
      </c>
      <c r="U462" t="s">
        <v>9233</v>
      </c>
      <c r="V462" t="s">
        <v>9234</v>
      </c>
      <c r="W462" t="s">
        <v>9235</v>
      </c>
      <c r="X462" t="s">
        <v>9236</v>
      </c>
      <c r="Y462" t="s">
        <v>9237</v>
      </c>
      <c r="Z462" t="s">
        <v>9238</v>
      </c>
      <c r="AA462" t="s">
        <v>74</v>
      </c>
      <c r="AB462" t="s">
        <v>74</v>
      </c>
      <c r="AC462" t="s">
        <v>9239</v>
      </c>
      <c r="AD462" t="s">
        <v>9240</v>
      </c>
      <c r="AE462" t="s">
        <v>9241</v>
      </c>
      <c r="AF462" t="s">
        <v>74</v>
      </c>
      <c r="AG462">
        <v>39</v>
      </c>
      <c r="AH462">
        <v>5</v>
      </c>
      <c r="AI462">
        <v>5</v>
      </c>
      <c r="AJ462">
        <v>7</v>
      </c>
      <c r="AK462">
        <v>47</v>
      </c>
      <c r="AL462" t="s">
        <v>5826</v>
      </c>
      <c r="AM462" t="s">
        <v>865</v>
      </c>
      <c r="AN462" t="s">
        <v>5827</v>
      </c>
      <c r="AO462" t="s">
        <v>5828</v>
      </c>
      <c r="AP462" t="s">
        <v>74</v>
      </c>
      <c r="AQ462" t="s">
        <v>74</v>
      </c>
      <c r="AR462" t="s">
        <v>5829</v>
      </c>
      <c r="AS462" t="s">
        <v>5830</v>
      </c>
      <c r="AT462" t="s">
        <v>9242</v>
      </c>
      <c r="AU462">
        <v>2021</v>
      </c>
      <c r="AV462">
        <v>29</v>
      </c>
      <c r="AW462">
        <v>13</v>
      </c>
      <c r="AX462" t="s">
        <v>74</v>
      </c>
      <c r="AY462" t="s">
        <v>74</v>
      </c>
      <c r="AZ462" t="s">
        <v>74</v>
      </c>
      <c r="BA462" t="s">
        <v>74</v>
      </c>
      <c r="BB462">
        <v>20406</v>
      </c>
      <c r="BC462">
        <v>20422</v>
      </c>
      <c r="BD462" t="s">
        <v>74</v>
      </c>
      <c r="BE462" t="s">
        <v>9243</v>
      </c>
      <c r="BF462" t="str">
        <f>HYPERLINK("http://dx.doi.org/10.1364/OE.426055","http://dx.doi.org/10.1364/OE.426055")</f>
        <v>http://dx.doi.org/10.1364/OE.426055</v>
      </c>
      <c r="BG462" t="s">
        <v>74</v>
      </c>
      <c r="BH462" t="s">
        <v>74</v>
      </c>
      <c r="BI462">
        <v>17</v>
      </c>
      <c r="BJ462" t="s">
        <v>5833</v>
      </c>
      <c r="BK462" t="s">
        <v>128</v>
      </c>
      <c r="BL462" t="s">
        <v>5833</v>
      </c>
      <c r="BM462" t="s">
        <v>9244</v>
      </c>
      <c r="BN462">
        <v>34266131</v>
      </c>
      <c r="BO462" t="s">
        <v>638</v>
      </c>
      <c r="BP462" t="s">
        <v>74</v>
      </c>
      <c r="BQ462" t="s">
        <v>74</v>
      </c>
      <c r="BR462" t="s">
        <v>102</v>
      </c>
      <c r="BS462" t="s">
        <v>9245</v>
      </c>
      <c r="BT462" t="str">
        <f>HYPERLINK("https%3A%2F%2Fwww.webofscience.com%2Fwos%2Fwoscc%2Ffull-record%2FWOS:000664025900096","View Full Record in Web of Science")</f>
        <v>View Full Record in Web of Science</v>
      </c>
    </row>
    <row r="463" spans="1:72" x14ac:dyDescent="0.15">
      <c r="A463" t="s">
        <v>72</v>
      </c>
      <c r="B463" t="s">
        <v>9246</v>
      </c>
      <c r="C463" t="s">
        <v>74</v>
      </c>
      <c r="D463" t="s">
        <v>74</v>
      </c>
      <c r="E463" t="s">
        <v>74</v>
      </c>
      <c r="F463" t="s">
        <v>9247</v>
      </c>
      <c r="G463" t="s">
        <v>74</v>
      </c>
      <c r="H463" t="s">
        <v>74</v>
      </c>
      <c r="I463" t="s">
        <v>9248</v>
      </c>
      <c r="J463" t="s">
        <v>9249</v>
      </c>
      <c r="K463" t="s">
        <v>74</v>
      </c>
      <c r="L463" t="s">
        <v>74</v>
      </c>
      <c r="M463" t="s">
        <v>78</v>
      </c>
      <c r="N463" t="s">
        <v>79</v>
      </c>
      <c r="O463" t="s">
        <v>74</v>
      </c>
      <c r="P463" t="s">
        <v>74</v>
      </c>
      <c r="Q463" t="s">
        <v>74</v>
      </c>
      <c r="R463" t="s">
        <v>74</v>
      </c>
      <c r="S463" t="s">
        <v>74</v>
      </c>
      <c r="T463" t="s">
        <v>9250</v>
      </c>
      <c r="U463" t="s">
        <v>74</v>
      </c>
      <c r="V463" t="s">
        <v>9251</v>
      </c>
      <c r="W463" t="s">
        <v>9252</v>
      </c>
      <c r="X463" t="s">
        <v>9253</v>
      </c>
      <c r="Y463" t="s">
        <v>9254</v>
      </c>
      <c r="Z463" t="s">
        <v>9255</v>
      </c>
      <c r="AA463" t="s">
        <v>74</v>
      </c>
      <c r="AB463" t="s">
        <v>9256</v>
      </c>
      <c r="AC463" t="s">
        <v>74</v>
      </c>
      <c r="AD463" t="s">
        <v>74</v>
      </c>
      <c r="AE463" t="s">
        <v>74</v>
      </c>
      <c r="AF463" t="s">
        <v>74</v>
      </c>
      <c r="AG463">
        <v>34</v>
      </c>
      <c r="AH463">
        <v>0</v>
      </c>
      <c r="AI463">
        <v>0</v>
      </c>
      <c r="AJ463">
        <v>0</v>
      </c>
      <c r="AK463">
        <v>1</v>
      </c>
      <c r="AL463" t="s">
        <v>197</v>
      </c>
      <c r="AM463" t="s">
        <v>198</v>
      </c>
      <c r="AN463" t="s">
        <v>199</v>
      </c>
      <c r="AO463" t="s">
        <v>9257</v>
      </c>
      <c r="AP463" t="s">
        <v>9258</v>
      </c>
      <c r="AQ463" t="s">
        <v>74</v>
      </c>
      <c r="AR463" t="s">
        <v>9259</v>
      </c>
      <c r="AS463" t="s">
        <v>9260</v>
      </c>
      <c r="AT463" t="s">
        <v>2900</v>
      </c>
      <c r="AU463">
        <v>2022</v>
      </c>
      <c r="AV463">
        <v>77</v>
      </c>
      <c r="AW463">
        <v>2</v>
      </c>
      <c r="AX463" t="s">
        <v>74</v>
      </c>
      <c r="AY463" t="s">
        <v>74</v>
      </c>
      <c r="AZ463" t="s">
        <v>74</v>
      </c>
      <c r="BA463" t="s">
        <v>74</v>
      </c>
      <c r="BB463">
        <v>93</v>
      </c>
      <c r="BC463">
        <v>102</v>
      </c>
      <c r="BD463" t="s">
        <v>74</v>
      </c>
      <c r="BE463" t="s">
        <v>9261</v>
      </c>
      <c r="BF463" t="str">
        <f>HYPERLINK("http://dx.doi.org/10.1111/oli.12298","http://dx.doi.org/10.1111/oli.12298")</f>
        <v>http://dx.doi.org/10.1111/oli.12298</v>
      </c>
      <c r="BG463" t="s">
        <v>74</v>
      </c>
      <c r="BH463" t="s">
        <v>8134</v>
      </c>
      <c r="BI463">
        <v>10</v>
      </c>
      <c r="BJ463" t="s">
        <v>9262</v>
      </c>
      <c r="BK463" t="s">
        <v>9263</v>
      </c>
      <c r="BL463" t="s">
        <v>9262</v>
      </c>
      <c r="BM463" t="s">
        <v>9264</v>
      </c>
      <c r="BN463" t="s">
        <v>74</v>
      </c>
      <c r="BO463" t="s">
        <v>74</v>
      </c>
      <c r="BP463" t="s">
        <v>74</v>
      </c>
      <c r="BQ463" t="s">
        <v>74</v>
      </c>
      <c r="BR463" t="s">
        <v>102</v>
      </c>
      <c r="BS463" t="s">
        <v>9265</v>
      </c>
      <c r="BT463" t="str">
        <f>HYPERLINK("https%3A%2F%2Fwww.webofscience.com%2Fwos%2Fwoscc%2Ffull-record%2FWOS:000664543400001","View Full Record in Web of Science")</f>
        <v>View Full Record in Web of Science</v>
      </c>
    </row>
    <row r="464" spans="1:72" x14ac:dyDescent="0.15">
      <c r="A464" t="s">
        <v>72</v>
      </c>
      <c r="B464" t="s">
        <v>9266</v>
      </c>
      <c r="C464" t="s">
        <v>74</v>
      </c>
      <c r="D464" t="s">
        <v>74</v>
      </c>
      <c r="E464" t="s">
        <v>74</v>
      </c>
      <c r="F464" t="s">
        <v>9267</v>
      </c>
      <c r="G464" t="s">
        <v>74</v>
      </c>
      <c r="H464" t="s">
        <v>74</v>
      </c>
      <c r="I464" t="s">
        <v>9268</v>
      </c>
      <c r="J464" t="s">
        <v>9269</v>
      </c>
      <c r="K464" t="s">
        <v>74</v>
      </c>
      <c r="L464" t="s">
        <v>74</v>
      </c>
      <c r="M464" t="s">
        <v>78</v>
      </c>
      <c r="N464" t="s">
        <v>79</v>
      </c>
      <c r="O464" t="s">
        <v>74</v>
      </c>
      <c r="P464" t="s">
        <v>74</v>
      </c>
      <c r="Q464" t="s">
        <v>74</v>
      </c>
      <c r="R464" t="s">
        <v>74</v>
      </c>
      <c r="S464" t="s">
        <v>74</v>
      </c>
      <c r="T464" t="s">
        <v>9270</v>
      </c>
      <c r="U464" t="s">
        <v>9271</v>
      </c>
      <c r="V464" t="s">
        <v>9272</v>
      </c>
      <c r="W464" t="s">
        <v>9273</v>
      </c>
      <c r="X464" t="s">
        <v>9274</v>
      </c>
      <c r="Y464" t="s">
        <v>9275</v>
      </c>
      <c r="Z464" t="s">
        <v>9276</v>
      </c>
      <c r="AA464" t="s">
        <v>9277</v>
      </c>
      <c r="AB464" t="s">
        <v>9278</v>
      </c>
      <c r="AC464" t="s">
        <v>74</v>
      </c>
      <c r="AD464" t="s">
        <v>74</v>
      </c>
      <c r="AE464" t="s">
        <v>74</v>
      </c>
      <c r="AF464" t="s">
        <v>74</v>
      </c>
      <c r="AG464">
        <v>44</v>
      </c>
      <c r="AH464">
        <v>1</v>
      </c>
      <c r="AI464">
        <v>1</v>
      </c>
      <c r="AJ464">
        <v>1</v>
      </c>
      <c r="AK464">
        <v>6</v>
      </c>
      <c r="AL464" t="s">
        <v>9279</v>
      </c>
      <c r="AM464" t="s">
        <v>3136</v>
      </c>
      <c r="AN464" t="s">
        <v>9280</v>
      </c>
      <c r="AO464" t="s">
        <v>9281</v>
      </c>
      <c r="AP464" t="s">
        <v>9282</v>
      </c>
      <c r="AQ464" t="s">
        <v>74</v>
      </c>
      <c r="AR464" t="s">
        <v>9283</v>
      </c>
      <c r="AS464" t="s">
        <v>9284</v>
      </c>
      <c r="AT464" t="s">
        <v>9285</v>
      </c>
      <c r="AU464">
        <v>2021</v>
      </c>
      <c r="AV464">
        <v>42</v>
      </c>
      <c r="AW464">
        <v>8</v>
      </c>
      <c r="AX464" t="s">
        <v>74</v>
      </c>
      <c r="AY464" t="s">
        <v>74</v>
      </c>
      <c r="AZ464" t="s">
        <v>74</v>
      </c>
      <c r="BA464" t="s">
        <v>74</v>
      </c>
      <c r="BB464">
        <v>1661</v>
      </c>
      <c r="BC464">
        <v>1678</v>
      </c>
      <c r="BD464" t="s">
        <v>74</v>
      </c>
      <c r="BE464" t="s">
        <v>9286</v>
      </c>
      <c r="BF464" t="str">
        <f>HYPERLINK("http://dx.doi.org/10.1080/01436597.2021.1941847","http://dx.doi.org/10.1080/01436597.2021.1941847")</f>
        <v>http://dx.doi.org/10.1080/01436597.2021.1941847</v>
      </c>
      <c r="BG464" t="s">
        <v>74</v>
      </c>
      <c r="BH464" t="s">
        <v>8134</v>
      </c>
      <c r="BI464">
        <v>18</v>
      </c>
      <c r="BJ464" t="s">
        <v>9287</v>
      </c>
      <c r="BK464" t="s">
        <v>377</v>
      </c>
      <c r="BL464" t="s">
        <v>9287</v>
      </c>
      <c r="BM464" t="s">
        <v>9288</v>
      </c>
      <c r="BN464" t="s">
        <v>74</v>
      </c>
      <c r="BO464" t="s">
        <v>74</v>
      </c>
      <c r="BP464" t="s">
        <v>74</v>
      </c>
      <c r="BQ464" t="s">
        <v>74</v>
      </c>
      <c r="BR464" t="s">
        <v>102</v>
      </c>
      <c r="BS464" t="s">
        <v>9289</v>
      </c>
      <c r="BT464" t="str">
        <f>HYPERLINK("https%3A%2F%2Fwww.webofscience.com%2Fwos%2Fwoscc%2Ffull-record%2FWOS:000669130300001","View Full Record in Web of Science")</f>
        <v>View Full Record in Web of Science</v>
      </c>
    </row>
    <row r="465" spans="1:72" x14ac:dyDescent="0.15">
      <c r="A465" t="s">
        <v>72</v>
      </c>
      <c r="B465" t="s">
        <v>9290</v>
      </c>
      <c r="C465" t="s">
        <v>74</v>
      </c>
      <c r="D465" t="s">
        <v>74</v>
      </c>
      <c r="E465" t="s">
        <v>74</v>
      </c>
      <c r="F465" t="s">
        <v>9291</v>
      </c>
      <c r="G465" t="s">
        <v>74</v>
      </c>
      <c r="H465" t="s">
        <v>74</v>
      </c>
      <c r="I465" t="s">
        <v>9292</v>
      </c>
      <c r="J465" t="s">
        <v>3442</v>
      </c>
      <c r="K465" t="s">
        <v>74</v>
      </c>
      <c r="L465" t="s">
        <v>74</v>
      </c>
      <c r="M465" t="s">
        <v>78</v>
      </c>
      <c r="N465" t="s">
        <v>79</v>
      </c>
      <c r="O465" t="s">
        <v>74</v>
      </c>
      <c r="P465" t="s">
        <v>74</v>
      </c>
      <c r="Q465" t="s">
        <v>74</v>
      </c>
      <c r="R465" t="s">
        <v>74</v>
      </c>
      <c r="S465" t="s">
        <v>74</v>
      </c>
      <c r="T465" t="s">
        <v>74</v>
      </c>
      <c r="U465" t="s">
        <v>9293</v>
      </c>
      <c r="V465" t="s">
        <v>9294</v>
      </c>
      <c r="W465" t="s">
        <v>9295</v>
      </c>
      <c r="X465" t="s">
        <v>9296</v>
      </c>
      <c r="Y465" t="s">
        <v>9297</v>
      </c>
      <c r="Z465" t="s">
        <v>9298</v>
      </c>
      <c r="AA465" t="s">
        <v>9299</v>
      </c>
      <c r="AB465" t="s">
        <v>9300</v>
      </c>
      <c r="AC465" t="s">
        <v>9301</v>
      </c>
      <c r="AD465" t="s">
        <v>9302</v>
      </c>
      <c r="AE465" t="s">
        <v>9303</v>
      </c>
      <c r="AF465" t="s">
        <v>74</v>
      </c>
      <c r="AG465">
        <v>127</v>
      </c>
      <c r="AH465">
        <v>24</v>
      </c>
      <c r="AI465">
        <v>25</v>
      </c>
      <c r="AJ465">
        <v>12</v>
      </c>
      <c r="AK465">
        <v>81</v>
      </c>
      <c r="AL465" t="s">
        <v>3453</v>
      </c>
      <c r="AM465" t="s">
        <v>368</v>
      </c>
      <c r="AN465" t="s">
        <v>3454</v>
      </c>
      <c r="AO465" t="s">
        <v>3455</v>
      </c>
      <c r="AP465" t="s">
        <v>3456</v>
      </c>
      <c r="AQ465" t="s">
        <v>74</v>
      </c>
      <c r="AR465" t="s">
        <v>3457</v>
      </c>
      <c r="AS465" t="s">
        <v>3458</v>
      </c>
      <c r="AT465" t="s">
        <v>374</v>
      </c>
      <c r="AU465">
        <v>2021</v>
      </c>
      <c r="AV465">
        <v>15</v>
      </c>
      <c r="AW465">
        <v>12</v>
      </c>
      <c r="AX465" t="s">
        <v>74</v>
      </c>
      <c r="AY465" t="s">
        <v>74</v>
      </c>
      <c r="AZ465" t="s">
        <v>74</v>
      </c>
      <c r="BA465" t="s">
        <v>74</v>
      </c>
      <c r="BB465">
        <v>3587</v>
      </c>
      <c r="BC465">
        <v>3604</v>
      </c>
      <c r="BD465" t="s">
        <v>74</v>
      </c>
      <c r="BE465" t="s">
        <v>9304</v>
      </c>
      <c r="BF465" t="str">
        <f>HYPERLINK("http://dx.doi.org/10.1038/s41396-021-01014-9","http://dx.doi.org/10.1038/s41396-021-01014-9")</f>
        <v>http://dx.doi.org/10.1038/s41396-021-01014-9</v>
      </c>
      <c r="BG465" t="s">
        <v>74</v>
      </c>
      <c r="BH465" t="s">
        <v>8134</v>
      </c>
      <c r="BI465">
        <v>18</v>
      </c>
      <c r="BJ465" t="s">
        <v>3461</v>
      </c>
      <c r="BK465" t="s">
        <v>128</v>
      </c>
      <c r="BL465" t="s">
        <v>3462</v>
      </c>
      <c r="BM465" t="s">
        <v>9305</v>
      </c>
      <c r="BN465">
        <v>34155335</v>
      </c>
      <c r="BO465" t="s">
        <v>1154</v>
      </c>
      <c r="BP465" t="s">
        <v>74</v>
      </c>
      <c r="BQ465" t="s">
        <v>74</v>
      </c>
      <c r="BR465" t="s">
        <v>102</v>
      </c>
      <c r="BS465" t="s">
        <v>9306</v>
      </c>
      <c r="BT465" t="str">
        <f>HYPERLINK("https%3A%2F%2Fwww.webofscience.com%2Fwos%2Fwoscc%2Ffull-record%2FWOS:000664556700004","View Full Record in Web of Science")</f>
        <v>View Full Record in Web of Science</v>
      </c>
    </row>
    <row r="466" spans="1:72" x14ac:dyDescent="0.15">
      <c r="A466" t="s">
        <v>72</v>
      </c>
      <c r="B466" t="s">
        <v>9307</v>
      </c>
      <c r="C466" t="s">
        <v>74</v>
      </c>
      <c r="D466" t="s">
        <v>74</v>
      </c>
      <c r="E466" t="s">
        <v>74</v>
      </c>
      <c r="F466" t="s">
        <v>9308</v>
      </c>
      <c r="G466" t="s">
        <v>74</v>
      </c>
      <c r="H466" t="s">
        <v>74</v>
      </c>
      <c r="I466" t="s">
        <v>9309</v>
      </c>
      <c r="J466" t="s">
        <v>3442</v>
      </c>
      <c r="K466" t="s">
        <v>74</v>
      </c>
      <c r="L466" t="s">
        <v>74</v>
      </c>
      <c r="M466" t="s">
        <v>78</v>
      </c>
      <c r="N466" t="s">
        <v>79</v>
      </c>
      <c r="O466" t="s">
        <v>74</v>
      </c>
      <c r="P466" t="s">
        <v>74</v>
      </c>
      <c r="Q466" t="s">
        <v>74</v>
      </c>
      <c r="R466" t="s">
        <v>74</v>
      </c>
      <c r="S466" t="s">
        <v>74</v>
      </c>
      <c r="T466" t="s">
        <v>74</v>
      </c>
      <c r="U466" t="s">
        <v>9310</v>
      </c>
      <c r="V466" t="s">
        <v>9311</v>
      </c>
      <c r="W466" t="s">
        <v>9312</v>
      </c>
      <c r="X466" t="s">
        <v>9313</v>
      </c>
      <c r="Y466" t="s">
        <v>9314</v>
      </c>
      <c r="Z466" t="s">
        <v>9315</v>
      </c>
      <c r="AA466" t="s">
        <v>9316</v>
      </c>
      <c r="AB466" t="s">
        <v>9317</v>
      </c>
      <c r="AC466" t="s">
        <v>9318</v>
      </c>
      <c r="AD466" t="s">
        <v>9319</v>
      </c>
      <c r="AE466" t="s">
        <v>9320</v>
      </c>
      <c r="AF466" t="s">
        <v>74</v>
      </c>
      <c r="AG466">
        <v>86</v>
      </c>
      <c r="AH466">
        <v>28</v>
      </c>
      <c r="AI466">
        <v>31</v>
      </c>
      <c r="AJ466">
        <v>4</v>
      </c>
      <c r="AK466">
        <v>37</v>
      </c>
      <c r="AL466" t="s">
        <v>3453</v>
      </c>
      <c r="AM466" t="s">
        <v>368</v>
      </c>
      <c r="AN466" t="s">
        <v>3454</v>
      </c>
      <c r="AO466" t="s">
        <v>3455</v>
      </c>
      <c r="AP466" t="s">
        <v>3456</v>
      </c>
      <c r="AQ466" t="s">
        <v>74</v>
      </c>
      <c r="AR466" t="s">
        <v>3457</v>
      </c>
      <c r="AS466" t="s">
        <v>3458</v>
      </c>
      <c r="AT466" t="s">
        <v>374</v>
      </c>
      <c r="AU466">
        <v>2021</v>
      </c>
      <c r="AV466">
        <v>15</v>
      </c>
      <c r="AW466">
        <v>12</v>
      </c>
      <c r="AX466" t="s">
        <v>74</v>
      </c>
      <c r="AY466" t="s">
        <v>74</v>
      </c>
      <c r="AZ466" t="s">
        <v>74</v>
      </c>
      <c r="BA466" t="s">
        <v>74</v>
      </c>
      <c r="BB466">
        <v>3615</v>
      </c>
      <c r="BC466">
        <v>3622</v>
      </c>
      <c r="BD466" t="s">
        <v>74</v>
      </c>
      <c r="BE466" t="s">
        <v>9321</v>
      </c>
      <c r="BF466" t="str">
        <f>HYPERLINK("http://dx.doi.org/10.1038/s41396-021-01033-6","http://dx.doi.org/10.1038/s41396-021-01033-6")</f>
        <v>http://dx.doi.org/10.1038/s41396-021-01033-6</v>
      </c>
      <c r="BG466" t="s">
        <v>74</v>
      </c>
      <c r="BH466" t="s">
        <v>8134</v>
      </c>
      <c r="BI466">
        <v>8</v>
      </c>
      <c r="BJ466" t="s">
        <v>3461</v>
      </c>
      <c r="BK466" t="s">
        <v>128</v>
      </c>
      <c r="BL466" t="s">
        <v>3462</v>
      </c>
      <c r="BM466" t="s">
        <v>9305</v>
      </c>
      <c r="BN466">
        <v>34155334</v>
      </c>
      <c r="BO466" t="s">
        <v>1154</v>
      </c>
      <c r="BP466" t="s">
        <v>74</v>
      </c>
      <c r="BQ466" t="s">
        <v>74</v>
      </c>
      <c r="BR466" t="s">
        <v>102</v>
      </c>
      <c r="BS466" t="s">
        <v>9322</v>
      </c>
      <c r="BT466" t="str">
        <f>HYPERLINK("https%3A%2F%2Fwww.webofscience.com%2Fwos%2Fwoscc%2Ffull-record%2FWOS:000664556700003","View Full Record in Web of Science")</f>
        <v>View Full Record in Web of Science</v>
      </c>
    </row>
    <row r="467" spans="1:72" x14ac:dyDescent="0.15">
      <c r="A467" t="s">
        <v>72</v>
      </c>
      <c r="B467" t="s">
        <v>9323</v>
      </c>
      <c r="C467" t="s">
        <v>74</v>
      </c>
      <c r="D467" t="s">
        <v>74</v>
      </c>
      <c r="E467" t="s">
        <v>74</v>
      </c>
      <c r="F467" t="s">
        <v>9324</v>
      </c>
      <c r="G467" t="s">
        <v>74</v>
      </c>
      <c r="H467" t="s">
        <v>74</v>
      </c>
      <c r="I467" t="s">
        <v>9325</v>
      </c>
      <c r="J467" t="s">
        <v>107</v>
      </c>
      <c r="K467" t="s">
        <v>74</v>
      </c>
      <c r="L467" t="s">
        <v>74</v>
      </c>
      <c r="M467" t="s">
        <v>78</v>
      </c>
      <c r="N467" t="s">
        <v>79</v>
      </c>
      <c r="O467" t="s">
        <v>74</v>
      </c>
      <c r="P467" t="s">
        <v>74</v>
      </c>
      <c r="Q467" t="s">
        <v>74</v>
      </c>
      <c r="R467" t="s">
        <v>74</v>
      </c>
      <c r="S467" t="s">
        <v>74</v>
      </c>
      <c r="T467" t="s">
        <v>9326</v>
      </c>
      <c r="U467" t="s">
        <v>9327</v>
      </c>
      <c r="V467" t="s">
        <v>9328</v>
      </c>
      <c r="W467" t="s">
        <v>9329</v>
      </c>
      <c r="X467" t="s">
        <v>9330</v>
      </c>
      <c r="Y467" t="s">
        <v>9331</v>
      </c>
      <c r="Z467" t="s">
        <v>9332</v>
      </c>
      <c r="AA467" t="s">
        <v>9333</v>
      </c>
      <c r="AB467" t="s">
        <v>9334</v>
      </c>
      <c r="AC467" t="s">
        <v>9335</v>
      </c>
      <c r="AD467" t="s">
        <v>9336</v>
      </c>
      <c r="AE467" t="s">
        <v>9337</v>
      </c>
      <c r="AF467" t="s">
        <v>74</v>
      </c>
      <c r="AG467">
        <v>80</v>
      </c>
      <c r="AH467">
        <v>10</v>
      </c>
      <c r="AI467">
        <v>10</v>
      </c>
      <c r="AJ467">
        <v>2</v>
      </c>
      <c r="AK467">
        <v>10</v>
      </c>
      <c r="AL467" t="s">
        <v>119</v>
      </c>
      <c r="AM467" t="s">
        <v>120</v>
      </c>
      <c r="AN467" t="s">
        <v>121</v>
      </c>
      <c r="AO467" t="s">
        <v>74</v>
      </c>
      <c r="AP467" t="s">
        <v>122</v>
      </c>
      <c r="AQ467" t="s">
        <v>74</v>
      </c>
      <c r="AR467" t="s">
        <v>123</v>
      </c>
      <c r="AS467" t="s">
        <v>124</v>
      </c>
      <c r="AT467" t="s">
        <v>9242</v>
      </c>
      <c r="AU467">
        <v>2021</v>
      </c>
      <c r="AV467">
        <v>8</v>
      </c>
      <c r="AW467" t="s">
        <v>74</v>
      </c>
      <c r="AX467" t="s">
        <v>74</v>
      </c>
      <c r="AY467" t="s">
        <v>74</v>
      </c>
      <c r="AZ467" t="s">
        <v>74</v>
      </c>
      <c r="BA467" t="s">
        <v>74</v>
      </c>
      <c r="BB467" t="s">
        <v>74</v>
      </c>
      <c r="BC467" t="s">
        <v>74</v>
      </c>
      <c r="BD467">
        <v>662350</v>
      </c>
      <c r="BE467" t="s">
        <v>9338</v>
      </c>
      <c r="BF467" t="str">
        <f>HYPERLINK("http://dx.doi.org/10.3389/fmars.2021.662350","http://dx.doi.org/10.3389/fmars.2021.662350")</f>
        <v>http://dx.doi.org/10.3389/fmars.2021.662350</v>
      </c>
      <c r="BG467" t="s">
        <v>74</v>
      </c>
      <c r="BH467" t="s">
        <v>74</v>
      </c>
      <c r="BI467">
        <v>14</v>
      </c>
      <c r="BJ467" t="s">
        <v>127</v>
      </c>
      <c r="BK467" t="s">
        <v>100</v>
      </c>
      <c r="BL467" t="s">
        <v>129</v>
      </c>
      <c r="BM467" t="s">
        <v>9339</v>
      </c>
      <c r="BN467" t="s">
        <v>74</v>
      </c>
      <c r="BO467" t="s">
        <v>486</v>
      </c>
      <c r="BP467" t="s">
        <v>74</v>
      </c>
      <c r="BQ467" t="s">
        <v>74</v>
      </c>
      <c r="BR467" t="s">
        <v>102</v>
      </c>
      <c r="BS467" t="s">
        <v>9340</v>
      </c>
      <c r="BT467" t="str">
        <f>HYPERLINK("https%3A%2F%2Fwww.webofscience.com%2Fwos%2Fwoscc%2Ffull-record%2FWOS:000665854900001","View Full Record in Web of Science")</f>
        <v>View Full Record in Web of Science</v>
      </c>
    </row>
    <row r="468" spans="1:72" x14ac:dyDescent="0.15">
      <c r="A468" t="s">
        <v>72</v>
      </c>
      <c r="B468" t="s">
        <v>9341</v>
      </c>
      <c r="C468" t="s">
        <v>74</v>
      </c>
      <c r="D468" t="s">
        <v>74</v>
      </c>
      <c r="E468" t="s">
        <v>74</v>
      </c>
      <c r="F468" t="s">
        <v>9342</v>
      </c>
      <c r="G468" t="s">
        <v>74</v>
      </c>
      <c r="H468" t="s">
        <v>74</v>
      </c>
      <c r="I468" t="s">
        <v>9343</v>
      </c>
      <c r="J468" t="s">
        <v>3799</v>
      </c>
      <c r="K468" t="s">
        <v>74</v>
      </c>
      <c r="L468" t="s">
        <v>74</v>
      </c>
      <c r="M468" t="s">
        <v>78</v>
      </c>
      <c r="N468" t="s">
        <v>79</v>
      </c>
      <c r="O468" t="s">
        <v>74</v>
      </c>
      <c r="P468" t="s">
        <v>74</v>
      </c>
      <c r="Q468" t="s">
        <v>74</v>
      </c>
      <c r="R468" t="s">
        <v>74</v>
      </c>
      <c r="S468" t="s">
        <v>74</v>
      </c>
      <c r="T468" t="s">
        <v>9344</v>
      </c>
      <c r="U468" t="s">
        <v>9345</v>
      </c>
      <c r="V468" t="s">
        <v>9346</v>
      </c>
      <c r="W468" t="s">
        <v>9347</v>
      </c>
      <c r="X468" t="s">
        <v>9348</v>
      </c>
      <c r="Y468" t="s">
        <v>9349</v>
      </c>
      <c r="Z468" t="s">
        <v>9350</v>
      </c>
      <c r="AA468" t="s">
        <v>9351</v>
      </c>
      <c r="AB468" t="s">
        <v>9352</v>
      </c>
      <c r="AC468" t="s">
        <v>74</v>
      </c>
      <c r="AD468" t="s">
        <v>74</v>
      </c>
      <c r="AE468" t="s">
        <v>74</v>
      </c>
      <c r="AF468" t="s">
        <v>74</v>
      </c>
      <c r="AG468">
        <v>111</v>
      </c>
      <c r="AH468">
        <v>12</v>
      </c>
      <c r="AI468">
        <v>14</v>
      </c>
      <c r="AJ468">
        <v>0</v>
      </c>
      <c r="AK468">
        <v>17</v>
      </c>
      <c r="AL468" t="s">
        <v>197</v>
      </c>
      <c r="AM468" t="s">
        <v>198</v>
      </c>
      <c r="AN468" t="s">
        <v>199</v>
      </c>
      <c r="AO468" t="s">
        <v>3811</v>
      </c>
      <c r="AP468" t="s">
        <v>3812</v>
      </c>
      <c r="AQ468" t="s">
        <v>74</v>
      </c>
      <c r="AR468" t="s">
        <v>3813</v>
      </c>
      <c r="AS468" t="s">
        <v>3814</v>
      </c>
      <c r="AT468" t="s">
        <v>96</v>
      </c>
      <c r="AU468">
        <v>2021</v>
      </c>
      <c r="AV468">
        <v>22</v>
      </c>
      <c r="AW468">
        <v>6</v>
      </c>
      <c r="AX468" t="s">
        <v>74</v>
      </c>
      <c r="AY468" t="s">
        <v>74</v>
      </c>
      <c r="AZ468" t="s">
        <v>74</v>
      </c>
      <c r="BA468" t="s">
        <v>74</v>
      </c>
      <c r="BB468">
        <v>1187</v>
      </c>
      <c r="BC468">
        <v>1212</v>
      </c>
      <c r="BD468" t="s">
        <v>74</v>
      </c>
      <c r="BE468" t="s">
        <v>9353</v>
      </c>
      <c r="BF468" t="str">
        <f>HYPERLINK("http://dx.doi.org/10.1111/faf.12580","http://dx.doi.org/10.1111/faf.12580")</f>
        <v>http://dx.doi.org/10.1111/faf.12580</v>
      </c>
      <c r="BG468" t="s">
        <v>74</v>
      </c>
      <c r="BH468" t="s">
        <v>8134</v>
      </c>
      <c r="BI468">
        <v>26</v>
      </c>
      <c r="BJ468" t="s">
        <v>99</v>
      </c>
      <c r="BK468" t="s">
        <v>128</v>
      </c>
      <c r="BL468" t="s">
        <v>99</v>
      </c>
      <c r="BM468" t="s">
        <v>3816</v>
      </c>
      <c r="BN468" t="s">
        <v>74</v>
      </c>
      <c r="BO468" t="s">
        <v>74</v>
      </c>
      <c r="BP468" t="s">
        <v>74</v>
      </c>
      <c r="BQ468" t="s">
        <v>74</v>
      </c>
      <c r="BR468" t="s">
        <v>102</v>
      </c>
      <c r="BS468" t="s">
        <v>9354</v>
      </c>
      <c r="BT468" t="str">
        <f>HYPERLINK("https%3A%2F%2Fwww.webofscience.com%2Fwos%2Fwoscc%2Ffull-record%2FWOS:000663901900001","View Full Record in Web of Science")</f>
        <v>View Full Record in Web of Science</v>
      </c>
    </row>
    <row r="469" spans="1:72" x14ac:dyDescent="0.15">
      <c r="A469" t="s">
        <v>72</v>
      </c>
      <c r="B469" t="s">
        <v>9355</v>
      </c>
      <c r="C469" t="s">
        <v>74</v>
      </c>
      <c r="D469" t="s">
        <v>74</v>
      </c>
      <c r="E469" t="s">
        <v>74</v>
      </c>
      <c r="F469" t="s">
        <v>9356</v>
      </c>
      <c r="G469" t="s">
        <v>74</v>
      </c>
      <c r="H469" t="s">
        <v>74</v>
      </c>
      <c r="I469" t="s">
        <v>9357</v>
      </c>
      <c r="J469" t="s">
        <v>9358</v>
      </c>
      <c r="K469" t="s">
        <v>74</v>
      </c>
      <c r="L469" t="s">
        <v>74</v>
      </c>
      <c r="M469" t="s">
        <v>78</v>
      </c>
      <c r="N469" t="s">
        <v>79</v>
      </c>
      <c r="O469" t="s">
        <v>74</v>
      </c>
      <c r="P469" t="s">
        <v>74</v>
      </c>
      <c r="Q469" t="s">
        <v>74</v>
      </c>
      <c r="R469" t="s">
        <v>74</v>
      </c>
      <c r="S469" t="s">
        <v>74</v>
      </c>
      <c r="T469" t="s">
        <v>9359</v>
      </c>
      <c r="U469" t="s">
        <v>9360</v>
      </c>
      <c r="V469" t="s">
        <v>9361</v>
      </c>
      <c r="W469" t="s">
        <v>9362</v>
      </c>
      <c r="X469" t="s">
        <v>9363</v>
      </c>
      <c r="Y469" t="s">
        <v>9364</v>
      </c>
      <c r="Z469" t="s">
        <v>9365</v>
      </c>
      <c r="AA469" t="s">
        <v>9366</v>
      </c>
      <c r="AB469" t="s">
        <v>9367</v>
      </c>
      <c r="AC469" t="s">
        <v>9368</v>
      </c>
      <c r="AD469" t="s">
        <v>9368</v>
      </c>
      <c r="AE469" t="s">
        <v>9369</v>
      </c>
      <c r="AF469" t="s">
        <v>74</v>
      </c>
      <c r="AG469">
        <v>96</v>
      </c>
      <c r="AH469">
        <v>8</v>
      </c>
      <c r="AI469">
        <v>8</v>
      </c>
      <c r="AJ469">
        <v>1</v>
      </c>
      <c r="AK469">
        <v>16</v>
      </c>
      <c r="AL469" t="s">
        <v>4522</v>
      </c>
      <c r="AM469" t="s">
        <v>368</v>
      </c>
      <c r="AN469" t="s">
        <v>4523</v>
      </c>
      <c r="AO469" t="s">
        <v>9370</v>
      </c>
      <c r="AP469" t="s">
        <v>9371</v>
      </c>
      <c r="AQ469" t="s">
        <v>74</v>
      </c>
      <c r="AR469" t="s">
        <v>9372</v>
      </c>
      <c r="AS469" t="s">
        <v>9373</v>
      </c>
      <c r="AT469" t="s">
        <v>9374</v>
      </c>
      <c r="AU469">
        <v>2021</v>
      </c>
      <c r="AV469">
        <v>259</v>
      </c>
      <c r="AW469" t="s">
        <v>74</v>
      </c>
      <c r="AX469" t="s">
        <v>74</v>
      </c>
      <c r="AY469" t="s">
        <v>74</v>
      </c>
      <c r="AZ469" t="s">
        <v>74</v>
      </c>
      <c r="BA469" t="s">
        <v>74</v>
      </c>
      <c r="BB469" t="s">
        <v>74</v>
      </c>
      <c r="BC469" t="s">
        <v>74</v>
      </c>
      <c r="BD469">
        <v>107473</v>
      </c>
      <c r="BE469" t="s">
        <v>9375</v>
      </c>
      <c r="BF469" t="str">
        <f>HYPERLINK("http://dx.doi.org/10.1016/j.ecss.2021.107473","http://dx.doi.org/10.1016/j.ecss.2021.107473")</f>
        <v>http://dx.doi.org/10.1016/j.ecss.2021.107473</v>
      </c>
      <c r="BG469" t="s">
        <v>74</v>
      </c>
      <c r="BH469" t="s">
        <v>8134</v>
      </c>
      <c r="BI469">
        <v>14</v>
      </c>
      <c r="BJ469" t="s">
        <v>3436</v>
      </c>
      <c r="BK469" t="s">
        <v>128</v>
      </c>
      <c r="BL469" t="s">
        <v>3436</v>
      </c>
      <c r="BM469" t="s">
        <v>9376</v>
      </c>
      <c r="BN469" t="s">
        <v>74</v>
      </c>
      <c r="BO469" t="s">
        <v>74</v>
      </c>
      <c r="BP469" t="s">
        <v>74</v>
      </c>
      <c r="BQ469" t="s">
        <v>74</v>
      </c>
      <c r="BR469" t="s">
        <v>102</v>
      </c>
      <c r="BS469" t="s">
        <v>9377</v>
      </c>
      <c r="BT469" t="str">
        <f>HYPERLINK("https%3A%2F%2Fwww.webofscience.com%2Fwos%2Fwoscc%2Ffull-record%2FWOS:000685355700001","View Full Record in Web of Science")</f>
        <v>View Full Record in Web of Science</v>
      </c>
    </row>
    <row r="470" spans="1:72" x14ac:dyDescent="0.15">
      <c r="A470" t="s">
        <v>72</v>
      </c>
      <c r="B470" t="s">
        <v>9378</v>
      </c>
      <c r="C470" t="s">
        <v>74</v>
      </c>
      <c r="D470" t="s">
        <v>74</v>
      </c>
      <c r="E470" t="s">
        <v>74</v>
      </c>
      <c r="F470" t="s">
        <v>9379</v>
      </c>
      <c r="G470" t="s">
        <v>74</v>
      </c>
      <c r="H470" t="s">
        <v>74</v>
      </c>
      <c r="I470" t="s">
        <v>9380</v>
      </c>
      <c r="J470" t="s">
        <v>9381</v>
      </c>
      <c r="K470" t="s">
        <v>74</v>
      </c>
      <c r="L470" t="s">
        <v>74</v>
      </c>
      <c r="M470" t="s">
        <v>78</v>
      </c>
      <c r="N470" t="s">
        <v>9382</v>
      </c>
      <c r="O470" t="s">
        <v>74</v>
      </c>
      <c r="P470" t="s">
        <v>74</v>
      </c>
      <c r="Q470" t="s">
        <v>74</v>
      </c>
      <c r="R470" t="s">
        <v>74</v>
      </c>
      <c r="S470" t="s">
        <v>74</v>
      </c>
      <c r="T470" t="s">
        <v>9383</v>
      </c>
      <c r="U470" t="s">
        <v>9384</v>
      </c>
      <c r="V470" t="s">
        <v>9385</v>
      </c>
      <c r="W470" t="s">
        <v>9386</v>
      </c>
      <c r="X470" t="s">
        <v>9387</v>
      </c>
      <c r="Y470" t="s">
        <v>9388</v>
      </c>
      <c r="Z470" t="s">
        <v>9389</v>
      </c>
      <c r="AA470" t="s">
        <v>9390</v>
      </c>
      <c r="AB470" t="s">
        <v>9391</v>
      </c>
      <c r="AC470" t="s">
        <v>9392</v>
      </c>
      <c r="AD470" t="s">
        <v>9392</v>
      </c>
      <c r="AE470" t="s">
        <v>9393</v>
      </c>
      <c r="AF470" t="s">
        <v>74</v>
      </c>
      <c r="AG470">
        <v>45</v>
      </c>
      <c r="AH470">
        <v>3</v>
      </c>
      <c r="AI470">
        <v>3</v>
      </c>
      <c r="AJ470">
        <v>0</v>
      </c>
      <c r="AK470">
        <v>9</v>
      </c>
      <c r="AL470" t="s">
        <v>9394</v>
      </c>
      <c r="AM470" t="s">
        <v>9395</v>
      </c>
      <c r="AN470" t="s">
        <v>9396</v>
      </c>
      <c r="AO470" t="s">
        <v>9397</v>
      </c>
      <c r="AP470" t="s">
        <v>9398</v>
      </c>
      <c r="AQ470" t="s">
        <v>74</v>
      </c>
      <c r="AR470" t="s">
        <v>9399</v>
      </c>
      <c r="AS470" t="s">
        <v>9400</v>
      </c>
      <c r="AT470" t="s">
        <v>9401</v>
      </c>
      <c r="AU470">
        <v>2021</v>
      </c>
      <c r="AV470" t="s">
        <v>74</v>
      </c>
      <c r="AW470" t="s">
        <v>74</v>
      </c>
      <c r="AX470" t="s">
        <v>74</v>
      </c>
      <c r="AY470" t="s">
        <v>74</v>
      </c>
      <c r="AZ470" t="s">
        <v>74</v>
      </c>
      <c r="BA470" t="s">
        <v>74</v>
      </c>
      <c r="BB470" t="s">
        <v>74</v>
      </c>
      <c r="BC470" t="s">
        <v>74</v>
      </c>
      <c r="BD470">
        <v>2.053019621102634E+16</v>
      </c>
      <c r="BE470" t="s">
        <v>9402</v>
      </c>
      <c r="BF470" t="str">
        <f>HYPERLINK("http://dx.doi.org/10.1177/20530196211026341","http://dx.doi.org/10.1177/20530196211026341")</f>
        <v>http://dx.doi.org/10.1177/20530196211026341</v>
      </c>
      <c r="BG470" t="s">
        <v>74</v>
      </c>
      <c r="BH470" t="s">
        <v>8134</v>
      </c>
      <c r="BI470">
        <v>11</v>
      </c>
      <c r="BJ470" t="s">
        <v>9403</v>
      </c>
      <c r="BK470" t="s">
        <v>100</v>
      </c>
      <c r="BL470" t="s">
        <v>3327</v>
      </c>
      <c r="BM470" t="s">
        <v>9404</v>
      </c>
      <c r="BN470" t="s">
        <v>74</v>
      </c>
      <c r="BO470" t="s">
        <v>661</v>
      </c>
      <c r="BP470" t="s">
        <v>74</v>
      </c>
      <c r="BQ470" t="s">
        <v>74</v>
      </c>
      <c r="BR470" t="s">
        <v>102</v>
      </c>
      <c r="BS470" t="s">
        <v>9405</v>
      </c>
      <c r="BT470" t="str">
        <f>HYPERLINK("https%3A%2F%2Fwww.webofscience.com%2Fwos%2Fwoscc%2Ffull-record%2FWOS:000665220800001","View Full Record in Web of Science")</f>
        <v>View Full Record in Web of Science</v>
      </c>
    </row>
    <row r="471" spans="1:72" x14ac:dyDescent="0.15">
      <c r="A471" t="s">
        <v>72</v>
      </c>
      <c r="B471" t="s">
        <v>9406</v>
      </c>
      <c r="C471" t="s">
        <v>74</v>
      </c>
      <c r="D471" t="s">
        <v>74</v>
      </c>
      <c r="E471" t="s">
        <v>74</v>
      </c>
      <c r="F471" t="s">
        <v>9407</v>
      </c>
      <c r="G471" t="s">
        <v>74</v>
      </c>
      <c r="H471" t="s">
        <v>74</v>
      </c>
      <c r="I471" t="s">
        <v>9408</v>
      </c>
      <c r="J471" t="s">
        <v>2862</v>
      </c>
      <c r="K471" t="s">
        <v>74</v>
      </c>
      <c r="L471" t="s">
        <v>74</v>
      </c>
      <c r="M471" t="s">
        <v>78</v>
      </c>
      <c r="N471" t="s">
        <v>79</v>
      </c>
      <c r="O471" t="s">
        <v>74</v>
      </c>
      <c r="P471" t="s">
        <v>74</v>
      </c>
      <c r="Q471" t="s">
        <v>74</v>
      </c>
      <c r="R471" t="s">
        <v>74</v>
      </c>
      <c r="S471" t="s">
        <v>74</v>
      </c>
      <c r="T471" t="s">
        <v>9409</v>
      </c>
      <c r="U471" t="s">
        <v>9410</v>
      </c>
      <c r="V471" t="s">
        <v>9411</v>
      </c>
      <c r="W471" t="s">
        <v>9412</v>
      </c>
      <c r="X471" t="s">
        <v>9413</v>
      </c>
      <c r="Y471" t="s">
        <v>9414</v>
      </c>
      <c r="Z471" t="s">
        <v>9415</v>
      </c>
      <c r="AA471" t="s">
        <v>9416</v>
      </c>
      <c r="AB471" t="s">
        <v>9417</v>
      </c>
      <c r="AC471" t="s">
        <v>9418</v>
      </c>
      <c r="AD471" t="s">
        <v>9419</v>
      </c>
      <c r="AE471" t="s">
        <v>9420</v>
      </c>
      <c r="AF471" t="s">
        <v>74</v>
      </c>
      <c r="AG471">
        <v>127</v>
      </c>
      <c r="AH471">
        <v>2</v>
      </c>
      <c r="AI471">
        <v>2</v>
      </c>
      <c r="AJ471">
        <v>2</v>
      </c>
      <c r="AK471">
        <v>11</v>
      </c>
      <c r="AL471" t="s">
        <v>450</v>
      </c>
      <c r="AM471" t="s">
        <v>650</v>
      </c>
      <c r="AN471" t="s">
        <v>1957</v>
      </c>
      <c r="AO471" t="s">
        <v>2874</v>
      </c>
      <c r="AP471" t="s">
        <v>2875</v>
      </c>
      <c r="AQ471" t="s">
        <v>74</v>
      </c>
      <c r="AR471" t="s">
        <v>2876</v>
      </c>
      <c r="AS471" t="s">
        <v>2877</v>
      </c>
      <c r="AT471" t="s">
        <v>535</v>
      </c>
      <c r="AU471">
        <v>2021</v>
      </c>
      <c r="AV471">
        <v>44</v>
      </c>
      <c r="AW471">
        <v>8</v>
      </c>
      <c r="AX471" t="s">
        <v>74</v>
      </c>
      <c r="AY471" t="s">
        <v>74</v>
      </c>
      <c r="AZ471" t="s">
        <v>74</v>
      </c>
      <c r="BA471" t="s">
        <v>74</v>
      </c>
      <c r="BB471">
        <v>1629</v>
      </c>
      <c r="BC471">
        <v>1642</v>
      </c>
      <c r="BD471" t="s">
        <v>74</v>
      </c>
      <c r="BE471" t="s">
        <v>9421</v>
      </c>
      <c r="BF471" t="str">
        <f>HYPERLINK("http://dx.doi.org/10.1007/s00300-021-02900-w","http://dx.doi.org/10.1007/s00300-021-02900-w")</f>
        <v>http://dx.doi.org/10.1007/s00300-021-02900-w</v>
      </c>
      <c r="BG471" t="s">
        <v>74</v>
      </c>
      <c r="BH471" t="s">
        <v>8134</v>
      </c>
      <c r="BI471">
        <v>14</v>
      </c>
      <c r="BJ471" t="s">
        <v>1883</v>
      </c>
      <c r="BK471" t="s">
        <v>128</v>
      </c>
      <c r="BL471" t="s">
        <v>207</v>
      </c>
      <c r="BM471" t="s">
        <v>5619</v>
      </c>
      <c r="BN471" t="s">
        <v>74</v>
      </c>
      <c r="BO471" t="s">
        <v>2514</v>
      </c>
      <c r="BP471" t="s">
        <v>74</v>
      </c>
      <c r="BQ471" t="s">
        <v>74</v>
      </c>
      <c r="BR471" t="s">
        <v>102</v>
      </c>
      <c r="BS471" t="s">
        <v>9422</v>
      </c>
      <c r="BT471" t="str">
        <f>HYPERLINK("https%3A%2F%2Fwww.webofscience.com%2Fwos%2Fwoscc%2Ffull-record%2FWOS:000663687700001","View Full Record in Web of Science")</f>
        <v>View Full Record in Web of Science</v>
      </c>
    </row>
    <row r="472" spans="1:72" x14ac:dyDescent="0.15">
      <c r="A472" t="s">
        <v>72</v>
      </c>
      <c r="B472" t="s">
        <v>9423</v>
      </c>
      <c r="C472" t="s">
        <v>74</v>
      </c>
      <c r="D472" t="s">
        <v>74</v>
      </c>
      <c r="E472" t="s">
        <v>74</v>
      </c>
      <c r="F472" t="s">
        <v>9424</v>
      </c>
      <c r="G472" t="s">
        <v>74</v>
      </c>
      <c r="H472" t="s">
        <v>74</v>
      </c>
      <c r="I472" t="s">
        <v>9425</v>
      </c>
      <c r="J472" t="s">
        <v>9426</v>
      </c>
      <c r="K472" t="s">
        <v>74</v>
      </c>
      <c r="L472" t="s">
        <v>74</v>
      </c>
      <c r="M472" t="s">
        <v>78</v>
      </c>
      <c r="N472" t="s">
        <v>79</v>
      </c>
      <c r="O472" t="s">
        <v>74</v>
      </c>
      <c r="P472" t="s">
        <v>74</v>
      </c>
      <c r="Q472" t="s">
        <v>74</v>
      </c>
      <c r="R472" t="s">
        <v>74</v>
      </c>
      <c r="S472" t="s">
        <v>74</v>
      </c>
      <c r="T472" t="s">
        <v>9427</v>
      </c>
      <c r="U472" t="s">
        <v>74</v>
      </c>
      <c r="V472" t="s">
        <v>9428</v>
      </c>
      <c r="W472" t="s">
        <v>9429</v>
      </c>
      <c r="X472" t="s">
        <v>9430</v>
      </c>
      <c r="Y472" t="s">
        <v>9431</v>
      </c>
      <c r="Z472" t="s">
        <v>9432</v>
      </c>
      <c r="AA472" t="s">
        <v>9433</v>
      </c>
      <c r="AB472" t="s">
        <v>9434</v>
      </c>
      <c r="AC472" t="s">
        <v>9435</v>
      </c>
      <c r="AD472" t="s">
        <v>9436</v>
      </c>
      <c r="AE472" t="s">
        <v>9437</v>
      </c>
      <c r="AF472" t="s">
        <v>74</v>
      </c>
      <c r="AG472">
        <v>57</v>
      </c>
      <c r="AH472">
        <v>6</v>
      </c>
      <c r="AI472">
        <v>6</v>
      </c>
      <c r="AJ472">
        <v>0</v>
      </c>
      <c r="AK472">
        <v>7</v>
      </c>
      <c r="AL472" t="s">
        <v>197</v>
      </c>
      <c r="AM472" t="s">
        <v>198</v>
      </c>
      <c r="AN472" t="s">
        <v>199</v>
      </c>
      <c r="AO472" t="s">
        <v>9438</v>
      </c>
      <c r="AP472" t="s">
        <v>9439</v>
      </c>
      <c r="AQ472" t="s">
        <v>74</v>
      </c>
      <c r="AR472" t="s">
        <v>9440</v>
      </c>
      <c r="AS472" t="s">
        <v>9441</v>
      </c>
      <c r="AT472" t="s">
        <v>96</v>
      </c>
      <c r="AU472">
        <v>2021</v>
      </c>
      <c r="AV472">
        <v>59</v>
      </c>
      <c r="AW472">
        <v>4</v>
      </c>
      <c r="AX472" t="s">
        <v>74</v>
      </c>
      <c r="AY472" t="s">
        <v>74</v>
      </c>
      <c r="AZ472" t="s">
        <v>74</v>
      </c>
      <c r="BA472" t="s">
        <v>74</v>
      </c>
      <c r="BB472">
        <v>522</v>
      </c>
      <c r="BC472">
        <v>536</v>
      </c>
      <c r="BD472" t="s">
        <v>74</v>
      </c>
      <c r="BE472" t="s">
        <v>9442</v>
      </c>
      <c r="BF472" t="str">
        <f>HYPERLINK("http://dx.doi.org/10.1111/1745-5871.12490","http://dx.doi.org/10.1111/1745-5871.12490")</f>
        <v>http://dx.doi.org/10.1111/1745-5871.12490</v>
      </c>
      <c r="BG472" t="s">
        <v>74</v>
      </c>
      <c r="BH472" t="s">
        <v>8134</v>
      </c>
      <c r="BI472">
        <v>15</v>
      </c>
      <c r="BJ472" t="s">
        <v>9443</v>
      </c>
      <c r="BK472" t="s">
        <v>377</v>
      </c>
      <c r="BL472" t="s">
        <v>9443</v>
      </c>
      <c r="BM472" t="s">
        <v>9444</v>
      </c>
      <c r="BN472" t="s">
        <v>74</v>
      </c>
      <c r="BO472" t="s">
        <v>408</v>
      </c>
      <c r="BP472" t="s">
        <v>74</v>
      </c>
      <c r="BQ472" t="s">
        <v>74</v>
      </c>
      <c r="BR472" t="s">
        <v>102</v>
      </c>
      <c r="BS472" t="s">
        <v>9445</v>
      </c>
      <c r="BT472" t="str">
        <f>HYPERLINK("https%3A%2F%2Fwww.webofscience.com%2Fwos%2Fwoscc%2Ffull-record%2FWOS:000663849900001","View Full Record in Web of Science")</f>
        <v>View Full Record in Web of Science</v>
      </c>
    </row>
    <row r="473" spans="1:72" x14ac:dyDescent="0.15">
      <c r="A473" t="s">
        <v>72</v>
      </c>
      <c r="B473" t="s">
        <v>9446</v>
      </c>
      <c r="C473" t="s">
        <v>74</v>
      </c>
      <c r="D473" t="s">
        <v>74</v>
      </c>
      <c r="E473" t="s">
        <v>74</v>
      </c>
      <c r="F473" t="s">
        <v>9447</v>
      </c>
      <c r="G473" t="s">
        <v>74</v>
      </c>
      <c r="H473" t="s">
        <v>74</v>
      </c>
      <c r="I473" t="s">
        <v>9448</v>
      </c>
      <c r="J473" t="s">
        <v>2106</v>
      </c>
      <c r="K473" t="s">
        <v>74</v>
      </c>
      <c r="L473" t="s">
        <v>74</v>
      </c>
      <c r="M473" t="s">
        <v>78</v>
      </c>
      <c r="N473" t="s">
        <v>79</v>
      </c>
      <c r="O473" t="s">
        <v>74</v>
      </c>
      <c r="P473" t="s">
        <v>74</v>
      </c>
      <c r="Q473" t="s">
        <v>74</v>
      </c>
      <c r="R473" t="s">
        <v>74</v>
      </c>
      <c r="S473" t="s">
        <v>74</v>
      </c>
      <c r="T473" t="s">
        <v>9449</v>
      </c>
      <c r="U473" t="s">
        <v>9450</v>
      </c>
      <c r="V473" t="s">
        <v>9451</v>
      </c>
      <c r="W473" t="s">
        <v>9452</v>
      </c>
      <c r="X473" t="s">
        <v>9453</v>
      </c>
      <c r="Y473" t="s">
        <v>9454</v>
      </c>
      <c r="Z473" t="s">
        <v>9455</v>
      </c>
      <c r="AA473" t="s">
        <v>9456</v>
      </c>
      <c r="AB473" t="s">
        <v>9457</v>
      </c>
      <c r="AC473" t="s">
        <v>9458</v>
      </c>
      <c r="AD473" t="s">
        <v>9459</v>
      </c>
      <c r="AE473" t="s">
        <v>9460</v>
      </c>
      <c r="AF473" t="s">
        <v>74</v>
      </c>
      <c r="AG473">
        <v>57</v>
      </c>
      <c r="AH473">
        <v>7</v>
      </c>
      <c r="AI473">
        <v>7</v>
      </c>
      <c r="AJ473">
        <v>3</v>
      </c>
      <c r="AK473">
        <v>7</v>
      </c>
      <c r="AL473" t="s">
        <v>281</v>
      </c>
      <c r="AM473" t="s">
        <v>228</v>
      </c>
      <c r="AN473" t="s">
        <v>282</v>
      </c>
      <c r="AO473" t="s">
        <v>2119</v>
      </c>
      <c r="AP473" t="s">
        <v>2120</v>
      </c>
      <c r="AQ473" t="s">
        <v>74</v>
      </c>
      <c r="AR473" t="s">
        <v>2121</v>
      </c>
      <c r="AS473" t="s">
        <v>2122</v>
      </c>
      <c r="AT473" t="s">
        <v>402</v>
      </c>
      <c r="AU473">
        <v>2021</v>
      </c>
      <c r="AV473">
        <v>175</v>
      </c>
      <c r="AW473" t="s">
        <v>74</v>
      </c>
      <c r="AX473" t="s">
        <v>74</v>
      </c>
      <c r="AY473" t="s">
        <v>74</v>
      </c>
      <c r="AZ473" t="s">
        <v>74</v>
      </c>
      <c r="BA473" t="s">
        <v>74</v>
      </c>
      <c r="BB473" t="s">
        <v>74</v>
      </c>
      <c r="BC473" t="s">
        <v>74</v>
      </c>
      <c r="BD473">
        <v>103573</v>
      </c>
      <c r="BE473" t="s">
        <v>9461</v>
      </c>
      <c r="BF473" t="str">
        <f>HYPERLINK("http://dx.doi.org/10.1016/j.dsr.2021.103573","http://dx.doi.org/10.1016/j.dsr.2021.103573")</f>
        <v>http://dx.doi.org/10.1016/j.dsr.2021.103573</v>
      </c>
      <c r="BG473" t="s">
        <v>74</v>
      </c>
      <c r="BH473" t="s">
        <v>8134</v>
      </c>
      <c r="BI473">
        <v>8</v>
      </c>
      <c r="BJ473" t="s">
        <v>1134</v>
      </c>
      <c r="BK473" t="s">
        <v>128</v>
      </c>
      <c r="BL473" t="s">
        <v>1134</v>
      </c>
      <c r="BM473" t="s">
        <v>9462</v>
      </c>
      <c r="BN473" t="s">
        <v>74</v>
      </c>
      <c r="BO473" t="s">
        <v>74</v>
      </c>
      <c r="BP473" t="s">
        <v>74</v>
      </c>
      <c r="BQ473" t="s">
        <v>74</v>
      </c>
      <c r="BR473" t="s">
        <v>102</v>
      </c>
      <c r="BS473" t="s">
        <v>9463</v>
      </c>
      <c r="BT473" t="str">
        <f>HYPERLINK("https%3A%2F%2Fwww.webofscience.com%2Fwos%2Fwoscc%2Ffull-record%2FWOS:000686607200003","View Full Record in Web of Science")</f>
        <v>View Full Record in Web of Science</v>
      </c>
    </row>
    <row r="474" spans="1:72" x14ac:dyDescent="0.15">
      <c r="A474" t="s">
        <v>72</v>
      </c>
      <c r="B474" t="s">
        <v>9464</v>
      </c>
      <c r="C474" t="s">
        <v>74</v>
      </c>
      <c r="D474" t="s">
        <v>74</v>
      </c>
      <c r="E474" t="s">
        <v>74</v>
      </c>
      <c r="F474" t="s">
        <v>9465</v>
      </c>
      <c r="G474" t="s">
        <v>74</v>
      </c>
      <c r="H474" t="s">
        <v>74</v>
      </c>
      <c r="I474" t="s">
        <v>9466</v>
      </c>
      <c r="J474" t="s">
        <v>9467</v>
      </c>
      <c r="K474" t="s">
        <v>74</v>
      </c>
      <c r="L474" t="s">
        <v>74</v>
      </c>
      <c r="M474" t="s">
        <v>78</v>
      </c>
      <c r="N474" t="s">
        <v>79</v>
      </c>
      <c r="O474" t="s">
        <v>74</v>
      </c>
      <c r="P474" t="s">
        <v>74</v>
      </c>
      <c r="Q474" t="s">
        <v>74</v>
      </c>
      <c r="R474" t="s">
        <v>74</v>
      </c>
      <c r="S474" t="s">
        <v>74</v>
      </c>
      <c r="T474" t="s">
        <v>9468</v>
      </c>
      <c r="U474" t="s">
        <v>9469</v>
      </c>
      <c r="V474" t="s">
        <v>9470</v>
      </c>
      <c r="W474" t="s">
        <v>9471</v>
      </c>
      <c r="X474" t="s">
        <v>9472</v>
      </c>
      <c r="Y474" t="s">
        <v>9473</v>
      </c>
      <c r="Z474" t="s">
        <v>9474</v>
      </c>
      <c r="AA474" t="s">
        <v>9475</v>
      </c>
      <c r="AB474" t="s">
        <v>9476</v>
      </c>
      <c r="AC474" t="s">
        <v>9477</v>
      </c>
      <c r="AD474" t="s">
        <v>9478</v>
      </c>
      <c r="AE474" t="s">
        <v>9479</v>
      </c>
      <c r="AF474" t="s">
        <v>74</v>
      </c>
      <c r="AG474">
        <v>77</v>
      </c>
      <c r="AH474">
        <v>11</v>
      </c>
      <c r="AI474">
        <v>11</v>
      </c>
      <c r="AJ474">
        <v>1</v>
      </c>
      <c r="AK474">
        <v>10</v>
      </c>
      <c r="AL474" t="s">
        <v>197</v>
      </c>
      <c r="AM474" t="s">
        <v>198</v>
      </c>
      <c r="AN474" t="s">
        <v>199</v>
      </c>
      <c r="AO474" t="s">
        <v>9480</v>
      </c>
      <c r="AP474" t="s">
        <v>9481</v>
      </c>
      <c r="AQ474" t="s">
        <v>74</v>
      </c>
      <c r="AR474" t="s">
        <v>9482</v>
      </c>
      <c r="AS474" t="s">
        <v>9483</v>
      </c>
      <c r="AT474" t="s">
        <v>374</v>
      </c>
      <c r="AU474">
        <v>2021</v>
      </c>
      <c r="AV474">
        <v>28</v>
      </c>
      <c r="AW474">
        <v>6</v>
      </c>
      <c r="AX474" t="s">
        <v>74</v>
      </c>
      <c r="AY474" t="s">
        <v>74</v>
      </c>
      <c r="AZ474" t="s">
        <v>74</v>
      </c>
      <c r="BA474" t="s">
        <v>74</v>
      </c>
      <c r="BB474">
        <v>528</v>
      </c>
      <c r="BC474">
        <v>541</v>
      </c>
      <c r="BD474" t="s">
        <v>74</v>
      </c>
      <c r="BE474" t="s">
        <v>9484</v>
      </c>
      <c r="BF474" t="str">
        <f>HYPERLINK("http://dx.doi.org/10.1111/fme.12503","http://dx.doi.org/10.1111/fme.12503")</f>
        <v>http://dx.doi.org/10.1111/fme.12503</v>
      </c>
      <c r="BG474" t="s">
        <v>74</v>
      </c>
      <c r="BH474" t="s">
        <v>8134</v>
      </c>
      <c r="BI474">
        <v>14</v>
      </c>
      <c r="BJ474" t="s">
        <v>99</v>
      </c>
      <c r="BK474" t="s">
        <v>100</v>
      </c>
      <c r="BL474" t="s">
        <v>99</v>
      </c>
      <c r="BM474" t="s">
        <v>9485</v>
      </c>
      <c r="BN474" t="s">
        <v>74</v>
      </c>
      <c r="BO474" t="s">
        <v>408</v>
      </c>
      <c r="BP474" t="s">
        <v>74</v>
      </c>
      <c r="BQ474" t="s">
        <v>74</v>
      </c>
      <c r="BR474" t="s">
        <v>102</v>
      </c>
      <c r="BS474" t="s">
        <v>9486</v>
      </c>
      <c r="BT474" t="str">
        <f>HYPERLINK("https%3A%2F%2Fwww.webofscience.com%2Fwos%2Fwoscc%2Ffull-record%2FWOS:000663427100001","View Full Record in Web of Science")</f>
        <v>View Full Record in Web of Science</v>
      </c>
    </row>
    <row r="475" spans="1:72" x14ac:dyDescent="0.15">
      <c r="A475" t="s">
        <v>72</v>
      </c>
      <c r="B475" t="s">
        <v>9487</v>
      </c>
      <c r="C475" t="s">
        <v>74</v>
      </c>
      <c r="D475" t="s">
        <v>74</v>
      </c>
      <c r="E475" t="s">
        <v>74</v>
      </c>
      <c r="F475" t="s">
        <v>9488</v>
      </c>
      <c r="G475" t="s">
        <v>74</v>
      </c>
      <c r="H475" t="s">
        <v>74</v>
      </c>
      <c r="I475" t="s">
        <v>9489</v>
      </c>
      <c r="J475" t="s">
        <v>9490</v>
      </c>
      <c r="K475" t="s">
        <v>74</v>
      </c>
      <c r="L475" t="s">
        <v>74</v>
      </c>
      <c r="M475" t="s">
        <v>78</v>
      </c>
      <c r="N475" t="s">
        <v>79</v>
      </c>
      <c r="O475" t="s">
        <v>74</v>
      </c>
      <c r="P475" t="s">
        <v>74</v>
      </c>
      <c r="Q475" t="s">
        <v>74</v>
      </c>
      <c r="R475" t="s">
        <v>74</v>
      </c>
      <c r="S475" t="s">
        <v>74</v>
      </c>
      <c r="T475" t="s">
        <v>9491</v>
      </c>
      <c r="U475" t="s">
        <v>9492</v>
      </c>
      <c r="V475" t="s">
        <v>9493</v>
      </c>
      <c r="W475" t="s">
        <v>9494</v>
      </c>
      <c r="X475" t="s">
        <v>2640</v>
      </c>
      <c r="Y475" t="s">
        <v>9495</v>
      </c>
      <c r="Z475" t="s">
        <v>9496</v>
      </c>
      <c r="AA475" t="s">
        <v>74</v>
      </c>
      <c r="AB475" t="s">
        <v>74</v>
      </c>
      <c r="AC475" t="s">
        <v>9497</v>
      </c>
      <c r="AD475" t="s">
        <v>9498</v>
      </c>
      <c r="AE475" t="s">
        <v>9499</v>
      </c>
      <c r="AF475" t="s">
        <v>74</v>
      </c>
      <c r="AG475">
        <v>42</v>
      </c>
      <c r="AH475">
        <v>1</v>
      </c>
      <c r="AI475">
        <v>1</v>
      </c>
      <c r="AJ475">
        <v>1</v>
      </c>
      <c r="AK475">
        <v>9</v>
      </c>
      <c r="AL475" t="s">
        <v>197</v>
      </c>
      <c r="AM475" t="s">
        <v>198</v>
      </c>
      <c r="AN475" t="s">
        <v>199</v>
      </c>
      <c r="AO475" t="s">
        <v>9500</v>
      </c>
      <c r="AP475" t="s">
        <v>9501</v>
      </c>
      <c r="AQ475" t="s">
        <v>74</v>
      </c>
      <c r="AR475" t="s">
        <v>9502</v>
      </c>
      <c r="AS475" t="s">
        <v>9503</v>
      </c>
      <c r="AT475" t="s">
        <v>457</v>
      </c>
      <c r="AU475">
        <v>2023</v>
      </c>
      <c r="AV475">
        <v>189</v>
      </c>
      <c r="AW475">
        <v>1</v>
      </c>
      <c r="AX475" t="s">
        <v>74</v>
      </c>
      <c r="AY475" t="s">
        <v>74</v>
      </c>
      <c r="AZ475" t="s">
        <v>74</v>
      </c>
      <c r="BA475" t="s">
        <v>74</v>
      </c>
      <c r="BB475">
        <v>40</v>
      </c>
      <c r="BC475">
        <v>48</v>
      </c>
      <c r="BD475" t="s">
        <v>74</v>
      </c>
      <c r="BE475" t="s">
        <v>9504</v>
      </c>
      <c r="BF475" t="str">
        <f>HYPERLINK("http://dx.doi.org/10.1111/geoj.12383","http://dx.doi.org/10.1111/geoj.12383")</f>
        <v>http://dx.doi.org/10.1111/geoj.12383</v>
      </c>
      <c r="BG475" t="s">
        <v>74</v>
      </c>
      <c r="BH475" t="s">
        <v>8134</v>
      </c>
      <c r="BI475">
        <v>9</v>
      </c>
      <c r="BJ475" t="s">
        <v>9443</v>
      </c>
      <c r="BK475" t="s">
        <v>377</v>
      </c>
      <c r="BL475" t="s">
        <v>9443</v>
      </c>
      <c r="BM475" t="s">
        <v>9505</v>
      </c>
      <c r="BN475" t="s">
        <v>74</v>
      </c>
      <c r="BO475" t="s">
        <v>908</v>
      </c>
      <c r="BP475" t="s">
        <v>74</v>
      </c>
      <c r="BQ475" t="s">
        <v>74</v>
      </c>
      <c r="BR475" t="s">
        <v>102</v>
      </c>
      <c r="BS475" t="s">
        <v>9506</v>
      </c>
      <c r="BT475" t="str">
        <f>HYPERLINK("https%3A%2F%2Fwww.webofscience.com%2Fwos%2Fwoscc%2Ffull-record%2FWOS:000663385200001","View Full Record in Web of Science")</f>
        <v>View Full Record in Web of Science</v>
      </c>
    </row>
    <row r="476" spans="1:72" x14ac:dyDescent="0.15">
      <c r="A476" t="s">
        <v>72</v>
      </c>
      <c r="B476" t="s">
        <v>9507</v>
      </c>
      <c r="C476" t="s">
        <v>74</v>
      </c>
      <c r="D476" t="s">
        <v>74</v>
      </c>
      <c r="E476" t="s">
        <v>74</v>
      </c>
      <c r="F476" t="s">
        <v>9508</v>
      </c>
      <c r="G476" t="s">
        <v>74</v>
      </c>
      <c r="H476" t="s">
        <v>74</v>
      </c>
      <c r="I476" t="s">
        <v>9509</v>
      </c>
      <c r="J476" t="s">
        <v>9510</v>
      </c>
      <c r="K476" t="s">
        <v>74</v>
      </c>
      <c r="L476" t="s">
        <v>74</v>
      </c>
      <c r="M476" t="s">
        <v>78</v>
      </c>
      <c r="N476" t="s">
        <v>9511</v>
      </c>
      <c r="O476" t="s">
        <v>9512</v>
      </c>
      <c r="P476" t="s">
        <v>9513</v>
      </c>
      <c r="Q476" t="s">
        <v>9514</v>
      </c>
      <c r="R476" t="s">
        <v>74</v>
      </c>
      <c r="S476" t="s">
        <v>74</v>
      </c>
      <c r="T476" t="s">
        <v>74</v>
      </c>
      <c r="U476" t="s">
        <v>9515</v>
      </c>
      <c r="V476" t="s">
        <v>9516</v>
      </c>
      <c r="W476" t="s">
        <v>9517</v>
      </c>
      <c r="X476" t="s">
        <v>9518</v>
      </c>
      <c r="Y476" t="s">
        <v>9519</v>
      </c>
      <c r="Z476" t="s">
        <v>9520</v>
      </c>
      <c r="AA476" t="s">
        <v>74</v>
      </c>
      <c r="AB476" t="s">
        <v>9521</v>
      </c>
      <c r="AC476" t="s">
        <v>9522</v>
      </c>
      <c r="AD476" t="s">
        <v>9523</v>
      </c>
      <c r="AE476" t="s">
        <v>9524</v>
      </c>
      <c r="AF476" t="s">
        <v>74</v>
      </c>
      <c r="AG476">
        <v>31</v>
      </c>
      <c r="AH476">
        <v>6</v>
      </c>
      <c r="AI476">
        <v>7</v>
      </c>
      <c r="AJ476">
        <v>0</v>
      </c>
      <c r="AK476">
        <v>3</v>
      </c>
      <c r="AL476" t="s">
        <v>2939</v>
      </c>
      <c r="AM476" t="s">
        <v>2940</v>
      </c>
      <c r="AN476" t="s">
        <v>2941</v>
      </c>
      <c r="AO476" t="s">
        <v>9525</v>
      </c>
      <c r="AP476" t="s">
        <v>9526</v>
      </c>
      <c r="AQ476" t="s">
        <v>74</v>
      </c>
      <c r="AR476" t="s">
        <v>9527</v>
      </c>
      <c r="AS476" t="s">
        <v>9528</v>
      </c>
      <c r="AT476" t="s">
        <v>96</v>
      </c>
      <c r="AU476">
        <v>2021</v>
      </c>
      <c r="AV476">
        <v>61</v>
      </c>
      <c r="AW476">
        <v>5</v>
      </c>
      <c r="AX476" t="s">
        <v>74</v>
      </c>
      <c r="AY476" t="s">
        <v>74</v>
      </c>
      <c r="AZ476" t="s">
        <v>74</v>
      </c>
      <c r="BA476" t="s">
        <v>74</v>
      </c>
      <c r="BB476">
        <v>1619</v>
      </c>
      <c r="BC476">
        <v>1630</v>
      </c>
      <c r="BD476" t="s">
        <v>74</v>
      </c>
      <c r="BE476" t="s">
        <v>9529</v>
      </c>
      <c r="BF476" t="str">
        <f>HYPERLINK("http://dx.doi.org/10.1093/icb/icab141","http://dx.doi.org/10.1093/icb/icab141")</f>
        <v>http://dx.doi.org/10.1093/icb/icab141</v>
      </c>
      <c r="BG476" t="s">
        <v>74</v>
      </c>
      <c r="BH476" t="s">
        <v>8134</v>
      </c>
      <c r="BI476">
        <v>12</v>
      </c>
      <c r="BJ476" t="s">
        <v>2197</v>
      </c>
      <c r="BK476" t="s">
        <v>962</v>
      </c>
      <c r="BL476" t="s">
        <v>2197</v>
      </c>
      <c r="BM476" t="s">
        <v>9530</v>
      </c>
      <c r="BN476">
        <v>34143201</v>
      </c>
      <c r="BO476" t="s">
        <v>612</v>
      </c>
      <c r="BP476" t="s">
        <v>74</v>
      </c>
      <c r="BQ476" t="s">
        <v>74</v>
      </c>
      <c r="BR476" t="s">
        <v>102</v>
      </c>
      <c r="BS476" t="s">
        <v>9531</v>
      </c>
      <c r="BT476" t="str">
        <f>HYPERLINK("https%3A%2F%2Fwww.webofscience.com%2Fwos%2Fwoscc%2Ffull-record%2FWOS:000736126200006","View Full Record in Web of Science")</f>
        <v>View Full Record in Web of Science</v>
      </c>
    </row>
    <row r="477" spans="1:72" x14ac:dyDescent="0.15">
      <c r="A477" t="s">
        <v>72</v>
      </c>
      <c r="B477" t="s">
        <v>9532</v>
      </c>
      <c r="C477" t="s">
        <v>74</v>
      </c>
      <c r="D477" t="s">
        <v>74</v>
      </c>
      <c r="E477" t="s">
        <v>74</v>
      </c>
      <c r="F477" t="s">
        <v>9533</v>
      </c>
      <c r="G477" t="s">
        <v>74</v>
      </c>
      <c r="H477" t="s">
        <v>74</v>
      </c>
      <c r="I477" t="s">
        <v>9534</v>
      </c>
      <c r="J477" t="s">
        <v>3516</v>
      </c>
      <c r="K477" t="s">
        <v>74</v>
      </c>
      <c r="L477" t="s">
        <v>74</v>
      </c>
      <c r="M477" t="s">
        <v>78</v>
      </c>
      <c r="N477" t="s">
        <v>79</v>
      </c>
      <c r="O477" t="s">
        <v>74</v>
      </c>
      <c r="P477" t="s">
        <v>74</v>
      </c>
      <c r="Q477" t="s">
        <v>74</v>
      </c>
      <c r="R477" t="s">
        <v>74</v>
      </c>
      <c r="S477" t="s">
        <v>74</v>
      </c>
      <c r="T477" t="s">
        <v>9535</v>
      </c>
      <c r="U477" t="s">
        <v>9536</v>
      </c>
      <c r="V477" t="s">
        <v>9537</v>
      </c>
      <c r="W477" t="s">
        <v>9538</v>
      </c>
      <c r="X477" t="s">
        <v>6165</v>
      </c>
      <c r="Y477" t="s">
        <v>9539</v>
      </c>
      <c r="Z477" t="s">
        <v>9540</v>
      </c>
      <c r="AA477" t="s">
        <v>9541</v>
      </c>
      <c r="AB477" t="s">
        <v>9542</v>
      </c>
      <c r="AC477" t="s">
        <v>9543</v>
      </c>
      <c r="AD477" t="s">
        <v>9543</v>
      </c>
      <c r="AE477" t="s">
        <v>9544</v>
      </c>
      <c r="AF477" t="s">
        <v>74</v>
      </c>
      <c r="AG477">
        <v>51</v>
      </c>
      <c r="AH477">
        <v>6</v>
      </c>
      <c r="AI477">
        <v>6</v>
      </c>
      <c r="AJ477">
        <v>1</v>
      </c>
      <c r="AK477">
        <v>7</v>
      </c>
      <c r="AL477" t="s">
        <v>3526</v>
      </c>
      <c r="AM477" t="s">
        <v>650</v>
      </c>
      <c r="AN477" t="s">
        <v>3527</v>
      </c>
      <c r="AO477" t="s">
        <v>3528</v>
      </c>
      <c r="AP477" t="s">
        <v>3529</v>
      </c>
      <c r="AQ477" t="s">
        <v>74</v>
      </c>
      <c r="AR477" t="s">
        <v>3530</v>
      </c>
      <c r="AS477" t="s">
        <v>3531</v>
      </c>
      <c r="AT477" t="s">
        <v>204</v>
      </c>
      <c r="AU477">
        <v>2021</v>
      </c>
      <c r="AV477">
        <v>260</v>
      </c>
      <c r="AW477" t="s">
        <v>74</v>
      </c>
      <c r="AX477" t="s">
        <v>74</v>
      </c>
      <c r="AY477" t="s">
        <v>74</v>
      </c>
      <c r="AZ477" t="s">
        <v>74</v>
      </c>
      <c r="BA477" t="s">
        <v>74</v>
      </c>
      <c r="BB477" t="s">
        <v>74</v>
      </c>
      <c r="BC477" t="s">
        <v>74</v>
      </c>
      <c r="BD477">
        <v>111019</v>
      </c>
      <c r="BE477" t="s">
        <v>9545</v>
      </c>
      <c r="BF477" t="str">
        <f>HYPERLINK("http://dx.doi.org/10.1016/j.cbpa.2021.111019","http://dx.doi.org/10.1016/j.cbpa.2021.111019")</f>
        <v>http://dx.doi.org/10.1016/j.cbpa.2021.111019</v>
      </c>
      <c r="BG477" t="s">
        <v>74</v>
      </c>
      <c r="BH477" t="s">
        <v>8134</v>
      </c>
      <c r="BI477">
        <v>7</v>
      </c>
      <c r="BJ477" t="s">
        <v>3533</v>
      </c>
      <c r="BK477" t="s">
        <v>128</v>
      </c>
      <c r="BL477" t="s">
        <v>3533</v>
      </c>
      <c r="BM477" t="s">
        <v>3534</v>
      </c>
      <c r="BN477">
        <v>34146688</v>
      </c>
      <c r="BO477" t="s">
        <v>2514</v>
      </c>
      <c r="BP477" t="s">
        <v>74</v>
      </c>
      <c r="BQ477" t="s">
        <v>74</v>
      </c>
      <c r="BR477" t="s">
        <v>102</v>
      </c>
      <c r="BS477" t="s">
        <v>9546</v>
      </c>
      <c r="BT477" t="str">
        <f>HYPERLINK("https%3A%2F%2Fwww.webofscience.com%2Fwos%2Fwoscc%2Ffull-record%2FWOS:000682522100004","View Full Record in Web of Science")</f>
        <v>View Full Record in Web of Science</v>
      </c>
    </row>
    <row r="478" spans="1:72" x14ac:dyDescent="0.15">
      <c r="A478" t="s">
        <v>72</v>
      </c>
      <c r="B478" t="s">
        <v>9547</v>
      </c>
      <c r="C478" t="s">
        <v>74</v>
      </c>
      <c r="D478" t="s">
        <v>74</v>
      </c>
      <c r="E478" t="s">
        <v>74</v>
      </c>
      <c r="F478" t="s">
        <v>9548</v>
      </c>
      <c r="G478" t="s">
        <v>74</v>
      </c>
      <c r="H478" t="s">
        <v>74</v>
      </c>
      <c r="I478" t="s">
        <v>9549</v>
      </c>
      <c r="J478" t="s">
        <v>6035</v>
      </c>
      <c r="K478" t="s">
        <v>74</v>
      </c>
      <c r="L478" t="s">
        <v>74</v>
      </c>
      <c r="M478" t="s">
        <v>78</v>
      </c>
      <c r="N478" t="s">
        <v>644</v>
      </c>
      <c r="O478" t="s">
        <v>74</v>
      </c>
      <c r="P478" t="s">
        <v>74</v>
      </c>
      <c r="Q478" t="s">
        <v>74</v>
      </c>
      <c r="R478" t="s">
        <v>74</v>
      </c>
      <c r="S478" t="s">
        <v>74</v>
      </c>
      <c r="T478" t="s">
        <v>74</v>
      </c>
      <c r="U478" t="s">
        <v>9550</v>
      </c>
      <c r="V478" t="s">
        <v>74</v>
      </c>
      <c r="W478" t="s">
        <v>9551</v>
      </c>
      <c r="X478" t="s">
        <v>9552</v>
      </c>
      <c r="Y478" t="s">
        <v>9553</v>
      </c>
      <c r="Z478" t="s">
        <v>9554</v>
      </c>
      <c r="AA478" t="s">
        <v>74</v>
      </c>
      <c r="AB478" t="s">
        <v>9555</v>
      </c>
      <c r="AC478" t="s">
        <v>9556</v>
      </c>
      <c r="AD478" t="s">
        <v>9557</v>
      </c>
      <c r="AE478" t="s">
        <v>9558</v>
      </c>
      <c r="AF478" t="s">
        <v>74</v>
      </c>
      <c r="AG478">
        <v>12</v>
      </c>
      <c r="AH478">
        <v>3</v>
      </c>
      <c r="AI478">
        <v>3</v>
      </c>
      <c r="AJ478">
        <v>0</v>
      </c>
      <c r="AK478">
        <v>5</v>
      </c>
      <c r="AL478" t="s">
        <v>7767</v>
      </c>
      <c r="AM478" t="s">
        <v>865</v>
      </c>
      <c r="AN478" t="s">
        <v>7768</v>
      </c>
      <c r="AO478" t="s">
        <v>9559</v>
      </c>
      <c r="AP478" t="s">
        <v>9560</v>
      </c>
      <c r="AQ478" t="s">
        <v>74</v>
      </c>
      <c r="AR478" t="s">
        <v>6035</v>
      </c>
      <c r="AS478" t="s">
        <v>9561</v>
      </c>
      <c r="AT478" t="s">
        <v>9562</v>
      </c>
      <c r="AU478">
        <v>2021</v>
      </c>
      <c r="AV478">
        <v>372</v>
      </c>
      <c r="AW478">
        <v>6548</v>
      </c>
      <c r="AX478" t="s">
        <v>74</v>
      </c>
      <c r="AY478" t="s">
        <v>74</v>
      </c>
      <c r="AZ478" t="s">
        <v>431</v>
      </c>
      <c r="BA478" t="s">
        <v>74</v>
      </c>
      <c r="BB478">
        <v>1266</v>
      </c>
      <c r="BC478">
        <v>1267</v>
      </c>
      <c r="BD478" t="s">
        <v>74</v>
      </c>
      <c r="BE478" t="s">
        <v>9563</v>
      </c>
      <c r="BF478" t="str">
        <f>HYPERLINK("http://dx.doi.org/10.1126/science.abj3266","http://dx.doi.org/10.1126/science.abj3266")</f>
        <v>http://dx.doi.org/10.1126/science.abj3266</v>
      </c>
      <c r="BG478" t="s">
        <v>74</v>
      </c>
      <c r="BH478" t="s">
        <v>74</v>
      </c>
      <c r="BI478">
        <v>3</v>
      </c>
      <c r="BJ478" t="s">
        <v>2609</v>
      </c>
      <c r="BK478" t="s">
        <v>100</v>
      </c>
      <c r="BL478" t="s">
        <v>2610</v>
      </c>
      <c r="BM478" t="s">
        <v>9564</v>
      </c>
      <c r="BN478">
        <v>34140372</v>
      </c>
      <c r="BO478" t="s">
        <v>74</v>
      </c>
      <c r="BP478" t="s">
        <v>74</v>
      </c>
      <c r="BQ478" t="s">
        <v>74</v>
      </c>
      <c r="BR478" t="s">
        <v>102</v>
      </c>
      <c r="BS478" t="s">
        <v>9565</v>
      </c>
      <c r="BT478" t="str">
        <f>HYPERLINK("https%3A%2F%2Fwww.webofscience.com%2Fwos%2Fwoscc%2Ffull-record%2FWOS:000665616000013","View Full Record in Web of Science")</f>
        <v>View Full Record in Web of Science</v>
      </c>
    </row>
    <row r="479" spans="1:72" x14ac:dyDescent="0.15">
      <c r="A479" t="s">
        <v>72</v>
      </c>
      <c r="B479" t="s">
        <v>9566</v>
      </c>
      <c r="C479" t="s">
        <v>74</v>
      </c>
      <c r="D479" t="s">
        <v>74</v>
      </c>
      <c r="E479" t="s">
        <v>74</v>
      </c>
      <c r="F479" t="s">
        <v>9567</v>
      </c>
      <c r="G479" t="s">
        <v>74</v>
      </c>
      <c r="H479" t="s">
        <v>74</v>
      </c>
      <c r="I479" t="s">
        <v>9568</v>
      </c>
      <c r="J479" t="s">
        <v>6035</v>
      </c>
      <c r="K479" t="s">
        <v>74</v>
      </c>
      <c r="L479" t="s">
        <v>74</v>
      </c>
      <c r="M479" t="s">
        <v>78</v>
      </c>
      <c r="N479" t="s">
        <v>79</v>
      </c>
      <c r="O479" t="s">
        <v>74</v>
      </c>
      <c r="P479" t="s">
        <v>74</v>
      </c>
      <c r="Q479" t="s">
        <v>74</v>
      </c>
      <c r="R479" t="s">
        <v>74</v>
      </c>
      <c r="S479" t="s">
        <v>74</v>
      </c>
      <c r="T479" t="s">
        <v>74</v>
      </c>
      <c r="U479" t="s">
        <v>9569</v>
      </c>
      <c r="V479" t="s">
        <v>9570</v>
      </c>
      <c r="W479" t="s">
        <v>9571</v>
      </c>
      <c r="X479" t="s">
        <v>9572</v>
      </c>
      <c r="Y479" t="s">
        <v>9573</v>
      </c>
      <c r="Z479" t="s">
        <v>9574</v>
      </c>
      <c r="AA479" t="s">
        <v>7187</v>
      </c>
      <c r="AB479" t="s">
        <v>9575</v>
      </c>
      <c r="AC479" t="s">
        <v>9576</v>
      </c>
      <c r="AD479" t="s">
        <v>9577</v>
      </c>
      <c r="AE479" t="s">
        <v>9578</v>
      </c>
      <c r="AF479" t="s">
        <v>74</v>
      </c>
      <c r="AG479">
        <v>26</v>
      </c>
      <c r="AH479">
        <v>31</v>
      </c>
      <c r="AI479">
        <v>36</v>
      </c>
      <c r="AJ479">
        <v>0</v>
      </c>
      <c r="AK479">
        <v>19</v>
      </c>
      <c r="AL479" t="s">
        <v>7767</v>
      </c>
      <c r="AM479" t="s">
        <v>865</v>
      </c>
      <c r="AN479" t="s">
        <v>7768</v>
      </c>
      <c r="AO479" t="s">
        <v>9559</v>
      </c>
      <c r="AP479" t="s">
        <v>9560</v>
      </c>
      <c r="AQ479" t="s">
        <v>74</v>
      </c>
      <c r="AR479" t="s">
        <v>6035</v>
      </c>
      <c r="AS479" t="s">
        <v>9561</v>
      </c>
      <c r="AT479" t="s">
        <v>9562</v>
      </c>
      <c r="AU479">
        <v>2021</v>
      </c>
      <c r="AV479">
        <v>372</v>
      </c>
      <c r="AW479">
        <v>6548</v>
      </c>
      <c r="AX479" t="s">
        <v>74</v>
      </c>
      <c r="AY479" t="s">
        <v>74</v>
      </c>
      <c r="AZ479" t="s">
        <v>431</v>
      </c>
      <c r="BA479" t="s">
        <v>74</v>
      </c>
      <c r="BB479">
        <v>1342</v>
      </c>
      <c r="BC479" t="s">
        <v>403</v>
      </c>
      <c r="BD479" t="s">
        <v>74</v>
      </c>
      <c r="BE479" t="s">
        <v>9579</v>
      </c>
      <c r="BF479" t="str">
        <f>HYPERLINK("http://dx.doi.org/10.1126/science.abf6271","http://dx.doi.org/10.1126/science.abf6271")</f>
        <v>http://dx.doi.org/10.1126/science.abf6271</v>
      </c>
      <c r="BG479" t="s">
        <v>74</v>
      </c>
      <c r="BH479" t="s">
        <v>74</v>
      </c>
      <c r="BI479">
        <v>30</v>
      </c>
      <c r="BJ479" t="s">
        <v>2609</v>
      </c>
      <c r="BK479" t="s">
        <v>128</v>
      </c>
      <c r="BL479" t="s">
        <v>2610</v>
      </c>
      <c r="BM479" t="s">
        <v>9564</v>
      </c>
      <c r="BN479">
        <v>34140387</v>
      </c>
      <c r="BO479" t="s">
        <v>2125</v>
      </c>
      <c r="BP479" t="s">
        <v>74</v>
      </c>
      <c r="BQ479" t="s">
        <v>74</v>
      </c>
      <c r="BR479" t="s">
        <v>102</v>
      </c>
      <c r="BS479" t="s">
        <v>9580</v>
      </c>
      <c r="BT479" t="str">
        <f>HYPERLINK("https%3A%2F%2Fwww.webofscience.com%2Fwos%2Fwoscc%2Ffull-record%2FWOS:000665616000035","View Full Record in Web of Science")</f>
        <v>View Full Record in Web of Science</v>
      </c>
    </row>
    <row r="480" spans="1:72" x14ac:dyDescent="0.15">
      <c r="A480" t="s">
        <v>72</v>
      </c>
      <c r="B480" t="s">
        <v>9581</v>
      </c>
      <c r="C480" t="s">
        <v>74</v>
      </c>
      <c r="D480" t="s">
        <v>74</v>
      </c>
      <c r="E480" t="s">
        <v>74</v>
      </c>
      <c r="F480" t="s">
        <v>9582</v>
      </c>
      <c r="G480" t="s">
        <v>74</v>
      </c>
      <c r="H480" t="s">
        <v>74</v>
      </c>
      <c r="I480" t="s">
        <v>9583</v>
      </c>
      <c r="J480" t="s">
        <v>9584</v>
      </c>
      <c r="K480" t="s">
        <v>74</v>
      </c>
      <c r="L480" t="s">
        <v>74</v>
      </c>
      <c r="M480" t="s">
        <v>78</v>
      </c>
      <c r="N480" t="s">
        <v>79</v>
      </c>
      <c r="O480" t="s">
        <v>74</v>
      </c>
      <c r="P480" t="s">
        <v>74</v>
      </c>
      <c r="Q480" t="s">
        <v>74</v>
      </c>
      <c r="R480" t="s">
        <v>74</v>
      </c>
      <c r="S480" t="s">
        <v>74</v>
      </c>
      <c r="T480" t="s">
        <v>9585</v>
      </c>
      <c r="U480" t="s">
        <v>9586</v>
      </c>
      <c r="V480" t="s">
        <v>9587</v>
      </c>
      <c r="W480" t="s">
        <v>9588</v>
      </c>
      <c r="X480" t="s">
        <v>9589</v>
      </c>
      <c r="Y480" t="s">
        <v>9590</v>
      </c>
      <c r="Z480" t="s">
        <v>9591</v>
      </c>
      <c r="AA480" t="s">
        <v>9592</v>
      </c>
      <c r="AB480" t="s">
        <v>9593</v>
      </c>
      <c r="AC480" t="s">
        <v>9594</v>
      </c>
      <c r="AD480" t="s">
        <v>9595</v>
      </c>
      <c r="AE480" t="s">
        <v>9596</v>
      </c>
      <c r="AF480" t="s">
        <v>74</v>
      </c>
      <c r="AG480">
        <v>52</v>
      </c>
      <c r="AH480">
        <v>0</v>
      </c>
      <c r="AI480">
        <v>0</v>
      </c>
      <c r="AJ480">
        <v>0</v>
      </c>
      <c r="AK480">
        <v>6</v>
      </c>
      <c r="AL480" t="s">
        <v>4494</v>
      </c>
      <c r="AM480" t="s">
        <v>4495</v>
      </c>
      <c r="AN480" t="s">
        <v>4496</v>
      </c>
      <c r="AO480" t="s">
        <v>9597</v>
      </c>
      <c r="AP480" t="s">
        <v>9598</v>
      </c>
      <c r="AQ480" t="s">
        <v>74</v>
      </c>
      <c r="AR480" t="s">
        <v>9599</v>
      </c>
      <c r="AS480" t="s">
        <v>9600</v>
      </c>
      <c r="AT480" t="s">
        <v>430</v>
      </c>
      <c r="AU480">
        <v>2021</v>
      </c>
      <c r="AV480">
        <v>78</v>
      </c>
      <c r="AW480" t="s">
        <v>74</v>
      </c>
      <c r="AX480" t="s">
        <v>74</v>
      </c>
      <c r="AY480" t="s">
        <v>74</v>
      </c>
      <c r="AZ480" t="s">
        <v>74</v>
      </c>
      <c r="BA480" t="s">
        <v>74</v>
      </c>
      <c r="BB480" t="s">
        <v>74</v>
      </c>
      <c r="BC480" t="s">
        <v>74</v>
      </c>
      <c r="BD480">
        <v>103185</v>
      </c>
      <c r="BE480" t="s">
        <v>9601</v>
      </c>
      <c r="BF480" t="str">
        <f>HYPERLINK("http://dx.doi.org/10.1016/j.jvcir.2021.103185","http://dx.doi.org/10.1016/j.jvcir.2021.103185")</f>
        <v>http://dx.doi.org/10.1016/j.jvcir.2021.103185</v>
      </c>
      <c r="BG480" t="s">
        <v>74</v>
      </c>
      <c r="BH480" t="s">
        <v>8134</v>
      </c>
      <c r="BI480">
        <v>7</v>
      </c>
      <c r="BJ480" t="s">
        <v>9602</v>
      </c>
      <c r="BK480" t="s">
        <v>128</v>
      </c>
      <c r="BL480" t="s">
        <v>9603</v>
      </c>
      <c r="BM480" t="s">
        <v>9604</v>
      </c>
      <c r="BN480" t="s">
        <v>74</v>
      </c>
      <c r="BO480" t="s">
        <v>74</v>
      </c>
      <c r="BP480" t="s">
        <v>74</v>
      </c>
      <c r="BQ480" t="s">
        <v>74</v>
      </c>
      <c r="BR480" t="s">
        <v>102</v>
      </c>
      <c r="BS480" t="s">
        <v>9605</v>
      </c>
      <c r="BT480" t="str">
        <f>HYPERLINK("https%3A%2F%2Fwww.webofscience.com%2Fwos%2Fwoscc%2Ffull-record%2FWOS:000672077500002","View Full Record in Web of Science")</f>
        <v>View Full Record in Web of Science</v>
      </c>
    </row>
    <row r="481" spans="1:72" x14ac:dyDescent="0.15">
      <c r="A481" t="s">
        <v>72</v>
      </c>
      <c r="B481" t="s">
        <v>9606</v>
      </c>
      <c r="C481" t="s">
        <v>74</v>
      </c>
      <c r="D481" t="s">
        <v>74</v>
      </c>
      <c r="E481" t="s">
        <v>74</v>
      </c>
      <c r="F481" t="s">
        <v>9607</v>
      </c>
      <c r="G481" t="s">
        <v>74</v>
      </c>
      <c r="H481" t="s">
        <v>74</v>
      </c>
      <c r="I481" t="s">
        <v>9608</v>
      </c>
      <c r="J481" t="s">
        <v>2834</v>
      </c>
      <c r="K481" t="s">
        <v>74</v>
      </c>
      <c r="L481" t="s">
        <v>74</v>
      </c>
      <c r="M481" t="s">
        <v>78</v>
      </c>
      <c r="N481" t="s">
        <v>79</v>
      </c>
      <c r="O481" t="s">
        <v>74</v>
      </c>
      <c r="P481" t="s">
        <v>74</v>
      </c>
      <c r="Q481" t="s">
        <v>74</v>
      </c>
      <c r="R481" t="s">
        <v>74</v>
      </c>
      <c r="S481" t="s">
        <v>74</v>
      </c>
      <c r="T481" t="s">
        <v>9609</v>
      </c>
      <c r="U481" t="s">
        <v>9610</v>
      </c>
      <c r="V481" t="s">
        <v>9611</v>
      </c>
      <c r="W481" t="s">
        <v>9612</v>
      </c>
      <c r="X481" t="s">
        <v>9613</v>
      </c>
      <c r="Y481" t="s">
        <v>9614</v>
      </c>
      <c r="Z481" t="s">
        <v>9615</v>
      </c>
      <c r="AA481" t="s">
        <v>9616</v>
      </c>
      <c r="AB481" t="s">
        <v>9617</v>
      </c>
      <c r="AC481" t="s">
        <v>9618</v>
      </c>
      <c r="AD481" t="s">
        <v>9619</v>
      </c>
      <c r="AE481" t="s">
        <v>9620</v>
      </c>
      <c r="AF481" t="s">
        <v>74</v>
      </c>
      <c r="AG481">
        <v>101</v>
      </c>
      <c r="AH481">
        <v>1</v>
      </c>
      <c r="AI481">
        <v>1</v>
      </c>
      <c r="AJ481">
        <v>0</v>
      </c>
      <c r="AK481">
        <v>7</v>
      </c>
      <c r="AL481" t="s">
        <v>2847</v>
      </c>
      <c r="AM481" t="s">
        <v>2848</v>
      </c>
      <c r="AN481" t="s">
        <v>2849</v>
      </c>
      <c r="AO481" t="s">
        <v>2850</v>
      </c>
      <c r="AP481" t="s">
        <v>2851</v>
      </c>
      <c r="AQ481" t="s">
        <v>74</v>
      </c>
      <c r="AR481" t="s">
        <v>2852</v>
      </c>
      <c r="AS481" t="s">
        <v>2853</v>
      </c>
      <c r="AT481" t="s">
        <v>74</v>
      </c>
      <c r="AU481">
        <v>2021</v>
      </c>
      <c r="AV481">
        <v>72</v>
      </c>
      <c r="AW481">
        <v>10</v>
      </c>
      <c r="AX481" t="s">
        <v>74</v>
      </c>
      <c r="AY481" t="s">
        <v>74</v>
      </c>
      <c r="AZ481" t="s">
        <v>74</v>
      </c>
      <c r="BA481" t="s">
        <v>74</v>
      </c>
      <c r="BB481">
        <v>1430</v>
      </c>
      <c r="BC481">
        <v>1444</v>
      </c>
      <c r="BD481" t="s">
        <v>74</v>
      </c>
      <c r="BE481" t="s">
        <v>9621</v>
      </c>
      <c r="BF481" t="str">
        <f>HYPERLINK("http://dx.doi.org/10.1071/MF21055","http://dx.doi.org/10.1071/MF21055")</f>
        <v>http://dx.doi.org/10.1071/MF21055</v>
      </c>
      <c r="BG481" t="s">
        <v>74</v>
      </c>
      <c r="BH481" t="s">
        <v>8134</v>
      </c>
      <c r="BI481">
        <v>15</v>
      </c>
      <c r="BJ481" t="s">
        <v>2855</v>
      </c>
      <c r="BK481" t="s">
        <v>100</v>
      </c>
      <c r="BL481" t="s">
        <v>2856</v>
      </c>
      <c r="BM481" t="s">
        <v>9622</v>
      </c>
      <c r="BN481" t="s">
        <v>74</v>
      </c>
      <c r="BO481" t="s">
        <v>9623</v>
      </c>
      <c r="BP481" t="s">
        <v>74</v>
      </c>
      <c r="BQ481" t="s">
        <v>74</v>
      </c>
      <c r="BR481" t="s">
        <v>102</v>
      </c>
      <c r="BS481" t="s">
        <v>9624</v>
      </c>
      <c r="BT481" t="str">
        <f>HYPERLINK("https%3A%2F%2Fwww.webofscience.com%2Fwos%2Fwoscc%2Ffull-record%2FWOS:000663001700001","View Full Record in Web of Science")</f>
        <v>View Full Record in Web of Science</v>
      </c>
    </row>
    <row r="482" spans="1:72" x14ac:dyDescent="0.15">
      <c r="A482" t="s">
        <v>72</v>
      </c>
      <c r="B482" t="s">
        <v>9625</v>
      </c>
      <c r="C482" t="s">
        <v>74</v>
      </c>
      <c r="D482" t="s">
        <v>74</v>
      </c>
      <c r="E482" t="s">
        <v>74</v>
      </c>
      <c r="F482" t="s">
        <v>9626</v>
      </c>
      <c r="G482" t="s">
        <v>74</v>
      </c>
      <c r="H482" t="s">
        <v>74</v>
      </c>
      <c r="I482" t="s">
        <v>9627</v>
      </c>
      <c r="J482" t="s">
        <v>4226</v>
      </c>
      <c r="K482" t="s">
        <v>74</v>
      </c>
      <c r="L482" t="s">
        <v>74</v>
      </c>
      <c r="M482" t="s">
        <v>78</v>
      </c>
      <c r="N482" t="s">
        <v>79</v>
      </c>
      <c r="O482" t="s">
        <v>74</v>
      </c>
      <c r="P482" t="s">
        <v>74</v>
      </c>
      <c r="Q482" t="s">
        <v>74</v>
      </c>
      <c r="R482" t="s">
        <v>74</v>
      </c>
      <c r="S482" t="s">
        <v>74</v>
      </c>
      <c r="T482" t="s">
        <v>9628</v>
      </c>
      <c r="U482" t="s">
        <v>9629</v>
      </c>
      <c r="V482" t="s">
        <v>9630</v>
      </c>
      <c r="W482" t="s">
        <v>9631</v>
      </c>
      <c r="X482" t="s">
        <v>9632</v>
      </c>
      <c r="Y482" t="s">
        <v>9633</v>
      </c>
      <c r="Z482" t="s">
        <v>9634</v>
      </c>
      <c r="AA482" t="s">
        <v>9635</v>
      </c>
      <c r="AB482" t="s">
        <v>9636</v>
      </c>
      <c r="AC482" t="s">
        <v>9637</v>
      </c>
      <c r="AD482" t="s">
        <v>9638</v>
      </c>
      <c r="AE482" t="s">
        <v>9639</v>
      </c>
      <c r="AF482" t="s">
        <v>74</v>
      </c>
      <c r="AG482">
        <v>103</v>
      </c>
      <c r="AH482">
        <v>4</v>
      </c>
      <c r="AI482">
        <v>4</v>
      </c>
      <c r="AJ482">
        <v>1</v>
      </c>
      <c r="AK482">
        <v>9</v>
      </c>
      <c r="AL482" t="s">
        <v>119</v>
      </c>
      <c r="AM482" t="s">
        <v>120</v>
      </c>
      <c r="AN482" t="s">
        <v>121</v>
      </c>
      <c r="AO482" t="s">
        <v>74</v>
      </c>
      <c r="AP482" t="s">
        <v>4238</v>
      </c>
      <c r="AQ482" t="s">
        <v>74</v>
      </c>
      <c r="AR482" t="s">
        <v>4239</v>
      </c>
      <c r="AS482" t="s">
        <v>4240</v>
      </c>
      <c r="AT482" t="s">
        <v>9562</v>
      </c>
      <c r="AU482">
        <v>2021</v>
      </c>
      <c r="AV482">
        <v>9</v>
      </c>
      <c r="AW482" t="s">
        <v>74</v>
      </c>
      <c r="AX482" t="s">
        <v>74</v>
      </c>
      <c r="AY482" t="s">
        <v>74</v>
      </c>
      <c r="AZ482" t="s">
        <v>74</v>
      </c>
      <c r="BA482" t="s">
        <v>74</v>
      </c>
      <c r="BB482" t="s">
        <v>74</v>
      </c>
      <c r="BC482" t="s">
        <v>74</v>
      </c>
      <c r="BD482">
        <v>681511</v>
      </c>
      <c r="BE482" t="s">
        <v>9640</v>
      </c>
      <c r="BF482" t="str">
        <f>HYPERLINK("http://dx.doi.org/10.3389/feart.2021.681511","http://dx.doi.org/10.3389/feart.2021.681511")</f>
        <v>http://dx.doi.org/10.3389/feart.2021.681511</v>
      </c>
      <c r="BG482" t="s">
        <v>74</v>
      </c>
      <c r="BH482" t="s">
        <v>74</v>
      </c>
      <c r="BI482">
        <v>15</v>
      </c>
      <c r="BJ482" t="s">
        <v>405</v>
      </c>
      <c r="BK482" t="s">
        <v>128</v>
      </c>
      <c r="BL482" t="s">
        <v>406</v>
      </c>
      <c r="BM482" t="s">
        <v>9641</v>
      </c>
      <c r="BN482" t="s">
        <v>74</v>
      </c>
      <c r="BO482" t="s">
        <v>1377</v>
      </c>
      <c r="BP482" t="s">
        <v>74</v>
      </c>
      <c r="BQ482" t="s">
        <v>74</v>
      </c>
      <c r="BR482" t="s">
        <v>102</v>
      </c>
      <c r="BS482" t="s">
        <v>9642</v>
      </c>
      <c r="BT482" t="str">
        <f>HYPERLINK("https%3A%2F%2Fwww.webofscience.com%2Fwos%2Fwoscc%2Ffull-record%2FWOS:000668722000001","View Full Record in Web of Science")</f>
        <v>View Full Record in Web of Science</v>
      </c>
    </row>
    <row r="483" spans="1:72" x14ac:dyDescent="0.15">
      <c r="A483" t="s">
        <v>72</v>
      </c>
      <c r="B483" t="s">
        <v>9643</v>
      </c>
      <c r="C483" t="s">
        <v>74</v>
      </c>
      <c r="D483" t="s">
        <v>74</v>
      </c>
      <c r="E483" t="s">
        <v>74</v>
      </c>
      <c r="F483" t="s">
        <v>9644</v>
      </c>
      <c r="G483" t="s">
        <v>74</v>
      </c>
      <c r="H483" t="s">
        <v>74</v>
      </c>
      <c r="I483" t="s">
        <v>9645</v>
      </c>
      <c r="J483" t="s">
        <v>9646</v>
      </c>
      <c r="K483" t="s">
        <v>74</v>
      </c>
      <c r="L483" t="s">
        <v>74</v>
      </c>
      <c r="M483" t="s">
        <v>78</v>
      </c>
      <c r="N483" t="s">
        <v>79</v>
      </c>
      <c r="O483" t="s">
        <v>74</v>
      </c>
      <c r="P483" t="s">
        <v>74</v>
      </c>
      <c r="Q483" t="s">
        <v>74</v>
      </c>
      <c r="R483" t="s">
        <v>74</v>
      </c>
      <c r="S483" t="s">
        <v>74</v>
      </c>
      <c r="T483" t="s">
        <v>9647</v>
      </c>
      <c r="U483" t="s">
        <v>9648</v>
      </c>
      <c r="V483" t="s">
        <v>9649</v>
      </c>
      <c r="W483" t="s">
        <v>9650</v>
      </c>
      <c r="X483" t="s">
        <v>9651</v>
      </c>
      <c r="Y483" t="s">
        <v>9652</v>
      </c>
      <c r="Z483" t="s">
        <v>9653</v>
      </c>
      <c r="AA483" t="s">
        <v>74</v>
      </c>
      <c r="AB483" t="s">
        <v>9654</v>
      </c>
      <c r="AC483" t="s">
        <v>9655</v>
      </c>
      <c r="AD483" t="s">
        <v>9656</v>
      </c>
      <c r="AE483" t="s">
        <v>9657</v>
      </c>
      <c r="AF483" t="s">
        <v>74</v>
      </c>
      <c r="AG483">
        <v>93</v>
      </c>
      <c r="AH483">
        <v>1</v>
      </c>
      <c r="AI483">
        <v>2</v>
      </c>
      <c r="AJ483">
        <v>0</v>
      </c>
      <c r="AK483">
        <v>6</v>
      </c>
      <c r="AL483" t="s">
        <v>3135</v>
      </c>
      <c r="AM483" t="s">
        <v>3136</v>
      </c>
      <c r="AN483" t="s">
        <v>3137</v>
      </c>
      <c r="AO483" t="s">
        <v>9658</v>
      </c>
      <c r="AP483" t="s">
        <v>9659</v>
      </c>
      <c r="AQ483" t="s">
        <v>74</v>
      </c>
      <c r="AR483" t="s">
        <v>9660</v>
      </c>
      <c r="AS483" t="s">
        <v>9661</v>
      </c>
      <c r="AT483" t="s">
        <v>9662</v>
      </c>
      <c r="AU483">
        <v>2021</v>
      </c>
      <c r="AV483">
        <v>43</v>
      </c>
      <c r="AW483">
        <v>2</v>
      </c>
      <c r="AX483" t="s">
        <v>74</v>
      </c>
      <c r="AY483" t="s">
        <v>74</v>
      </c>
      <c r="AZ483" t="s">
        <v>74</v>
      </c>
      <c r="BA483" t="s">
        <v>74</v>
      </c>
      <c r="BB483">
        <v>187</v>
      </c>
      <c r="BC483">
        <v>199</v>
      </c>
      <c r="BD483" t="s">
        <v>74</v>
      </c>
      <c r="BE483" t="s">
        <v>9663</v>
      </c>
      <c r="BF483" t="str">
        <f>HYPERLINK("http://dx.doi.org/10.2989/1814232X.2021.1901248","http://dx.doi.org/10.2989/1814232X.2021.1901248")</f>
        <v>http://dx.doi.org/10.2989/1814232X.2021.1901248</v>
      </c>
      <c r="BG483" t="s">
        <v>74</v>
      </c>
      <c r="BH483" t="s">
        <v>8134</v>
      </c>
      <c r="BI483">
        <v>13</v>
      </c>
      <c r="BJ483" t="s">
        <v>822</v>
      </c>
      <c r="BK483" t="s">
        <v>128</v>
      </c>
      <c r="BL483" t="s">
        <v>822</v>
      </c>
      <c r="BM483" t="s">
        <v>9664</v>
      </c>
      <c r="BN483" t="s">
        <v>74</v>
      </c>
      <c r="BO483" t="s">
        <v>408</v>
      </c>
      <c r="BP483" t="s">
        <v>74</v>
      </c>
      <c r="BQ483" t="s">
        <v>74</v>
      </c>
      <c r="BR483" t="s">
        <v>102</v>
      </c>
      <c r="BS483" t="s">
        <v>9665</v>
      </c>
      <c r="BT483" t="str">
        <f>HYPERLINK("https%3A%2F%2Fwww.webofscience.com%2Fwos%2Fwoscc%2Ffull-record%2FWOS:000662070900001","View Full Record in Web of Science")</f>
        <v>View Full Record in Web of Science</v>
      </c>
    </row>
    <row r="484" spans="1:72" x14ac:dyDescent="0.15">
      <c r="A484" t="s">
        <v>72</v>
      </c>
      <c r="B484" t="s">
        <v>9666</v>
      </c>
      <c r="C484" t="s">
        <v>74</v>
      </c>
      <c r="D484" t="s">
        <v>74</v>
      </c>
      <c r="E484" t="s">
        <v>74</v>
      </c>
      <c r="F484" t="s">
        <v>9667</v>
      </c>
      <c r="G484" t="s">
        <v>74</v>
      </c>
      <c r="H484" t="s">
        <v>74</v>
      </c>
      <c r="I484" t="s">
        <v>9668</v>
      </c>
      <c r="J484" t="s">
        <v>9669</v>
      </c>
      <c r="K484" t="s">
        <v>74</v>
      </c>
      <c r="L484" t="s">
        <v>74</v>
      </c>
      <c r="M484" t="s">
        <v>78</v>
      </c>
      <c r="N484" t="s">
        <v>79</v>
      </c>
      <c r="O484" t="s">
        <v>74</v>
      </c>
      <c r="P484" t="s">
        <v>74</v>
      </c>
      <c r="Q484" t="s">
        <v>74</v>
      </c>
      <c r="R484" t="s">
        <v>74</v>
      </c>
      <c r="S484" t="s">
        <v>74</v>
      </c>
      <c r="T484" t="s">
        <v>9670</v>
      </c>
      <c r="U484" t="s">
        <v>9671</v>
      </c>
      <c r="V484" t="s">
        <v>9672</v>
      </c>
      <c r="W484" t="s">
        <v>9673</v>
      </c>
      <c r="X484" t="s">
        <v>9674</v>
      </c>
      <c r="Y484" t="s">
        <v>9675</v>
      </c>
      <c r="Z484" t="s">
        <v>9676</v>
      </c>
      <c r="AA484" t="s">
        <v>74</v>
      </c>
      <c r="AB484" t="s">
        <v>9677</v>
      </c>
      <c r="AC484" t="s">
        <v>9678</v>
      </c>
      <c r="AD484" t="s">
        <v>9678</v>
      </c>
      <c r="AE484" t="s">
        <v>9679</v>
      </c>
      <c r="AF484" t="s">
        <v>74</v>
      </c>
      <c r="AG484">
        <v>57</v>
      </c>
      <c r="AH484">
        <v>3</v>
      </c>
      <c r="AI484">
        <v>3</v>
      </c>
      <c r="AJ484">
        <v>0</v>
      </c>
      <c r="AK484">
        <v>15</v>
      </c>
      <c r="AL484" t="s">
        <v>9680</v>
      </c>
      <c r="AM484" t="s">
        <v>629</v>
      </c>
      <c r="AN484" t="s">
        <v>9681</v>
      </c>
      <c r="AO484" t="s">
        <v>9682</v>
      </c>
      <c r="AP484" t="s">
        <v>74</v>
      </c>
      <c r="AQ484" t="s">
        <v>74</v>
      </c>
      <c r="AR484" t="s">
        <v>9683</v>
      </c>
      <c r="AS484" t="s">
        <v>9684</v>
      </c>
      <c r="AT484" t="s">
        <v>9562</v>
      </c>
      <c r="AU484">
        <v>2021</v>
      </c>
      <c r="AV484">
        <v>12</v>
      </c>
      <c r="AW484">
        <v>1</v>
      </c>
      <c r="AX484" t="s">
        <v>74</v>
      </c>
      <c r="AY484" t="s">
        <v>74</v>
      </c>
      <c r="AZ484" t="s">
        <v>74</v>
      </c>
      <c r="BA484" t="s">
        <v>74</v>
      </c>
      <c r="BB484" t="s">
        <v>74</v>
      </c>
      <c r="BC484" t="s">
        <v>74</v>
      </c>
      <c r="BD484">
        <v>32</v>
      </c>
      <c r="BE484" t="s">
        <v>9685</v>
      </c>
      <c r="BF484" t="str">
        <f>HYPERLINK("http://dx.doi.org/10.1186/s40657-021-00268-3","http://dx.doi.org/10.1186/s40657-021-00268-3")</f>
        <v>http://dx.doi.org/10.1186/s40657-021-00268-3</v>
      </c>
      <c r="BG484" t="s">
        <v>74</v>
      </c>
      <c r="BH484" t="s">
        <v>74</v>
      </c>
      <c r="BI484">
        <v>8</v>
      </c>
      <c r="BJ484" t="s">
        <v>2949</v>
      </c>
      <c r="BK484" t="s">
        <v>128</v>
      </c>
      <c r="BL484" t="s">
        <v>2197</v>
      </c>
      <c r="BM484" t="s">
        <v>9686</v>
      </c>
      <c r="BN484" t="s">
        <v>74</v>
      </c>
      <c r="BO484" t="s">
        <v>311</v>
      </c>
      <c r="BP484" t="s">
        <v>74</v>
      </c>
      <c r="BQ484" t="s">
        <v>74</v>
      </c>
      <c r="BR484" t="s">
        <v>102</v>
      </c>
      <c r="BS484" t="s">
        <v>9687</v>
      </c>
      <c r="BT484" t="str">
        <f>HYPERLINK("https%3A%2F%2Fwww.webofscience.com%2Fwos%2Fwoscc%2Ffull-record%2FWOS:000664531600002","View Full Record in Web of Science")</f>
        <v>View Full Record in Web of Science</v>
      </c>
    </row>
    <row r="485" spans="1:72" x14ac:dyDescent="0.15">
      <c r="A485" t="s">
        <v>72</v>
      </c>
      <c r="B485" t="s">
        <v>9688</v>
      </c>
      <c r="C485" t="s">
        <v>74</v>
      </c>
      <c r="D485" t="s">
        <v>74</v>
      </c>
      <c r="E485" t="s">
        <v>74</v>
      </c>
      <c r="F485" t="s">
        <v>9689</v>
      </c>
      <c r="G485" t="s">
        <v>74</v>
      </c>
      <c r="H485" t="s">
        <v>74</v>
      </c>
      <c r="I485" t="s">
        <v>9690</v>
      </c>
      <c r="J485" t="s">
        <v>2862</v>
      </c>
      <c r="K485" t="s">
        <v>74</v>
      </c>
      <c r="L485" t="s">
        <v>74</v>
      </c>
      <c r="M485" t="s">
        <v>78</v>
      </c>
      <c r="N485" t="s">
        <v>700</v>
      </c>
      <c r="O485" t="s">
        <v>74</v>
      </c>
      <c r="P485" t="s">
        <v>74</v>
      </c>
      <c r="Q485" t="s">
        <v>74</v>
      </c>
      <c r="R485" t="s">
        <v>74</v>
      </c>
      <c r="S485" t="s">
        <v>74</v>
      </c>
      <c r="T485" t="s">
        <v>9691</v>
      </c>
      <c r="U485" t="s">
        <v>9692</v>
      </c>
      <c r="V485" t="s">
        <v>9693</v>
      </c>
      <c r="W485" t="s">
        <v>9694</v>
      </c>
      <c r="X485" t="s">
        <v>9695</v>
      </c>
      <c r="Y485" t="s">
        <v>9696</v>
      </c>
      <c r="Z485" t="s">
        <v>9697</v>
      </c>
      <c r="AA485" t="s">
        <v>74</v>
      </c>
      <c r="AB485" t="s">
        <v>9698</v>
      </c>
      <c r="AC485" t="s">
        <v>9699</v>
      </c>
      <c r="AD485" t="s">
        <v>676</v>
      </c>
      <c r="AE485" t="s">
        <v>9700</v>
      </c>
      <c r="AF485" t="s">
        <v>74</v>
      </c>
      <c r="AG485">
        <v>161</v>
      </c>
      <c r="AH485">
        <v>1</v>
      </c>
      <c r="AI485">
        <v>1</v>
      </c>
      <c r="AJ485">
        <v>10</v>
      </c>
      <c r="AK485">
        <v>70</v>
      </c>
      <c r="AL485" t="s">
        <v>450</v>
      </c>
      <c r="AM485" t="s">
        <v>650</v>
      </c>
      <c r="AN485" t="s">
        <v>1957</v>
      </c>
      <c r="AO485" t="s">
        <v>2874</v>
      </c>
      <c r="AP485" t="s">
        <v>2875</v>
      </c>
      <c r="AQ485" t="s">
        <v>74</v>
      </c>
      <c r="AR485" t="s">
        <v>2876</v>
      </c>
      <c r="AS485" t="s">
        <v>2877</v>
      </c>
      <c r="AT485" t="s">
        <v>535</v>
      </c>
      <c r="AU485">
        <v>2021</v>
      </c>
      <c r="AV485">
        <v>44</v>
      </c>
      <c r="AW485">
        <v>8</v>
      </c>
      <c r="AX485" t="s">
        <v>74</v>
      </c>
      <c r="AY485" t="s">
        <v>74</v>
      </c>
      <c r="AZ485" t="s">
        <v>74</v>
      </c>
      <c r="BA485" t="s">
        <v>74</v>
      </c>
      <c r="BB485">
        <v>1467</v>
      </c>
      <c r="BC485">
        <v>1484</v>
      </c>
      <c r="BD485" t="s">
        <v>74</v>
      </c>
      <c r="BE485" t="s">
        <v>9701</v>
      </c>
      <c r="BF485" t="str">
        <f>HYPERLINK("http://dx.doi.org/10.1007/s00300-021-02896-3","http://dx.doi.org/10.1007/s00300-021-02896-3")</f>
        <v>http://dx.doi.org/10.1007/s00300-021-02896-3</v>
      </c>
      <c r="BG485" t="s">
        <v>74</v>
      </c>
      <c r="BH485" t="s">
        <v>8134</v>
      </c>
      <c r="BI485">
        <v>18</v>
      </c>
      <c r="BJ485" t="s">
        <v>1883</v>
      </c>
      <c r="BK485" t="s">
        <v>128</v>
      </c>
      <c r="BL485" t="s">
        <v>207</v>
      </c>
      <c r="BM485" t="s">
        <v>5619</v>
      </c>
      <c r="BN485" t="s">
        <v>74</v>
      </c>
      <c r="BO485" t="s">
        <v>291</v>
      </c>
      <c r="BP485" t="s">
        <v>74</v>
      </c>
      <c r="BQ485" t="s">
        <v>74</v>
      </c>
      <c r="BR485" t="s">
        <v>102</v>
      </c>
      <c r="BS485" t="s">
        <v>9702</v>
      </c>
      <c r="BT485" t="str">
        <f>HYPERLINK("https%3A%2F%2Fwww.webofscience.com%2Fwos%2Fwoscc%2Ffull-record%2FWOS:000663234200002","View Full Record in Web of Science")</f>
        <v>View Full Record in Web of Science</v>
      </c>
    </row>
    <row r="486" spans="1:72" x14ac:dyDescent="0.15">
      <c r="A486" t="s">
        <v>72</v>
      </c>
      <c r="B486" t="s">
        <v>9703</v>
      </c>
      <c r="C486" t="s">
        <v>74</v>
      </c>
      <c r="D486" t="s">
        <v>74</v>
      </c>
      <c r="E486" t="s">
        <v>74</v>
      </c>
      <c r="F486" t="s">
        <v>9704</v>
      </c>
      <c r="G486" t="s">
        <v>74</v>
      </c>
      <c r="H486" t="s">
        <v>74</v>
      </c>
      <c r="I486" t="s">
        <v>9705</v>
      </c>
      <c r="J486" t="s">
        <v>5403</v>
      </c>
      <c r="K486" t="s">
        <v>74</v>
      </c>
      <c r="L486" t="s">
        <v>74</v>
      </c>
      <c r="M486" t="s">
        <v>78</v>
      </c>
      <c r="N486" t="s">
        <v>700</v>
      </c>
      <c r="O486" t="s">
        <v>74</v>
      </c>
      <c r="P486" t="s">
        <v>74</v>
      </c>
      <c r="Q486" t="s">
        <v>74</v>
      </c>
      <c r="R486" t="s">
        <v>74</v>
      </c>
      <c r="S486" t="s">
        <v>74</v>
      </c>
      <c r="T486" t="s">
        <v>9706</v>
      </c>
      <c r="U486" t="s">
        <v>9707</v>
      </c>
      <c r="V486" t="s">
        <v>9708</v>
      </c>
      <c r="W486" t="s">
        <v>9709</v>
      </c>
      <c r="X486" t="s">
        <v>2640</v>
      </c>
      <c r="Y486" t="s">
        <v>9710</v>
      </c>
      <c r="Z486" t="s">
        <v>9711</v>
      </c>
      <c r="AA486" t="s">
        <v>9712</v>
      </c>
      <c r="AB486" t="s">
        <v>9713</v>
      </c>
      <c r="AC486" t="s">
        <v>9714</v>
      </c>
      <c r="AD486" t="s">
        <v>9714</v>
      </c>
      <c r="AE486" t="s">
        <v>9715</v>
      </c>
      <c r="AF486" t="s">
        <v>74</v>
      </c>
      <c r="AG486">
        <v>110</v>
      </c>
      <c r="AH486">
        <v>3</v>
      </c>
      <c r="AI486">
        <v>3</v>
      </c>
      <c r="AJ486">
        <v>0</v>
      </c>
      <c r="AK486">
        <v>1</v>
      </c>
      <c r="AL486" t="s">
        <v>2190</v>
      </c>
      <c r="AM486" t="s">
        <v>228</v>
      </c>
      <c r="AN486" t="s">
        <v>2191</v>
      </c>
      <c r="AO486" t="s">
        <v>5416</v>
      </c>
      <c r="AP486" t="s">
        <v>5417</v>
      </c>
      <c r="AQ486" t="s">
        <v>74</v>
      </c>
      <c r="AR486" t="s">
        <v>5418</v>
      </c>
      <c r="AS486" t="s">
        <v>5419</v>
      </c>
      <c r="AT486" t="s">
        <v>402</v>
      </c>
      <c r="AU486">
        <v>2021</v>
      </c>
      <c r="AV486">
        <v>78</v>
      </c>
      <c r="AW486">
        <v>6</v>
      </c>
      <c r="AX486" t="s">
        <v>74</v>
      </c>
      <c r="AY486" t="s">
        <v>74</v>
      </c>
      <c r="AZ486" t="s">
        <v>74</v>
      </c>
      <c r="BA486" t="s">
        <v>74</v>
      </c>
      <c r="BB486">
        <v>1935</v>
      </c>
      <c r="BC486">
        <v>1942</v>
      </c>
      <c r="BD486" t="s">
        <v>74</v>
      </c>
      <c r="BE486" t="s">
        <v>9716</v>
      </c>
      <c r="BF486" t="str">
        <f>HYPERLINK("http://dx.doi.org/10.1093/icesjms/fsab046","http://dx.doi.org/10.1093/icesjms/fsab046")</f>
        <v>http://dx.doi.org/10.1093/icesjms/fsab046</v>
      </c>
      <c r="BG486" t="s">
        <v>74</v>
      </c>
      <c r="BH486" t="s">
        <v>8134</v>
      </c>
      <c r="BI486">
        <v>8</v>
      </c>
      <c r="BJ486" t="s">
        <v>2856</v>
      </c>
      <c r="BK486" t="s">
        <v>128</v>
      </c>
      <c r="BL486" t="s">
        <v>2856</v>
      </c>
      <c r="BM486" t="s">
        <v>9717</v>
      </c>
      <c r="BN486" t="s">
        <v>74</v>
      </c>
      <c r="BO486" t="s">
        <v>661</v>
      </c>
      <c r="BP486" t="s">
        <v>74</v>
      </c>
      <c r="BQ486" t="s">
        <v>74</v>
      </c>
      <c r="BR486" t="s">
        <v>102</v>
      </c>
      <c r="BS486" t="s">
        <v>9718</v>
      </c>
      <c r="BT486" t="str">
        <f>HYPERLINK("https%3A%2F%2Fwww.webofscience.com%2Fwos%2Fwoscc%2Ffull-record%2FWOS:000705457300001","View Full Record in Web of Science")</f>
        <v>View Full Record in Web of Science</v>
      </c>
    </row>
    <row r="487" spans="1:72" x14ac:dyDescent="0.15">
      <c r="A487" t="s">
        <v>72</v>
      </c>
      <c r="B487" t="s">
        <v>9719</v>
      </c>
      <c r="C487" t="s">
        <v>74</v>
      </c>
      <c r="D487" t="s">
        <v>74</v>
      </c>
      <c r="E487" t="s">
        <v>74</v>
      </c>
      <c r="F487" t="s">
        <v>9720</v>
      </c>
      <c r="G487" t="s">
        <v>74</v>
      </c>
      <c r="H487" t="s">
        <v>74</v>
      </c>
      <c r="I487" t="s">
        <v>9721</v>
      </c>
      <c r="J487" t="s">
        <v>9722</v>
      </c>
      <c r="K487" t="s">
        <v>74</v>
      </c>
      <c r="L487" t="s">
        <v>74</v>
      </c>
      <c r="M487" t="s">
        <v>78</v>
      </c>
      <c r="N487" t="s">
        <v>79</v>
      </c>
      <c r="O487" t="s">
        <v>74</v>
      </c>
      <c r="P487" t="s">
        <v>74</v>
      </c>
      <c r="Q487" t="s">
        <v>74</v>
      </c>
      <c r="R487" t="s">
        <v>74</v>
      </c>
      <c r="S487" t="s">
        <v>74</v>
      </c>
      <c r="T487" t="s">
        <v>9723</v>
      </c>
      <c r="U487" t="s">
        <v>9724</v>
      </c>
      <c r="V487" t="s">
        <v>9725</v>
      </c>
      <c r="W487" t="s">
        <v>9726</v>
      </c>
      <c r="X487" t="s">
        <v>6875</v>
      </c>
      <c r="Y487" t="s">
        <v>9727</v>
      </c>
      <c r="Z487" t="s">
        <v>9728</v>
      </c>
      <c r="AA487" t="s">
        <v>74</v>
      </c>
      <c r="AB487" t="s">
        <v>9729</v>
      </c>
      <c r="AC487" t="s">
        <v>9730</v>
      </c>
      <c r="AD487" t="s">
        <v>9731</v>
      </c>
      <c r="AE487" t="s">
        <v>9732</v>
      </c>
      <c r="AF487" t="s">
        <v>74</v>
      </c>
      <c r="AG487">
        <v>47</v>
      </c>
      <c r="AH487">
        <v>2</v>
      </c>
      <c r="AI487">
        <v>2</v>
      </c>
      <c r="AJ487">
        <v>0</v>
      </c>
      <c r="AK487">
        <v>11</v>
      </c>
      <c r="AL487" t="s">
        <v>89</v>
      </c>
      <c r="AM487" t="s">
        <v>90</v>
      </c>
      <c r="AN487" t="s">
        <v>4000</v>
      </c>
      <c r="AO487" t="s">
        <v>9733</v>
      </c>
      <c r="AP487" t="s">
        <v>74</v>
      </c>
      <c r="AQ487" t="s">
        <v>74</v>
      </c>
      <c r="AR487" t="s">
        <v>9734</v>
      </c>
      <c r="AS487" t="s">
        <v>9735</v>
      </c>
      <c r="AT487" t="s">
        <v>535</v>
      </c>
      <c r="AU487">
        <v>2021</v>
      </c>
      <c r="AV487">
        <v>23</v>
      </c>
      <c r="AW487" t="s">
        <v>74</v>
      </c>
      <c r="AX487" t="s">
        <v>74</v>
      </c>
      <c r="AY487" t="s">
        <v>74</v>
      </c>
      <c r="AZ487" t="s">
        <v>74</v>
      </c>
      <c r="BA487" t="s">
        <v>74</v>
      </c>
      <c r="BB487" t="s">
        <v>74</v>
      </c>
      <c r="BC487" t="s">
        <v>74</v>
      </c>
      <c r="BD487">
        <v>100558</v>
      </c>
      <c r="BE487" t="s">
        <v>9736</v>
      </c>
      <c r="BF487" t="str">
        <f>HYPERLINK("http://dx.doi.org/10.1016/j.rsase.2021.100558","http://dx.doi.org/10.1016/j.rsase.2021.100558")</f>
        <v>http://dx.doi.org/10.1016/j.rsase.2021.100558</v>
      </c>
      <c r="BG487" t="s">
        <v>74</v>
      </c>
      <c r="BH487" t="s">
        <v>8134</v>
      </c>
      <c r="BI487">
        <v>10</v>
      </c>
      <c r="BJ487" t="s">
        <v>3853</v>
      </c>
      <c r="BK487" t="s">
        <v>1819</v>
      </c>
      <c r="BL487" t="s">
        <v>2654</v>
      </c>
      <c r="BM487" t="s">
        <v>9737</v>
      </c>
      <c r="BN487" t="s">
        <v>74</v>
      </c>
      <c r="BO487" t="s">
        <v>74</v>
      </c>
      <c r="BP487" t="s">
        <v>74</v>
      </c>
      <c r="BQ487" t="s">
        <v>74</v>
      </c>
      <c r="BR487" t="s">
        <v>102</v>
      </c>
      <c r="BS487" t="s">
        <v>9738</v>
      </c>
      <c r="BT487" t="str">
        <f>HYPERLINK("https%3A%2F%2Fwww.webofscience.com%2Fwos%2Fwoscc%2Ffull-record%2FWOS:000687316700002","View Full Record in Web of Science")</f>
        <v>View Full Record in Web of Science</v>
      </c>
    </row>
    <row r="488" spans="1:72" x14ac:dyDescent="0.15">
      <c r="A488" t="s">
        <v>72</v>
      </c>
      <c r="B488" t="s">
        <v>9739</v>
      </c>
      <c r="C488" t="s">
        <v>74</v>
      </c>
      <c r="D488" t="s">
        <v>74</v>
      </c>
      <c r="E488" t="s">
        <v>74</v>
      </c>
      <c r="F488" t="s">
        <v>9740</v>
      </c>
      <c r="G488" t="s">
        <v>74</v>
      </c>
      <c r="H488" t="s">
        <v>74</v>
      </c>
      <c r="I488" t="s">
        <v>9741</v>
      </c>
      <c r="J488" t="s">
        <v>3491</v>
      </c>
      <c r="K488" t="s">
        <v>74</v>
      </c>
      <c r="L488" t="s">
        <v>74</v>
      </c>
      <c r="M488" t="s">
        <v>78</v>
      </c>
      <c r="N488" t="s">
        <v>79</v>
      </c>
      <c r="O488" t="s">
        <v>74</v>
      </c>
      <c r="P488" t="s">
        <v>74</v>
      </c>
      <c r="Q488" t="s">
        <v>74</v>
      </c>
      <c r="R488" t="s">
        <v>74</v>
      </c>
      <c r="S488" t="s">
        <v>74</v>
      </c>
      <c r="T488" t="s">
        <v>9742</v>
      </c>
      <c r="U488" t="s">
        <v>9743</v>
      </c>
      <c r="V488" t="s">
        <v>9744</v>
      </c>
      <c r="W488" t="s">
        <v>9745</v>
      </c>
      <c r="X488" t="s">
        <v>9746</v>
      </c>
      <c r="Y488" t="s">
        <v>9747</v>
      </c>
      <c r="Z488" t="s">
        <v>9748</v>
      </c>
      <c r="AA488" t="s">
        <v>9749</v>
      </c>
      <c r="AB488" t="s">
        <v>9750</v>
      </c>
      <c r="AC488" t="s">
        <v>9751</v>
      </c>
      <c r="AD488" t="s">
        <v>9751</v>
      </c>
      <c r="AE488" t="s">
        <v>9752</v>
      </c>
      <c r="AF488" t="s">
        <v>74</v>
      </c>
      <c r="AG488">
        <v>122</v>
      </c>
      <c r="AH488">
        <v>7</v>
      </c>
      <c r="AI488">
        <v>7</v>
      </c>
      <c r="AJ488">
        <v>1</v>
      </c>
      <c r="AK488">
        <v>2</v>
      </c>
      <c r="AL488" t="s">
        <v>89</v>
      </c>
      <c r="AM488" t="s">
        <v>90</v>
      </c>
      <c r="AN488" t="s">
        <v>91</v>
      </c>
      <c r="AO488" t="s">
        <v>3504</v>
      </c>
      <c r="AP488" t="s">
        <v>3505</v>
      </c>
      <c r="AQ488" t="s">
        <v>74</v>
      </c>
      <c r="AR488" t="s">
        <v>3506</v>
      </c>
      <c r="AS488" t="s">
        <v>3507</v>
      </c>
      <c r="AT488" t="s">
        <v>3746</v>
      </c>
      <c r="AU488">
        <v>2021</v>
      </c>
      <c r="AV488">
        <v>576</v>
      </c>
      <c r="AW488" t="s">
        <v>74</v>
      </c>
      <c r="AX488" t="s">
        <v>74</v>
      </c>
      <c r="AY488" t="s">
        <v>74</v>
      </c>
      <c r="AZ488" t="s">
        <v>74</v>
      </c>
      <c r="BA488" t="s">
        <v>74</v>
      </c>
      <c r="BB488" t="s">
        <v>74</v>
      </c>
      <c r="BC488" t="s">
        <v>74</v>
      </c>
      <c r="BD488">
        <v>110501</v>
      </c>
      <c r="BE488" t="s">
        <v>9753</v>
      </c>
      <c r="BF488" t="str">
        <f>HYPERLINK("http://dx.doi.org/10.1016/j.palaeo.2021.110501","http://dx.doi.org/10.1016/j.palaeo.2021.110501")</f>
        <v>http://dx.doi.org/10.1016/j.palaeo.2021.110501</v>
      </c>
      <c r="BG488" t="s">
        <v>74</v>
      </c>
      <c r="BH488" t="s">
        <v>8134</v>
      </c>
      <c r="BI488">
        <v>17</v>
      </c>
      <c r="BJ488" t="s">
        <v>3509</v>
      </c>
      <c r="BK488" t="s">
        <v>128</v>
      </c>
      <c r="BL488" t="s">
        <v>3510</v>
      </c>
      <c r="BM488" t="s">
        <v>9754</v>
      </c>
      <c r="BN488" t="s">
        <v>74</v>
      </c>
      <c r="BO488" t="s">
        <v>2514</v>
      </c>
      <c r="BP488" t="s">
        <v>74</v>
      </c>
      <c r="BQ488" t="s">
        <v>74</v>
      </c>
      <c r="BR488" t="s">
        <v>102</v>
      </c>
      <c r="BS488" t="s">
        <v>9755</v>
      </c>
      <c r="BT488" t="str">
        <f>HYPERLINK("https%3A%2F%2Fwww.webofscience.com%2Fwos%2Fwoscc%2Ffull-record%2FWOS:000668458200005","View Full Record in Web of Science")</f>
        <v>View Full Record in Web of Science</v>
      </c>
    </row>
    <row r="489" spans="1:72" x14ac:dyDescent="0.15">
      <c r="A489" t="s">
        <v>72</v>
      </c>
      <c r="B489" t="s">
        <v>9756</v>
      </c>
      <c r="C489" t="s">
        <v>74</v>
      </c>
      <c r="D489" t="s">
        <v>74</v>
      </c>
      <c r="E489" t="s">
        <v>74</v>
      </c>
      <c r="F489" t="s">
        <v>9757</v>
      </c>
      <c r="G489" t="s">
        <v>74</v>
      </c>
      <c r="H489" t="s">
        <v>9758</v>
      </c>
      <c r="I489" t="s">
        <v>9759</v>
      </c>
      <c r="J489" t="s">
        <v>3729</v>
      </c>
      <c r="K489" t="s">
        <v>74</v>
      </c>
      <c r="L489" t="s">
        <v>74</v>
      </c>
      <c r="M489" t="s">
        <v>78</v>
      </c>
      <c r="N489" t="s">
        <v>79</v>
      </c>
      <c r="O489" t="s">
        <v>74</v>
      </c>
      <c r="P489" t="s">
        <v>74</v>
      </c>
      <c r="Q489" t="s">
        <v>74</v>
      </c>
      <c r="R489" t="s">
        <v>74</v>
      </c>
      <c r="S489" t="s">
        <v>74</v>
      </c>
      <c r="T489" t="s">
        <v>9760</v>
      </c>
      <c r="U489" t="s">
        <v>9761</v>
      </c>
      <c r="V489" t="s">
        <v>9762</v>
      </c>
      <c r="W489" t="s">
        <v>9763</v>
      </c>
      <c r="X489" t="s">
        <v>9764</v>
      </c>
      <c r="Y489" t="s">
        <v>9765</v>
      </c>
      <c r="Z489" t="s">
        <v>9766</v>
      </c>
      <c r="AA489" t="s">
        <v>9767</v>
      </c>
      <c r="AB489" t="s">
        <v>9768</v>
      </c>
      <c r="AC489" t="s">
        <v>9769</v>
      </c>
      <c r="AD489" t="s">
        <v>9770</v>
      </c>
      <c r="AE489" t="s">
        <v>9771</v>
      </c>
      <c r="AF489" t="s">
        <v>74</v>
      </c>
      <c r="AG489">
        <v>117</v>
      </c>
      <c r="AH489">
        <v>3</v>
      </c>
      <c r="AI489">
        <v>3</v>
      </c>
      <c r="AJ489">
        <v>1</v>
      </c>
      <c r="AK489">
        <v>3</v>
      </c>
      <c r="AL489" t="s">
        <v>281</v>
      </c>
      <c r="AM489" t="s">
        <v>228</v>
      </c>
      <c r="AN489" t="s">
        <v>282</v>
      </c>
      <c r="AO489" t="s">
        <v>3742</v>
      </c>
      <c r="AP489" t="s">
        <v>3743</v>
      </c>
      <c r="AQ489" t="s">
        <v>74</v>
      </c>
      <c r="AR489" t="s">
        <v>3744</v>
      </c>
      <c r="AS489" t="s">
        <v>3745</v>
      </c>
      <c r="AT489" t="s">
        <v>4241</v>
      </c>
      <c r="AU489">
        <v>2021</v>
      </c>
      <c r="AV489">
        <v>264</v>
      </c>
      <c r="AW489" t="s">
        <v>74</v>
      </c>
      <c r="AX489" t="s">
        <v>74</v>
      </c>
      <c r="AY489" t="s">
        <v>74</v>
      </c>
      <c r="AZ489" t="s">
        <v>74</v>
      </c>
      <c r="BA489" t="s">
        <v>74</v>
      </c>
      <c r="BB489" t="s">
        <v>74</v>
      </c>
      <c r="BC489" t="s">
        <v>74</v>
      </c>
      <c r="BD489">
        <v>107029</v>
      </c>
      <c r="BE489" t="s">
        <v>9772</v>
      </c>
      <c r="BF489" t="str">
        <f>HYPERLINK("http://dx.doi.org/10.1016/j.quascirev.2021.107029","http://dx.doi.org/10.1016/j.quascirev.2021.107029")</f>
        <v>http://dx.doi.org/10.1016/j.quascirev.2021.107029</v>
      </c>
      <c r="BG489" t="s">
        <v>74</v>
      </c>
      <c r="BH489" t="s">
        <v>8134</v>
      </c>
      <c r="BI489">
        <v>18</v>
      </c>
      <c r="BJ489" t="s">
        <v>151</v>
      </c>
      <c r="BK489" t="s">
        <v>128</v>
      </c>
      <c r="BL489" t="s">
        <v>152</v>
      </c>
      <c r="BM489" t="s">
        <v>9773</v>
      </c>
      <c r="BN489" t="s">
        <v>74</v>
      </c>
      <c r="BO489" t="s">
        <v>1154</v>
      </c>
      <c r="BP489" t="s">
        <v>74</v>
      </c>
      <c r="BQ489" t="s">
        <v>74</v>
      </c>
      <c r="BR489" t="s">
        <v>102</v>
      </c>
      <c r="BS489" t="s">
        <v>9774</v>
      </c>
      <c r="BT489" t="str">
        <f>HYPERLINK("https%3A%2F%2Fwww.webofscience.com%2Fwos%2Fwoscc%2Ffull-record%2FWOS:000674619500008","View Full Record in Web of Science")</f>
        <v>View Full Record in Web of Science</v>
      </c>
    </row>
    <row r="490" spans="1:72" x14ac:dyDescent="0.15">
      <c r="A490" t="s">
        <v>72</v>
      </c>
      <c r="B490" t="s">
        <v>9775</v>
      </c>
      <c r="C490" t="s">
        <v>74</v>
      </c>
      <c r="D490" t="s">
        <v>74</v>
      </c>
      <c r="E490" t="s">
        <v>74</v>
      </c>
      <c r="F490" t="s">
        <v>9776</v>
      </c>
      <c r="G490" t="s">
        <v>74</v>
      </c>
      <c r="H490" t="s">
        <v>74</v>
      </c>
      <c r="I490" t="s">
        <v>9777</v>
      </c>
      <c r="J490" t="s">
        <v>77</v>
      </c>
      <c r="K490" t="s">
        <v>74</v>
      </c>
      <c r="L490" t="s">
        <v>74</v>
      </c>
      <c r="M490" t="s">
        <v>78</v>
      </c>
      <c r="N490" t="s">
        <v>79</v>
      </c>
      <c r="O490" t="s">
        <v>74</v>
      </c>
      <c r="P490" t="s">
        <v>74</v>
      </c>
      <c r="Q490" t="s">
        <v>74</v>
      </c>
      <c r="R490" t="s">
        <v>74</v>
      </c>
      <c r="S490" t="s">
        <v>74</v>
      </c>
      <c r="T490" t="s">
        <v>9778</v>
      </c>
      <c r="U490" t="s">
        <v>9779</v>
      </c>
      <c r="V490" t="s">
        <v>9780</v>
      </c>
      <c r="W490" t="s">
        <v>9781</v>
      </c>
      <c r="X490" t="s">
        <v>9782</v>
      </c>
      <c r="Y490" t="s">
        <v>9783</v>
      </c>
      <c r="Z490" t="s">
        <v>9784</v>
      </c>
      <c r="AA490" t="s">
        <v>9785</v>
      </c>
      <c r="AB490" t="s">
        <v>9786</v>
      </c>
      <c r="AC490" t="s">
        <v>74</v>
      </c>
      <c r="AD490" t="s">
        <v>74</v>
      </c>
      <c r="AE490" t="s">
        <v>74</v>
      </c>
      <c r="AF490" t="s">
        <v>74</v>
      </c>
      <c r="AG490">
        <v>61</v>
      </c>
      <c r="AH490">
        <v>8</v>
      </c>
      <c r="AI490">
        <v>8</v>
      </c>
      <c r="AJ490">
        <v>0</v>
      </c>
      <c r="AK490">
        <v>4</v>
      </c>
      <c r="AL490" t="s">
        <v>89</v>
      </c>
      <c r="AM490" t="s">
        <v>90</v>
      </c>
      <c r="AN490" t="s">
        <v>91</v>
      </c>
      <c r="AO490" t="s">
        <v>92</v>
      </c>
      <c r="AP490" t="s">
        <v>93</v>
      </c>
      <c r="AQ490" t="s">
        <v>74</v>
      </c>
      <c r="AR490" t="s">
        <v>94</v>
      </c>
      <c r="AS490" t="s">
        <v>95</v>
      </c>
      <c r="AT490" t="s">
        <v>204</v>
      </c>
      <c r="AU490">
        <v>2021</v>
      </c>
      <c r="AV490">
        <v>242</v>
      </c>
      <c r="AW490" t="s">
        <v>74</v>
      </c>
      <c r="AX490" t="s">
        <v>74</v>
      </c>
      <c r="AY490" t="s">
        <v>74</v>
      </c>
      <c r="AZ490" t="s">
        <v>74</v>
      </c>
      <c r="BA490" t="s">
        <v>74</v>
      </c>
      <c r="BB490" t="s">
        <v>74</v>
      </c>
      <c r="BC490" t="s">
        <v>74</v>
      </c>
      <c r="BD490">
        <v>106044</v>
      </c>
      <c r="BE490" t="s">
        <v>9787</v>
      </c>
      <c r="BF490" t="str">
        <f>HYPERLINK("http://dx.doi.org/10.1016/j.fishres.2021.106044","http://dx.doi.org/10.1016/j.fishres.2021.106044")</f>
        <v>http://dx.doi.org/10.1016/j.fishres.2021.106044</v>
      </c>
      <c r="BG490" t="s">
        <v>74</v>
      </c>
      <c r="BH490" t="s">
        <v>8134</v>
      </c>
      <c r="BI490">
        <v>19</v>
      </c>
      <c r="BJ490" t="s">
        <v>99</v>
      </c>
      <c r="BK490" t="s">
        <v>128</v>
      </c>
      <c r="BL490" t="s">
        <v>99</v>
      </c>
      <c r="BM490" t="s">
        <v>9788</v>
      </c>
      <c r="BN490" t="s">
        <v>74</v>
      </c>
      <c r="BO490" t="s">
        <v>74</v>
      </c>
      <c r="BP490" t="s">
        <v>74</v>
      </c>
      <c r="BQ490" t="s">
        <v>74</v>
      </c>
      <c r="BR490" t="s">
        <v>102</v>
      </c>
      <c r="BS490" t="s">
        <v>9789</v>
      </c>
      <c r="BT490" t="str">
        <f>HYPERLINK("https%3A%2F%2Fwww.webofscience.com%2Fwos%2Fwoscc%2Ffull-record%2FWOS:000677461300004","View Full Record in Web of Science")</f>
        <v>View Full Record in Web of Science</v>
      </c>
    </row>
    <row r="491" spans="1:72" x14ac:dyDescent="0.15">
      <c r="A491" t="s">
        <v>72</v>
      </c>
      <c r="B491" t="s">
        <v>9790</v>
      </c>
      <c r="C491" t="s">
        <v>74</v>
      </c>
      <c r="D491" t="s">
        <v>74</v>
      </c>
      <c r="E491" t="s">
        <v>74</v>
      </c>
      <c r="F491" t="s">
        <v>9791</v>
      </c>
      <c r="G491" t="s">
        <v>74</v>
      </c>
      <c r="H491" t="s">
        <v>74</v>
      </c>
      <c r="I491" t="s">
        <v>9792</v>
      </c>
      <c r="J491" t="s">
        <v>4226</v>
      </c>
      <c r="K491" t="s">
        <v>74</v>
      </c>
      <c r="L491" t="s">
        <v>74</v>
      </c>
      <c r="M491" t="s">
        <v>78</v>
      </c>
      <c r="N491" t="s">
        <v>79</v>
      </c>
      <c r="O491" t="s">
        <v>74</v>
      </c>
      <c r="P491" t="s">
        <v>74</v>
      </c>
      <c r="Q491" t="s">
        <v>74</v>
      </c>
      <c r="R491" t="s">
        <v>74</v>
      </c>
      <c r="S491" t="s">
        <v>74</v>
      </c>
      <c r="T491" t="s">
        <v>9793</v>
      </c>
      <c r="U491" t="s">
        <v>9794</v>
      </c>
      <c r="V491" t="s">
        <v>9795</v>
      </c>
      <c r="W491" t="s">
        <v>9796</v>
      </c>
      <c r="X491" t="s">
        <v>9797</v>
      </c>
      <c r="Y491" t="s">
        <v>9798</v>
      </c>
      <c r="Z491" t="s">
        <v>9799</v>
      </c>
      <c r="AA491" t="s">
        <v>9800</v>
      </c>
      <c r="AB491" t="s">
        <v>9801</v>
      </c>
      <c r="AC491" t="s">
        <v>9802</v>
      </c>
      <c r="AD491" t="s">
        <v>9803</v>
      </c>
      <c r="AE491" t="s">
        <v>9804</v>
      </c>
      <c r="AF491" t="s">
        <v>74</v>
      </c>
      <c r="AG491">
        <v>129</v>
      </c>
      <c r="AH491">
        <v>6</v>
      </c>
      <c r="AI491">
        <v>6</v>
      </c>
      <c r="AJ491">
        <v>4</v>
      </c>
      <c r="AK491">
        <v>22</v>
      </c>
      <c r="AL491" t="s">
        <v>119</v>
      </c>
      <c r="AM491" t="s">
        <v>120</v>
      </c>
      <c r="AN491" t="s">
        <v>121</v>
      </c>
      <c r="AO491" t="s">
        <v>74</v>
      </c>
      <c r="AP491" t="s">
        <v>4238</v>
      </c>
      <c r="AQ491" t="s">
        <v>74</v>
      </c>
      <c r="AR491" t="s">
        <v>4239</v>
      </c>
      <c r="AS491" t="s">
        <v>4240</v>
      </c>
      <c r="AT491" t="s">
        <v>9805</v>
      </c>
      <c r="AU491">
        <v>2021</v>
      </c>
      <c r="AV491">
        <v>9</v>
      </c>
      <c r="AW491" t="s">
        <v>74</v>
      </c>
      <c r="AX491" t="s">
        <v>74</v>
      </c>
      <c r="AY491" t="s">
        <v>74</v>
      </c>
      <c r="AZ491" t="s">
        <v>74</v>
      </c>
      <c r="BA491" t="s">
        <v>74</v>
      </c>
      <c r="BB491" t="s">
        <v>74</v>
      </c>
      <c r="BC491" t="s">
        <v>74</v>
      </c>
      <c r="BD491">
        <v>579198</v>
      </c>
      <c r="BE491" t="s">
        <v>9806</v>
      </c>
      <c r="BF491" t="str">
        <f>HYPERLINK("http://dx.doi.org/10.3389/feart.2021.579198","http://dx.doi.org/10.3389/feart.2021.579198")</f>
        <v>http://dx.doi.org/10.3389/feart.2021.579198</v>
      </c>
      <c r="BG491" t="s">
        <v>74</v>
      </c>
      <c r="BH491" t="s">
        <v>74</v>
      </c>
      <c r="BI491">
        <v>15</v>
      </c>
      <c r="BJ491" t="s">
        <v>405</v>
      </c>
      <c r="BK491" t="s">
        <v>128</v>
      </c>
      <c r="BL491" t="s">
        <v>406</v>
      </c>
      <c r="BM491" t="s">
        <v>9807</v>
      </c>
      <c r="BN491" t="s">
        <v>74</v>
      </c>
      <c r="BO491" t="s">
        <v>7792</v>
      </c>
      <c r="BP491" t="s">
        <v>74</v>
      </c>
      <c r="BQ491" t="s">
        <v>74</v>
      </c>
      <c r="BR491" t="s">
        <v>102</v>
      </c>
      <c r="BS491" t="s">
        <v>9808</v>
      </c>
      <c r="BT491" t="str">
        <f>HYPERLINK("https%3A%2F%2Fwww.webofscience.com%2Fwos%2Fwoscc%2Ffull-record%2FWOS:000668344200001","View Full Record in Web of Science")</f>
        <v>View Full Record in Web of Science</v>
      </c>
    </row>
    <row r="492" spans="1:72" x14ac:dyDescent="0.15">
      <c r="A492" t="s">
        <v>72</v>
      </c>
      <c r="B492" t="s">
        <v>9809</v>
      </c>
      <c r="C492" t="s">
        <v>74</v>
      </c>
      <c r="D492" t="s">
        <v>74</v>
      </c>
      <c r="E492" t="s">
        <v>74</v>
      </c>
      <c r="F492" t="s">
        <v>9810</v>
      </c>
      <c r="G492" t="s">
        <v>74</v>
      </c>
      <c r="H492" t="s">
        <v>74</v>
      </c>
      <c r="I492" t="s">
        <v>9811</v>
      </c>
      <c r="J492" t="s">
        <v>107</v>
      </c>
      <c r="K492" t="s">
        <v>74</v>
      </c>
      <c r="L492" t="s">
        <v>74</v>
      </c>
      <c r="M492" t="s">
        <v>78</v>
      </c>
      <c r="N492" t="s">
        <v>79</v>
      </c>
      <c r="O492" t="s">
        <v>74</v>
      </c>
      <c r="P492" t="s">
        <v>74</v>
      </c>
      <c r="Q492" t="s">
        <v>74</v>
      </c>
      <c r="R492" t="s">
        <v>74</v>
      </c>
      <c r="S492" t="s">
        <v>74</v>
      </c>
      <c r="T492" t="s">
        <v>9812</v>
      </c>
      <c r="U492" t="s">
        <v>9813</v>
      </c>
      <c r="V492" t="s">
        <v>9814</v>
      </c>
      <c r="W492" t="s">
        <v>9815</v>
      </c>
      <c r="X492" t="s">
        <v>9816</v>
      </c>
      <c r="Y492" t="s">
        <v>9817</v>
      </c>
      <c r="Z492" t="s">
        <v>9818</v>
      </c>
      <c r="AA492" t="s">
        <v>9819</v>
      </c>
      <c r="AB492" t="s">
        <v>9820</v>
      </c>
      <c r="AC492" t="s">
        <v>9821</v>
      </c>
      <c r="AD492" t="s">
        <v>9822</v>
      </c>
      <c r="AE492" t="s">
        <v>9823</v>
      </c>
      <c r="AF492" t="s">
        <v>74</v>
      </c>
      <c r="AG492">
        <v>65</v>
      </c>
      <c r="AH492">
        <v>6</v>
      </c>
      <c r="AI492">
        <v>7</v>
      </c>
      <c r="AJ492">
        <v>2</v>
      </c>
      <c r="AK492">
        <v>9</v>
      </c>
      <c r="AL492" t="s">
        <v>119</v>
      </c>
      <c r="AM492" t="s">
        <v>120</v>
      </c>
      <c r="AN492" t="s">
        <v>121</v>
      </c>
      <c r="AO492" t="s">
        <v>74</v>
      </c>
      <c r="AP492" t="s">
        <v>122</v>
      </c>
      <c r="AQ492" t="s">
        <v>74</v>
      </c>
      <c r="AR492" t="s">
        <v>123</v>
      </c>
      <c r="AS492" t="s">
        <v>124</v>
      </c>
      <c r="AT492" t="s">
        <v>9805</v>
      </c>
      <c r="AU492">
        <v>2021</v>
      </c>
      <c r="AV492">
        <v>8</v>
      </c>
      <c r="AW492" t="s">
        <v>74</v>
      </c>
      <c r="AX492" t="s">
        <v>74</v>
      </c>
      <c r="AY492" t="s">
        <v>74</v>
      </c>
      <c r="AZ492" t="s">
        <v>74</v>
      </c>
      <c r="BA492" t="s">
        <v>74</v>
      </c>
      <c r="BB492" t="s">
        <v>74</v>
      </c>
      <c r="BC492" t="s">
        <v>74</v>
      </c>
      <c r="BD492">
        <v>663278</v>
      </c>
      <c r="BE492" t="s">
        <v>9824</v>
      </c>
      <c r="BF492" t="str">
        <f>HYPERLINK("http://dx.doi.org/10.3389/fmars.2021.663278","http://dx.doi.org/10.3389/fmars.2021.663278")</f>
        <v>http://dx.doi.org/10.3389/fmars.2021.663278</v>
      </c>
      <c r="BG492" t="s">
        <v>74</v>
      </c>
      <c r="BH492" t="s">
        <v>74</v>
      </c>
      <c r="BI492">
        <v>16</v>
      </c>
      <c r="BJ492" t="s">
        <v>127</v>
      </c>
      <c r="BK492" t="s">
        <v>128</v>
      </c>
      <c r="BL492" t="s">
        <v>129</v>
      </c>
      <c r="BM492" t="s">
        <v>9825</v>
      </c>
      <c r="BN492" t="s">
        <v>74</v>
      </c>
      <c r="BO492" t="s">
        <v>3248</v>
      </c>
      <c r="BP492" t="s">
        <v>74</v>
      </c>
      <c r="BQ492" t="s">
        <v>74</v>
      </c>
      <c r="BR492" t="s">
        <v>102</v>
      </c>
      <c r="BS492" t="s">
        <v>9826</v>
      </c>
      <c r="BT492" t="str">
        <f>HYPERLINK("https%3A%2F%2Fwww.webofscience.com%2Fwos%2Fwoscc%2Ffull-record%2FWOS:000664175800001","View Full Record in Web of Science")</f>
        <v>View Full Record in Web of Science</v>
      </c>
    </row>
    <row r="493" spans="1:72" x14ac:dyDescent="0.15">
      <c r="A493" t="s">
        <v>72</v>
      </c>
      <c r="B493" t="s">
        <v>9827</v>
      </c>
      <c r="C493" t="s">
        <v>74</v>
      </c>
      <c r="D493" t="s">
        <v>74</v>
      </c>
      <c r="E493" t="s">
        <v>74</v>
      </c>
      <c r="F493" t="s">
        <v>9828</v>
      </c>
      <c r="G493" t="s">
        <v>74</v>
      </c>
      <c r="H493" t="s">
        <v>74</v>
      </c>
      <c r="I493" t="s">
        <v>9829</v>
      </c>
      <c r="J493" t="s">
        <v>2862</v>
      </c>
      <c r="K493" t="s">
        <v>74</v>
      </c>
      <c r="L493" t="s">
        <v>74</v>
      </c>
      <c r="M493" t="s">
        <v>78</v>
      </c>
      <c r="N493" t="s">
        <v>79</v>
      </c>
      <c r="O493" t="s">
        <v>74</v>
      </c>
      <c r="P493" t="s">
        <v>74</v>
      </c>
      <c r="Q493" t="s">
        <v>74</v>
      </c>
      <c r="R493" t="s">
        <v>74</v>
      </c>
      <c r="S493" t="s">
        <v>74</v>
      </c>
      <c r="T493" t="s">
        <v>9830</v>
      </c>
      <c r="U493" t="s">
        <v>9831</v>
      </c>
      <c r="V493" t="s">
        <v>9832</v>
      </c>
      <c r="W493" t="s">
        <v>9833</v>
      </c>
      <c r="X493" t="s">
        <v>9834</v>
      </c>
      <c r="Y493" t="s">
        <v>9835</v>
      </c>
      <c r="Z493" t="s">
        <v>9836</v>
      </c>
      <c r="AA493" t="s">
        <v>9837</v>
      </c>
      <c r="AB493" t="s">
        <v>9838</v>
      </c>
      <c r="AC493" t="s">
        <v>9839</v>
      </c>
      <c r="AD493" t="s">
        <v>9840</v>
      </c>
      <c r="AE493" t="s">
        <v>9841</v>
      </c>
      <c r="AF493" t="s">
        <v>74</v>
      </c>
      <c r="AG493">
        <v>183</v>
      </c>
      <c r="AH493">
        <v>2</v>
      </c>
      <c r="AI493">
        <v>2</v>
      </c>
      <c r="AJ493">
        <v>5</v>
      </c>
      <c r="AK493">
        <v>21</v>
      </c>
      <c r="AL493" t="s">
        <v>450</v>
      </c>
      <c r="AM493" t="s">
        <v>650</v>
      </c>
      <c r="AN493" t="s">
        <v>1957</v>
      </c>
      <c r="AO493" t="s">
        <v>2874</v>
      </c>
      <c r="AP493" t="s">
        <v>2875</v>
      </c>
      <c r="AQ493" t="s">
        <v>74</v>
      </c>
      <c r="AR493" t="s">
        <v>2876</v>
      </c>
      <c r="AS493" t="s">
        <v>2877</v>
      </c>
      <c r="AT493" t="s">
        <v>535</v>
      </c>
      <c r="AU493">
        <v>2021</v>
      </c>
      <c r="AV493">
        <v>44</v>
      </c>
      <c r="AW493">
        <v>8</v>
      </c>
      <c r="AX493" t="s">
        <v>74</v>
      </c>
      <c r="AY493" t="s">
        <v>74</v>
      </c>
      <c r="AZ493" t="s">
        <v>74</v>
      </c>
      <c r="BA493" t="s">
        <v>74</v>
      </c>
      <c r="BB493">
        <v>1517</v>
      </c>
      <c r="BC493">
        <v>1539</v>
      </c>
      <c r="BD493" t="s">
        <v>74</v>
      </c>
      <c r="BE493" t="s">
        <v>9842</v>
      </c>
      <c r="BF493" t="str">
        <f>HYPERLINK("http://dx.doi.org/10.1007/s00300-021-02886-5","http://dx.doi.org/10.1007/s00300-021-02886-5")</f>
        <v>http://dx.doi.org/10.1007/s00300-021-02886-5</v>
      </c>
      <c r="BG493" t="s">
        <v>74</v>
      </c>
      <c r="BH493" t="s">
        <v>8134</v>
      </c>
      <c r="BI493">
        <v>23</v>
      </c>
      <c r="BJ493" t="s">
        <v>1883</v>
      </c>
      <c r="BK493" t="s">
        <v>128</v>
      </c>
      <c r="BL493" t="s">
        <v>207</v>
      </c>
      <c r="BM493" t="s">
        <v>5619</v>
      </c>
      <c r="BN493" t="s">
        <v>74</v>
      </c>
      <c r="BO493" t="s">
        <v>74</v>
      </c>
      <c r="BP493" t="s">
        <v>74</v>
      </c>
      <c r="BQ493" t="s">
        <v>74</v>
      </c>
      <c r="BR493" t="s">
        <v>102</v>
      </c>
      <c r="BS493" t="s">
        <v>9843</v>
      </c>
      <c r="BT493" t="str">
        <f>HYPERLINK("https%3A%2F%2Fwww.webofscience.com%2Fwos%2Fwoscc%2Ffull-record%2FWOS:000662865000002","View Full Record in Web of Science")</f>
        <v>View Full Record in Web of Science</v>
      </c>
    </row>
    <row r="494" spans="1:72" x14ac:dyDescent="0.15">
      <c r="A494" t="s">
        <v>72</v>
      </c>
      <c r="B494" t="s">
        <v>9844</v>
      </c>
      <c r="C494" t="s">
        <v>74</v>
      </c>
      <c r="D494" t="s">
        <v>74</v>
      </c>
      <c r="E494" t="s">
        <v>74</v>
      </c>
      <c r="F494" t="s">
        <v>9845</v>
      </c>
      <c r="G494" t="s">
        <v>74</v>
      </c>
      <c r="H494" t="s">
        <v>74</v>
      </c>
      <c r="I494" t="s">
        <v>9846</v>
      </c>
      <c r="J494" t="s">
        <v>2862</v>
      </c>
      <c r="K494" t="s">
        <v>74</v>
      </c>
      <c r="L494" t="s">
        <v>74</v>
      </c>
      <c r="M494" t="s">
        <v>78</v>
      </c>
      <c r="N494" t="s">
        <v>79</v>
      </c>
      <c r="O494" t="s">
        <v>74</v>
      </c>
      <c r="P494" t="s">
        <v>74</v>
      </c>
      <c r="Q494" t="s">
        <v>74</v>
      </c>
      <c r="R494" t="s">
        <v>74</v>
      </c>
      <c r="S494" t="s">
        <v>74</v>
      </c>
      <c r="T494" t="s">
        <v>9847</v>
      </c>
      <c r="U494" t="s">
        <v>9848</v>
      </c>
      <c r="V494" t="s">
        <v>9849</v>
      </c>
      <c r="W494" t="s">
        <v>9850</v>
      </c>
      <c r="X494" t="s">
        <v>9851</v>
      </c>
      <c r="Y494" t="s">
        <v>9852</v>
      </c>
      <c r="Z494" t="s">
        <v>9853</v>
      </c>
      <c r="AA494" t="s">
        <v>9854</v>
      </c>
      <c r="AB494" t="s">
        <v>9855</v>
      </c>
      <c r="AC494" t="s">
        <v>9856</v>
      </c>
      <c r="AD494" t="s">
        <v>9857</v>
      </c>
      <c r="AE494" t="s">
        <v>9858</v>
      </c>
      <c r="AF494" t="s">
        <v>74</v>
      </c>
      <c r="AG494">
        <v>66</v>
      </c>
      <c r="AH494">
        <v>3</v>
      </c>
      <c r="AI494">
        <v>3</v>
      </c>
      <c r="AJ494">
        <v>1</v>
      </c>
      <c r="AK494">
        <v>11</v>
      </c>
      <c r="AL494" t="s">
        <v>450</v>
      </c>
      <c r="AM494" t="s">
        <v>650</v>
      </c>
      <c r="AN494" t="s">
        <v>1957</v>
      </c>
      <c r="AO494" t="s">
        <v>2874</v>
      </c>
      <c r="AP494" t="s">
        <v>2875</v>
      </c>
      <c r="AQ494" t="s">
        <v>74</v>
      </c>
      <c r="AR494" t="s">
        <v>2876</v>
      </c>
      <c r="AS494" t="s">
        <v>2877</v>
      </c>
      <c r="AT494" t="s">
        <v>535</v>
      </c>
      <c r="AU494">
        <v>2021</v>
      </c>
      <c r="AV494">
        <v>44</v>
      </c>
      <c r="AW494">
        <v>8</v>
      </c>
      <c r="AX494" t="s">
        <v>74</v>
      </c>
      <c r="AY494" t="s">
        <v>74</v>
      </c>
      <c r="AZ494" t="s">
        <v>74</v>
      </c>
      <c r="BA494" t="s">
        <v>74</v>
      </c>
      <c r="BB494">
        <v>1575</v>
      </c>
      <c r="BC494">
        <v>1589</v>
      </c>
      <c r="BD494" t="s">
        <v>74</v>
      </c>
      <c r="BE494" t="s">
        <v>9859</v>
      </c>
      <c r="BF494" t="str">
        <f>HYPERLINK("http://dx.doi.org/10.1007/s00300-021-02897-2","http://dx.doi.org/10.1007/s00300-021-02897-2")</f>
        <v>http://dx.doi.org/10.1007/s00300-021-02897-2</v>
      </c>
      <c r="BG494" t="s">
        <v>74</v>
      </c>
      <c r="BH494" t="s">
        <v>8134</v>
      </c>
      <c r="BI494">
        <v>15</v>
      </c>
      <c r="BJ494" t="s">
        <v>1883</v>
      </c>
      <c r="BK494" t="s">
        <v>128</v>
      </c>
      <c r="BL494" t="s">
        <v>207</v>
      </c>
      <c r="BM494" t="s">
        <v>5619</v>
      </c>
      <c r="BN494" t="s">
        <v>74</v>
      </c>
      <c r="BO494" t="s">
        <v>74</v>
      </c>
      <c r="BP494" t="s">
        <v>74</v>
      </c>
      <c r="BQ494" t="s">
        <v>74</v>
      </c>
      <c r="BR494" t="s">
        <v>102</v>
      </c>
      <c r="BS494" t="s">
        <v>9860</v>
      </c>
      <c r="BT494" t="str">
        <f>HYPERLINK("https%3A%2F%2Fwww.webofscience.com%2Fwos%2Fwoscc%2Ffull-record%2FWOS:000662865000001","View Full Record in Web of Science")</f>
        <v>View Full Record in Web of Science</v>
      </c>
    </row>
    <row r="495" spans="1:72" x14ac:dyDescent="0.15">
      <c r="A495" t="s">
        <v>72</v>
      </c>
      <c r="B495" t="s">
        <v>9861</v>
      </c>
      <c r="C495" t="s">
        <v>74</v>
      </c>
      <c r="D495" t="s">
        <v>74</v>
      </c>
      <c r="E495" t="s">
        <v>74</v>
      </c>
      <c r="F495" t="s">
        <v>9862</v>
      </c>
      <c r="G495" t="s">
        <v>74</v>
      </c>
      <c r="H495" t="s">
        <v>74</v>
      </c>
      <c r="I495" t="s">
        <v>9863</v>
      </c>
      <c r="J495" t="s">
        <v>2862</v>
      </c>
      <c r="K495" t="s">
        <v>74</v>
      </c>
      <c r="L495" t="s">
        <v>74</v>
      </c>
      <c r="M495" t="s">
        <v>78</v>
      </c>
      <c r="N495" t="s">
        <v>79</v>
      </c>
      <c r="O495" t="s">
        <v>74</v>
      </c>
      <c r="P495" t="s">
        <v>74</v>
      </c>
      <c r="Q495" t="s">
        <v>74</v>
      </c>
      <c r="R495" t="s">
        <v>74</v>
      </c>
      <c r="S495" t="s">
        <v>74</v>
      </c>
      <c r="T495" t="s">
        <v>9864</v>
      </c>
      <c r="U495" t="s">
        <v>9865</v>
      </c>
      <c r="V495" t="s">
        <v>9866</v>
      </c>
      <c r="W495" t="s">
        <v>9867</v>
      </c>
      <c r="X495" t="s">
        <v>9868</v>
      </c>
      <c r="Y495" t="s">
        <v>9869</v>
      </c>
      <c r="Z495" t="s">
        <v>9870</v>
      </c>
      <c r="AA495" t="s">
        <v>9871</v>
      </c>
      <c r="AB495" t="s">
        <v>9872</v>
      </c>
      <c r="AC495" t="s">
        <v>9873</v>
      </c>
      <c r="AD495" t="s">
        <v>9874</v>
      </c>
      <c r="AE495" t="s">
        <v>9875</v>
      </c>
      <c r="AF495" t="s">
        <v>74</v>
      </c>
      <c r="AG495">
        <v>75</v>
      </c>
      <c r="AH495">
        <v>2</v>
      </c>
      <c r="AI495">
        <v>2</v>
      </c>
      <c r="AJ495">
        <v>3</v>
      </c>
      <c r="AK495">
        <v>9</v>
      </c>
      <c r="AL495" t="s">
        <v>450</v>
      </c>
      <c r="AM495" t="s">
        <v>650</v>
      </c>
      <c r="AN495" t="s">
        <v>1957</v>
      </c>
      <c r="AO495" t="s">
        <v>2874</v>
      </c>
      <c r="AP495" t="s">
        <v>2875</v>
      </c>
      <c r="AQ495" t="s">
        <v>74</v>
      </c>
      <c r="AR495" t="s">
        <v>2876</v>
      </c>
      <c r="AS495" t="s">
        <v>2877</v>
      </c>
      <c r="AT495" t="s">
        <v>535</v>
      </c>
      <c r="AU495">
        <v>2021</v>
      </c>
      <c r="AV495">
        <v>44</v>
      </c>
      <c r="AW495">
        <v>8</v>
      </c>
      <c r="AX495" t="s">
        <v>74</v>
      </c>
      <c r="AY495" t="s">
        <v>74</v>
      </c>
      <c r="AZ495" t="s">
        <v>74</v>
      </c>
      <c r="BA495" t="s">
        <v>74</v>
      </c>
      <c r="BB495">
        <v>1591</v>
      </c>
      <c r="BC495">
        <v>1603</v>
      </c>
      <c r="BD495" t="s">
        <v>74</v>
      </c>
      <c r="BE495" t="s">
        <v>9876</v>
      </c>
      <c r="BF495" t="str">
        <f>HYPERLINK("http://dx.doi.org/10.1007/s00300-021-02903-7","http://dx.doi.org/10.1007/s00300-021-02903-7")</f>
        <v>http://dx.doi.org/10.1007/s00300-021-02903-7</v>
      </c>
      <c r="BG495" t="s">
        <v>74</v>
      </c>
      <c r="BH495" t="s">
        <v>8134</v>
      </c>
      <c r="BI495">
        <v>13</v>
      </c>
      <c r="BJ495" t="s">
        <v>1883</v>
      </c>
      <c r="BK495" t="s">
        <v>128</v>
      </c>
      <c r="BL495" t="s">
        <v>207</v>
      </c>
      <c r="BM495" t="s">
        <v>5619</v>
      </c>
      <c r="BN495" t="s">
        <v>74</v>
      </c>
      <c r="BO495" t="s">
        <v>238</v>
      </c>
      <c r="BP495" t="s">
        <v>74</v>
      </c>
      <c r="BQ495" t="s">
        <v>74</v>
      </c>
      <c r="BR495" t="s">
        <v>102</v>
      </c>
      <c r="BS495" t="s">
        <v>9877</v>
      </c>
      <c r="BT495" t="str">
        <f>HYPERLINK("https%3A%2F%2Fwww.webofscience.com%2Fwos%2Fwoscc%2Ffull-record%2FWOS:000662865000003","View Full Record in Web of Science")</f>
        <v>View Full Record in Web of Science</v>
      </c>
    </row>
    <row r="496" spans="1:72" x14ac:dyDescent="0.15">
      <c r="A496" t="s">
        <v>72</v>
      </c>
      <c r="B496" t="s">
        <v>9878</v>
      </c>
      <c r="C496" t="s">
        <v>74</v>
      </c>
      <c r="D496" t="s">
        <v>74</v>
      </c>
      <c r="E496" t="s">
        <v>74</v>
      </c>
      <c r="F496" t="s">
        <v>9879</v>
      </c>
      <c r="G496" t="s">
        <v>74</v>
      </c>
      <c r="H496" t="s">
        <v>74</v>
      </c>
      <c r="I496" t="s">
        <v>9880</v>
      </c>
      <c r="J496" t="s">
        <v>2862</v>
      </c>
      <c r="K496" t="s">
        <v>74</v>
      </c>
      <c r="L496" t="s">
        <v>74</v>
      </c>
      <c r="M496" t="s">
        <v>78</v>
      </c>
      <c r="N496" t="s">
        <v>79</v>
      </c>
      <c r="O496" t="s">
        <v>74</v>
      </c>
      <c r="P496" t="s">
        <v>74</v>
      </c>
      <c r="Q496" t="s">
        <v>74</v>
      </c>
      <c r="R496" t="s">
        <v>74</v>
      </c>
      <c r="S496" t="s">
        <v>74</v>
      </c>
      <c r="T496" t="s">
        <v>9881</v>
      </c>
      <c r="U496" t="s">
        <v>9882</v>
      </c>
      <c r="V496" t="s">
        <v>9883</v>
      </c>
      <c r="W496" t="s">
        <v>9884</v>
      </c>
      <c r="X496" t="s">
        <v>9885</v>
      </c>
      <c r="Y496" t="s">
        <v>9886</v>
      </c>
      <c r="Z496" t="s">
        <v>9887</v>
      </c>
      <c r="AA496" t="s">
        <v>9888</v>
      </c>
      <c r="AB496" t="s">
        <v>9889</v>
      </c>
      <c r="AC496" t="s">
        <v>9890</v>
      </c>
      <c r="AD496" t="s">
        <v>9891</v>
      </c>
      <c r="AE496" t="s">
        <v>9892</v>
      </c>
      <c r="AF496" t="s">
        <v>74</v>
      </c>
      <c r="AG496">
        <v>70</v>
      </c>
      <c r="AH496">
        <v>2</v>
      </c>
      <c r="AI496">
        <v>4</v>
      </c>
      <c r="AJ496">
        <v>0</v>
      </c>
      <c r="AK496">
        <v>12</v>
      </c>
      <c r="AL496" t="s">
        <v>450</v>
      </c>
      <c r="AM496" t="s">
        <v>650</v>
      </c>
      <c r="AN496" t="s">
        <v>1957</v>
      </c>
      <c r="AO496" t="s">
        <v>2874</v>
      </c>
      <c r="AP496" t="s">
        <v>2875</v>
      </c>
      <c r="AQ496" t="s">
        <v>74</v>
      </c>
      <c r="AR496" t="s">
        <v>2876</v>
      </c>
      <c r="AS496" t="s">
        <v>2877</v>
      </c>
      <c r="AT496" t="s">
        <v>535</v>
      </c>
      <c r="AU496">
        <v>2021</v>
      </c>
      <c r="AV496">
        <v>44</v>
      </c>
      <c r="AW496">
        <v>8</v>
      </c>
      <c r="AX496" t="s">
        <v>74</v>
      </c>
      <c r="AY496" t="s">
        <v>74</v>
      </c>
      <c r="AZ496" t="s">
        <v>74</v>
      </c>
      <c r="BA496" t="s">
        <v>74</v>
      </c>
      <c r="BB496">
        <v>1619</v>
      </c>
      <c r="BC496">
        <v>1628</v>
      </c>
      <c r="BD496" t="s">
        <v>74</v>
      </c>
      <c r="BE496" t="s">
        <v>9893</v>
      </c>
      <c r="BF496" t="str">
        <f>HYPERLINK("http://dx.doi.org/10.1007/s00300-021-02898-1","http://dx.doi.org/10.1007/s00300-021-02898-1")</f>
        <v>http://dx.doi.org/10.1007/s00300-021-02898-1</v>
      </c>
      <c r="BG496" t="s">
        <v>74</v>
      </c>
      <c r="BH496" t="s">
        <v>8134</v>
      </c>
      <c r="BI496">
        <v>10</v>
      </c>
      <c r="BJ496" t="s">
        <v>1883</v>
      </c>
      <c r="BK496" t="s">
        <v>128</v>
      </c>
      <c r="BL496" t="s">
        <v>207</v>
      </c>
      <c r="BM496" t="s">
        <v>5619</v>
      </c>
      <c r="BN496" t="s">
        <v>74</v>
      </c>
      <c r="BO496" t="s">
        <v>74</v>
      </c>
      <c r="BP496" t="s">
        <v>74</v>
      </c>
      <c r="BQ496" t="s">
        <v>74</v>
      </c>
      <c r="BR496" t="s">
        <v>102</v>
      </c>
      <c r="BS496" t="s">
        <v>9894</v>
      </c>
      <c r="BT496" t="str">
        <f>HYPERLINK("https%3A%2F%2Fwww.webofscience.com%2Fwos%2Fwoscc%2Ffull-record%2FWOS:000662865000004","View Full Record in Web of Science")</f>
        <v>View Full Record in Web of Science</v>
      </c>
    </row>
    <row r="497" spans="1:72" x14ac:dyDescent="0.15">
      <c r="A497" t="s">
        <v>72</v>
      </c>
      <c r="B497" t="s">
        <v>9895</v>
      </c>
      <c r="C497" t="s">
        <v>74</v>
      </c>
      <c r="D497" t="s">
        <v>74</v>
      </c>
      <c r="E497" t="s">
        <v>74</v>
      </c>
      <c r="F497" t="s">
        <v>9896</v>
      </c>
      <c r="G497" t="s">
        <v>74</v>
      </c>
      <c r="H497" t="s">
        <v>74</v>
      </c>
      <c r="I497" t="s">
        <v>9897</v>
      </c>
      <c r="J497" t="s">
        <v>107</v>
      </c>
      <c r="K497" t="s">
        <v>74</v>
      </c>
      <c r="L497" t="s">
        <v>74</v>
      </c>
      <c r="M497" t="s">
        <v>78</v>
      </c>
      <c r="N497" t="s">
        <v>79</v>
      </c>
      <c r="O497" t="s">
        <v>74</v>
      </c>
      <c r="P497" t="s">
        <v>74</v>
      </c>
      <c r="Q497" t="s">
        <v>74</v>
      </c>
      <c r="R497" t="s">
        <v>74</v>
      </c>
      <c r="S497" t="s">
        <v>74</v>
      </c>
      <c r="T497" t="s">
        <v>9898</v>
      </c>
      <c r="U497" t="s">
        <v>9899</v>
      </c>
      <c r="V497" t="s">
        <v>9900</v>
      </c>
      <c r="W497" t="s">
        <v>9901</v>
      </c>
      <c r="X497" t="s">
        <v>9902</v>
      </c>
      <c r="Y497" t="s">
        <v>9903</v>
      </c>
      <c r="Z497" t="s">
        <v>9904</v>
      </c>
      <c r="AA497" t="s">
        <v>9905</v>
      </c>
      <c r="AB497" t="s">
        <v>9906</v>
      </c>
      <c r="AC497" t="s">
        <v>9907</v>
      </c>
      <c r="AD497" t="s">
        <v>9908</v>
      </c>
      <c r="AE497" t="s">
        <v>9909</v>
      </c>
      <c r="AF497" t="s">
        <v>74</v>
      </c>
      <c r="AG497">
        <v>23</v>
      </c>
      <c r="AH497">
        <v>12</v>
      </c>
      <c r="AI497">
        <v>14</v>
      </c>
      <c r="AJ497">
        <v>3</v>
      </c>
      <c r="AK497">
        <v>26</v>
      </c>
      <c r="AL497" t="s">
        <v>119</v>
      </c>
      <c r="AM497" t="s">
        <v>120</v>
      </c>
      <c r="AN497" t="s">
        <v>121</v>
      </c>
      <c r="AO497" t="s">
        <v>74</v>
      </c>
      <c r="AP497" t="s">
        <v>122</v>
      </c>
      <c r="AQ497" t="s">
        <v>74</v>
      </c>
      <c r="AR497" t="s">
        <v>123</v>
      </c>
      <c r="AS497" t="s">
        <v>124</v>
      </c>
      <c r="AT497" t="s">
        <v>9805</v>
      </c>
      <c r="AU497">
        <v>2021</v>
      </c>
      <c r="AV497">
        <v>8</v>
      </c>
      <c r="AW497" t="s">
        <v>74</v>
      </c>
      <c r="AX497" t="s">
        <v>74</v>
      </c>
      <c r="AY497" t="s">
        <v>74</v>
      </c>
      <c r="AZ497" t="s">
        <v>74</v>
      </c>
      <c r="BA497" t="s">
        <v>74</v>
      </c>
      <c r="BB497" t="s">
        <v>74</v>
      </c>
      <c r="BC497" t="s">
        <v>74</v>
      </c>
      <c r="BD497">
        <v>672199</v>
      </c>
      <c r="BE497" t="s">
        <v>9910</v>
      </c>
      <c r="BF497" t="str">
        <f>HYPERLINK("http://dx.doi.org/10.3389/fmars.2021.672199","http://dx.doi.org/10.3389/fmars.2021.672199")</f>
        <v>http://dx.doi.org/10.3389/fmars.2021.672199</v>
      </c>
      <c r="BG497" t="s">
        <v>74</v>
      </c>
      <c r="BH497" t="s">
        <v>74</v>
      </c>
      <c r="BI497">
        <v>15</v>
      </c>
      <c r="BJ497" t="s">
        <v>127</v>
      </c>
      <c r="BK497" t="s">
        <v>128</v>
      </c>
      <c r="BL497" t="s">
        <v>129</v>
      </c>
      <c r="BM497" t="s">
        <v>9911</v>
      </c>
      <c r="BN497" t="s">
        <v>74</v>
      </c>
      <c r="BO497" t="s">
        <v>638</v>
      </c>
      <c r="BP497" t="s">
        <v>74</v>
      </c>
      <c r="BQ497" t="s">
        <v>74</v>
      </c>
      <c r="BR497" t="s">
        <v>102</v>
      </c>
      <c r="BS497" t="s">
        <v>9912</v>
      </c>
      <c r="BT497" t="str">
        <f>HYPERLINK("https%3A%2F%2Fwww.webofscience.com%2Fwos%2Fwoscc%2Ffull-record%2FWOS:000664178100001","View Full Record in Web of Science")</f>
        <v>View Full Record in Web of Science</v>
      </c>
    </row>
    <row r="498" spans="1:72" x14ac:dyDescent="0.15">
      <c r="A498" t="s">
        <v>72</v>
      </c>
      <c r="B498" t="s">
        <v>9913</v>
      </c>
      <c r="C498" t="s">
        <v>74</v>
      </c>
      <c r="D498" t="s">
        <v>74</v>
      </c>
      <c r="E498" t="s">
        <v>74</v>
      </c>
      <c r="F498" t="s">
        <v>9914</v>
      </c>
      <c r="G498" t="s">
        <v>74</v>
      </c>
      <c r="H498" t="s">
        <v>74</v>
      </c>
      <c r="I498" t="s">
        <v>9915</v>
      </c>
      <c r="J498" t="s">
        <v>9916</v>
      </c>
      <c r="K498" t="s">
        <v>74</v>
      </c>
      <c r="L498" t="s">
        <v>74</v>
      </c>
      <c r="M498" t="s">
        <v>78</v>
      </c>
      <c r="N498" t="s">
        <v>79</v>
      </c>
      <c r="O498" t="s">
        <v>74</v>
      </c>
      <c r="P498" t="s">
        <v>74</v>
      </c>
      <c r="Q498" t="s">
        <v>74</v>
      </c>
      <c r="R498" t="s">
        <v>74</v>
      </c>
      <c r="S498" t="s">
        <v>74</v>
      </c>
      <c r="T498" t="s">
        <v>9917</v>
      </c>
      <c r="U498" t="s">
        <v>9918</v>
      </c>
      <c r="V498" t="s">
        <v>9919</v>
      </c>
      <c r="W498" t="s">
        <v>9920</v>
      </c>
      <c r="X498" t="s">
        <v>9921</v>
      </c>
      <c r="Y498" t="s">
        <v>9922</v>
      </c>
      <c r="Z498" t="s">
        <v>9923</v>
      </c>
      <c r="AA498" t="s">
        <v>9924</v>
      </c>
      <c r="AB498" t="s">
        <v>9925</v>
      </c>
      <c r="AC498" t="s">
        <v>9926</v>
      </c>
      <c r="AD498" t="s">
        <v>9927</v>
      </c>
      <c r="AE498" t="s">
        <v>9928</v>
      </c>
      <c r="AF498" t="s">
        <v>74</v>
      </c>
      <c r="AG498">
        <v>51</v>
      </c>
      <c r="AH498">
        <v>14</v>
      </c>
      <c r="AI498">
        <v>15</v>
      </c>
      <c r="AJ498">
        <v>5</v>
      </c>
      <c r="AK498">
        <v>43</v>
      </c>
      <c r="AL498" t="s">
        <v>119</v>
      </c>
      <c r="AM498" t="s">
        <v>120</v>
      </c>
      <c r="AN498" t="s">
        <v>121</v>
      </c>
      <c r="AO498" t="s">
        <v>9929</v>
      </c>
      <c r="AP498" t="s">
        <v>74</v>
      </c>
      <c r="AQ498" t="s">
        <v>74</v>
      </c>
      <c r="AR498" t="s">
        <v>9930</v>
      </c>
      <c r="AS498" t="s">
        <v>9931</v>
      </c>
      <c r="AT498" t="s">
        <v>9932</v>
      </c>
      <c r="AU498">
        <v>2021</v>
      </c>
      <c r="AV498">
        <v>12</v>
      </c>
      <c r="AW498" t="s">
        <v>74</v>
      </c>
      <c r="AX498" t="s">
        <v>74</v>
      </c>
      <c r="AY498" t="s">
        <v>74</v>
      </c>
      <c r="AZ498" t="s">
        <v>74</v>
      </c>
      <c r="BA498" t="s">
        <v>74</v>
      </c>
      <c r="BB498" t="s">
        <v>74</v>
      </c>
      <c r="BC498" t="s">
        <v>74</v>
      </c>
      <c r="BD498">
        <v>671981</v>
      </c>
      <c r="BE498" t="s">
        <v>9933</v>
      </c>
      <c r="BF498" t="str">
        <f>HYPERLINK("http://dx.doi.org/10.3389/fpls.2021.671981","http://dx.doi.org/10.3389/fpls.2021.671981")</f>
        <v>http://dx.doi.org/10.3389/fpls.2021.671981</v>
      </c>
      <c r="BG498" t="s">
        <v>74</v>
      </c>
      <c r="BH498" t="s">
        <v>74</v>
      </c>
      <c r="BI498">
        <v>16</v>
      </c>
      <c r="BJ498" t="s">
        <v>1398</v>
      </c>
      <c r="BK498" t="s">
        <v>128</v>
      </c>
      <c r="BL498" t="s">
        <v>1398</v>
      </c>
      <c r="BM498" t="s">
        <v>9934</v>
      </c>
      <c r="BN498">
        <v>34226827</v>
      </c>
      <c r="BO498" t="s">
        <v>9935</v>
      </c>
      <c r="BP498" t="s">
        <v>74</v>
      </c>
      <c r="BQ498" t="s">
        <v>74</v>
      </c>
      <c r="BR498" t="s">
        <v>102</v>
      </c>
      <c r="BS498" t="s">
        <v>9936</v>
      </c>
      <c r="BT498" t="str">
        <f>HYPERLINK("https%3A%2F%2Fwww.webofscience.com%2Fwos%2Fwoscc%2Ffull-record%2FWOS:000669235000001","View Full Record in Web of Science")</f>
        <v>View Full Record in Web of Science</v>
      </c>
    </row>
    <row r="499" spans="1:72" x14ac:dyDescent="0.15">
      <c r="A499" t="s">
        <v>72</v>
      </c>
      <c r="B499" t="s">
        <v>9937</v>
      </c>
      <c r="C499" t="s">
        <v>74</v>
      </c>
      <c r="D499" t="s">
        <v>74</v>
      </c>
      <c r="E499" t="s">
        <v>74</v>
      </c>
      <c r="F499" t="s">
        <v>9938</v>
      </c>
      <c r="G499" t="s">
        <v>74</v>
      </c>
      <c r="H499" t="s">
        <v>74</v>
      </c>
      <c r="I499" t="s">
        <v>9939</v>
      </c>
      <c r="J499" t="s">
        <v>3539</v>
      </c>
      <c r="K499" t="s">
        <v>74</v>
      </c>
      <c r="L499" t="s">
        <v>74</v>
      </c>
      <c r="M499" t="s">
        <v>78</v>
      </c>
      <c r="N499" t="s">
        <v>79</v>
      </c>
      <c r="O499" t="s">
        <v>74</v>
      </c>
      <c r="P499" t="s">
        <v>74</v>
      </c>
      <c r="Q499" t="s">
        <v>74</v>
      </c>
      <c r="R499" t="s">
        <v>74</v>
      </c>
      <c r="S499" t="s">
        <v>74</v>
      </c>
      <c r="T499" t="s">
        <v>9940</v>
      </c>
      <c r="U499" t="s">
        <v>9941</v>
      </c>
      <c r="V499" t="s">
        <v>9942</v>
      </c>
      <c r="W499" t="s">
        <v>9943</v>
      </c>
      <c r="X499" t="s">
        <v>9944</v>
      </c>
      <c r="Y499" t="s">
        <v>9945</v>
      </c>
      <c r="Z499" t="s">
        <v>9946</v>
      </c>
      <c r="AA499" t="s">
        <v>74</v>
      </c>
      <c r="AB499" t="s">
        <v>74</v>
      </c>
      <c r="AC499" t="s">
        <v>9947</v>
      </c>
      <c r="AD499" t="s">
        <v>9948</v>
      </c>
      <c r="AE499" t="s">
        <v>9949</v>
      </c>
      <c r="AF499" t="s">
        <v>74</v>
      </c>
      <c r="AG499">
        <v>58</v>
      </c>
      <c r="AH499">
        <v>2</v>
      </c>
      <c r="AI499">
        <v>3</v>
      </c>
      <c r="AJ499">
        <v>1</v>
      </c>
      <c r="AK499">
        <v>17</v>
      </c>
      <c r="AL499" t="s">
        <v>119</v>
      </c>
      <c r="AM499" t="s">
        <v>120</v>
      </c>
      <c r="AN499" t="s">
        <v>121</v>
      </c>
      <c r="AO499" t="s">
        <v>74</v>
      </c>
      <c r="AP499" t="s">
        <v>3552</v>
      </c>
      <c r="AQ499" t="s">
        <v>74</v>
      </c>
      <c r="AR499" t="s">
        <v>3553</v>
      </c>
      <c r="AS499" t="s">
        <v>3554</v>
      </c>
      <c r="AT499" t="s">
        <v>9932</v>
      </c>
      <c r="AU499">
        <v>2021</v>
      </c>
      <c r="AV499">
        <v>9</v>
      </c>
      <c r="AW499" t="s">
        <v>74</v>
      </c>
      <c r="AX499" t="s">
        <v>74</v>
      </c>
      <c r="AY499" t="s">
        <v>74</v>
      </c>
      <c r="AZ499" t="s">
        <v>74</v>
      </c>
      <c r="BA499" t="s">
        <v>74</v>
      </c>
      <c r="BB499" t="s">
        <v>74</v>
      </c>
      <c r="BC499" t="s">
        <v>74</v>
      </c>
      <c r="BD499">
        <v>656639</v>
      </c>
      <c r="BE499" t="s">
        <v>9950</v>
      </c>
      <c r="BF499" t="str">
        <f>HYPERLINK("http://dx.doi.org/10.3389/fenvs.2021.656639","http://dx.doi.org/10.3389/fenvs.2021.656639")</f>
        <v>http://dx.doi.org/10.3389/fenvs.2021.656639</v>
      </c>
      <c r="BG499" t="s">
        <v>74</v>
      </c>
      <c r="BH499" t="s">
        <v>74</v>
      </c>
      <c r="BI499">
        <v>13</v>
      </c>
      <c r="BJ499" t="s">
        <v>262</v>
      </c>
      <c r="BK499" t="s">
        <v>128</v>
      </c>
      <c r="BL499" t="s">
        <v>263</v>
      </c>
      <c r="BM499" t="s">
        <v>9951</v>
      </c>
      <c r="BN499" t="s">
        <v>74</v>
      </c>
      <c r="BO499" t="s">
        <v>638</v>
      </c>
      <c r="BP499" t="s">
        <v>74</v>
      </c>
      <c r="BQ499" t="s">
        <v>74</v>
      </c>
      <c r="BR499" t="s">
        <v>102</v>
      </c>
      <c r="BS499" t="s">
        <v>9952</v>
      </c>
      <c r="BT499" t="str">
        <f>HYPERLINK("https%3A%2F%2Fwww.webofscience.com%2Fwos%2Fwoscc%2Ffull-record%2FWOS:000667952500001","View Full Record in Web of Science")</f>
        <v>View Full Record in Web of Science</v>
      </c>
    </row>
    <row r="500" spans="1:72" x14ac:dyDescent="0.15">
      <c r="A500" t="s">
        <v>72</v>
      </c>
      <c r="B500" t="s">
        <v>9953</v>
      </c>
      <c r="C500" t="s">
        <v>74</v>
      </c>
      <c r="D500" t="s">
        <v>74</v>
      </c>
      <c r="E500" t="s">
        <v>74</v>
      </c>
      <c r="F500" t="s">
        <v>9954</v>
      </c>
      <c r="G500" t="s">
        <v>74</v>
      </c>
      <c r="H500" t="s">
        <v>74</v>
      </c>
      <c r="I500" t="s">
        <v>9955</v>
      </c>
      <c r="J500" t="s">
        <v>8396</v>
      </c>
      <c r="K500" t="s">
        <v>74</v>
      </c>
      <c r="L500" t="s">
        <v>74</v>
      </c>
      <c r="M500" t="s">
        <v>78</v>
      </c>
      <c r="N500" t="s">
        <v>79</v>
      </c>
      <c r="O500" t="s">
        <v>74</v>
      </c>
      <c r="P500" t="s">
        <v>74</v>
      </c>
      <c r="Q500" t="s">
        <v>74</v>
      </c>
      <c r="R500" t="s">
        <v>74</v>
      </c>
      <c r="S500" t="s">
        <v>74</v>
      </c>
      <c r="T500" t="s">
        <v>9956</v>
      </c>
      <c r="U500" t="s">
        <v>9957</v>
      </c>
      <c r="V500" t="s">
        <v>9958</v>
      </c>
      <c r="W500" t="s">
        <v>9959</v>
      </c>
      <c r="X500" t="s">
        <v>9960</v>
      </c>
      <c r="Y500" t="s">
        <v>9961</v>
      </c>
      <c r="Z500" t="s">
        <v>9962</v>
      </c>
      <c r="AA500" t="s">
        <v>74</v>
      </c>
      <c r="AB500" t="s">
        <v>9963</v>
      </c>
      <c r="AC500" t="s">
        <v>74</v>
      </c>
      <c r="AD500" t="s">
        <v>74</v>
      </c>
      <c r="AE500" t="s">
        <v>74</v>
      </c>
      <c r="AF500" t="s">
        <v>74</v>
      </c>
      <c r="AG500">
        <v>73</v>
      </c>
      <c r="AH500">
        <v>4</v>
      </c>
      <c r="AI500">
        <v>4</v>
      </c>
      <c r="AJ500">
        <v>0</v>
      </c>
      <c r="AK500">
        <v>6</v>
      </c>
      <c r="AL500" t="s">
        <v>649</v>
      </c>
      <c r="AM500" t="s">
        <v>650</v>
      </c>
      <c r="AN500" t="s">
        <v>651</v>
      </c>
      <c r="AO500" t="s">
        <v>8401</v>
      </c>
      <c r="AP500" t="s">
        <v>8402</v>
      </c>
      <c r="AQ500" t="s">
        <v>74</v>
      </c>
      <c r="AR500" t="s">
        <v>8403</v>
      </c>
      <c r="AS500" t="s">
        <v>8404</v>
      </c>
      <c r="AT500" t="s">
        <v>9932</v>
      </c>
      <c r="AU500">
        <v>2021</v>
      </c>
      <c r="AV500">
        <v>57</v>
      </c>
      <c r="AW500" t="s">
        <v>74</v>
      </c>
      <c r="AX500" t="s">
        <v>74</v>
      </c>
      <c r="AY500" t="s">
        <v>74</v>
      </c>
      <c r="AZ500" t="s">
        <v>74</v>
      </c>
      <c r="BA500" t="s">
        <v>74</v>
      </c>
      <c r="BB500" t="s">
        <v>74</v>
      </c>
      <c r="BC500" t="s">
        <v>74</v>
      </c>
      <c r="BD500" t="s">
        <v>9964</v>
      </c>
      <c r="BE500" t="s">
        <v>9965</v>
      </c>
      <c r="BF500" t="str">
        <f>HYPERLINK("http://dx.doi.org/10.1017/S003224742100022X","http://dx.doi.org/10.1017/S003224742100022X")</f>
        <v>http://dx.doi.org/10.1017/S003224742100022X</v>
      </c>
      <c r="BG500" t="s">
        <v>74</v>
      </c>
      <c r="BH500" t="s">
        <v>74</v>
      </c>
      <c r="BI500">
        <v>13</v>
      </c>
      <c r="BJ500" t="s">
        <v>8407</v>
      </c>
      <c r="BK500" t="s">
        <v>100</v>
      </c>
      <c r="BL500" t="s">
        <v>263</v>
      </c>
      <c r="BM500" t="s">
        <v>9966</v>
      </c>
      <c r="BN500" t="s">
        <v>74</v>
      </c>
      <c r="BO500" t="s">
        <v>74</v>
      </c>
      <c r="BP500" t="s">
        <v>74</v>
      </c>
      <c r="BQ500" t="s">
        <v>74</v>
      </c>
      <c r="BR500" t="s">
        <v>102</v>
      </c>
      <c r="BS500" t="s">
        <v>9967</v>
      </c>
      <c r="BT500" t="str">
        <f>HYPERLINK("https%3A%2F%2Fwww.webofscience.com%2Fwos%2Fwoscc%2Ffull-record%2FWOS:000662711400001","View Full Record in Web of Science")</f>
        <v>View Full Record in Web of Science</v>
      </c>
    </row>
    <row r="501" spans="1:72" x14ac:dyDescent="0.15">
      <c r="A501" t="s">
        <v>72</v>
      </c>
      <c r="B501" t="s">
        <v>9968</v>
      </c>
      <c r="C501" t="s">
        <v>74</v>
      </c>
      <c r="D501" t="s">
        <v>74</v>
      </c>
      <c r="E501" t="s">
        <v>74</v>
      </c>
      <c r="F501" t="s">
        <v>9969</v>
      </c>
      <c r="G501" t="s">
        <v>74</v>
      </c>
      <c r="H501" t="s">
        <v>74</v>
      </c>
      <c r="I501" t="s">
        <v>9970</v>
      </c>
      <c r="J501" t="s">
        <v>2457</v>
      </c>
      <c r="K501" t="s">
        <v>74</v>
      </c>
      <c r="L501" t="s">
        <v>74</v>
      </c>
      <c r="M501" t="s">
        <v>78</v>
      </c>
      <c r="N501" t="s">
        <v>79</v>
      </c>
      <c r="O501" t="s">
        <v>74</v>
      </c>
      <c r="P501" t="s">
        <v>74</v>
      </c>
      <c r="Q501" t="s">
        <v>74</v>
      </c>
      <c r="R501" t="s">
        <v>74</v>
      </c>
      <c r="S501" t="s">
        <v>74</v>
      </c>
      <c r="T501" t="s">
        <v>9971</v>
      </c>
      <c r="U501" t="s">
        <v>9972</v>
      </c>
      <c r="V501" t="s">
        <v>9973</v>
      </c>
      <c r="W501" t="s">
        <v>9974</v>
      </c>
      <c r="X501" t="s">
        <v>9975</v>
      </c>
      <c r="Y501" t="s">
        <v>9976</v>
      </c>
      <c r="Z501" t="s">
        <v>9977</v>
      </c>
      <c r="AA501" t="s">
        <v>9978</v>
      </c>
      <c r="AB501" t="s">
        <v>9979</v>
      </c>
      <c r="AC501" t="s">
        <v>9980</v>
      </c>
      <c r="AD501" t="s">
        <v>9981</v>
      </c>
      <c r="AE501" t="s">
        <v>9982</v>
      </c>
      <c r="AF501" t="s">
        <v>74</v>
      </c>
      <c r="AG501">
        <v>45</v>
      </c>
      <c r="AH501">
        <v>20</v>
      </c>
      <c r="AI501">
        <v>22</v>
      </c>
      <c r="AJ501">
        <v>0</v>
      </c>
      <c r="AK501">
        <v>14</v>
      </c>
      <c r="AL501" t="s">
        <v>864</v>
      </c>
      <c r="AM501" t="s">
        <v>865</v>
      </c>
      <c r="AN501" t="s">
        <v>866</v>
      </c>
      <c r="AO501" t="s">
        <v>2469</v>
      </c>
      <c r="AP501" t="s">
        <v>2470</v>
      </c>
      <c r="AQ501" t="s">
        <v>74</v>
      </c>
      <c r="AR501" t="s">
        <v>2471</v>
      </c>
      <c r="AS501" t="s">
        <v>2472</v>
      </c>
      <c r="AT501" t="s">
        <v>9932</v>
      </c>
      <c r="AU501">
        <v>2021</v>
      </c>
      <c r="AV501">
        <v>48</v>
      </c>
      <c r="AW501">
        <v>11</v>
      </c>
      <c r="AX501" t="s">
        <v>74</v>
      </c>
      <c r="AY501" t="s">
        <v>74</v>
      </c>
      <c r="AZ501" t="s">
        <v>74</v>
      </c>
      <c r="BA501" t="s">
        <v>74</v>
      </c>
      <c r="BB501" t="s">
        <v>74</v>
      </c>
      <c r="BC501" t="s">
        <v>74</v>
      </c>
      <c r="BD501" t="s">
        <v>9983</v>
      </c>
      <c r="BE501" t="s">
        <v>9984</v>
      </c>
      <c r="BF501" t="str">
        <f>HYPERLINK("http://dx.doi.org/10.1029/2021GL093215","http://dx.doi.org/10.1029/2021GL093215")</f>
        <v>http://dx.doi.org/10.1029/2021GL093215</v>
      </c>
      <c r="BG501" t="s">
        <v>74</v>
      </c>
      <c r="BH501" t="s">
        <v>74</v>
      </c>
      <c r="BI501">
        <v>9</v>
      </c>
      <c r="BJ501" t="s">
        <v>405</v>
      </c>
      <c r="BK501" t="s">
        <v>128</v>
      </c>
      <c r="BL501" t="s">
        <v>406</v>
      </c>
      <c r="BM501" t="s">
        <v>9985</v>
      </c>
      <c r="BN501" t="s">
        <v>74</v>
      </c>
      <c r="BO501" t="s">
        <v>908</v>
      </c>
      <c r="BP501" t="s">
        <v>74</v>
      </c>
      <c r="BQ501" t="s">
        <v>74</v>
      </c>
      <c r="BR501" t="s">
        <v>102</v>
      </c>
      <c r="BS501" t="s">
        <v>9986</v>
      </c>
      <c r="BT501" t="str">
        <f>HYPERLINK("https%3A%2F%2Fwww.webofscience.com%2Fwos%2Fwoscc%2Ffull-record%2FWOS:000663558200010","View Full Record in Web of Science")</f>
        <v>View Full Record in Web of Science</v>
      </c>
    </row>
    <row r="502" spans="1:72" x14ac:dyDescent="0.15">
      <c r="A502" t="s">
        <v>72</v>
      </c>
      <c r="B502" t="s">
        <v>9987</v>
      </c>
      <c r="C502" t="s">
        <v>74</v>
      </c>
      <c r="D502" t="s">
        <v>74</v>
      </c>
      <c r="E502" t="s">
        <v>74</v>
      </c>
      <c r="F502" t="s">
        <v>9988</v>
      </c>
      <c r="G502" t="s">
        <v>74</v>
      </c>
      <c r="H502" t="s">
        <v>74</v>
      </c>
      <c r="I502" t="s">
        <v>9989</v>
      </c>
      <c r="J502" t="s">
        <v>2457</v>
      </c>
      <c r="K502" t="s">
        <v>74</v>
      </c>
      <c r="L502" t="s">
        <v>74</v>
      </c>
      <c r="M502" t="s">
        <v>78</v>
      </c>
      <c r="N502" t="s">
        <v>79</v>
      </c>
      <c r="O502" t="s">
        <v>74</v>
      </c>
      <c r="P502" t="s">
        <v>74</v>
      </c>
      <c r="Q502" t="s">
        <v>74</v>
      </c>
      <c r="R502" t="s">
        <v>74</v>
      </c>
      <c r="S502" t="s">
        <v>74</v>
      </c>
      <c r="T502" t="s">
        <v>9990</v>
      </c>
      <c r="U502" t="s">
        <v>9991</v>
      </c>
      <c r="V502" t="s">
        <v>9992</v>
      </c>
      <c r="W502" t="s">
        <v>9993</v>
      </c>
      <c r="X502" t="s">
        <v>9994</v>
      </c>
      <c r="Y502" t="s">
        <v>9995</v>
      </c>
      <c r="Z502" t="s">
        <v>9996</v>
      </c>
      <c r="AA502" t="s">
        <v>74</v>
      </c>
      <c r="AB502" t="s">
        <v>9997</v>
      </c>
      <c r="AC502" t="s">
        <v>9998</v>
      </c>
      <c r="AD502" t="s">
        <v>9999</v>
      </c>
      <c r="AE502" t="s">
        <v>10000</v>
      </c>
      <c r="AF502" t="s">
        <v>74</v>
      </c>
      <c r="AG502">
        <v>33</v>
      </c>
      <c r="AH502">
        <v>2</v>
      </c>
      <c r="AI502">
        <v>3</v>
      </c>
      <c r="AJ502">
        <v>3</v>
      </c>
      <c r="AK502">
        <v>37</v>
      </c>
      <c r="AL502" t="s">
        <v>864</v>
      </c>
      <c r="AM502" t="s">
        <v>865</v>
      </c>
      <c r="AN502" t="s">
        <v>866</v>
      </c>
      <c r="AO502" t="s">
        <v>2469</v>
      </c>
      <c r="AP502" t="s">
        <v>2470</v>
      </c>
      <c r="AQ502" t="s">
        <v>74</v>
      </c>
      <c r="AR502" t="s">
        <v>2471</v>
      </c>
      <c r="AS502" t="s">
        <v>2472</v>
      </c>
      <c r="AT502" t="s">
        <v>9932</v>
      </c>
      <c r="AU502">
        <v>2021</v>
      </c>
      <c r="AV502">
        <v>48</v>
      </c>
      <c r="AW502">
        <v>11</v>
      </c>
      <c r="AX502" t="s">
        <v>74</v>
      </c>
      <c r="AY502" t="s">
        <v>74</v>
      </c>
      <c r="AZ502" t="s">
        <v>74</v>
      </c>
      <c r="BA502" t="s">
        <v>74</v>
      </c>
      <c r="BB502" t="s">
        <v>74</v>
      </c>
      <c r="BC502" t="s">
        <v>74</v>
      </c>
      <c r="BD502" t="s">
        <v>10001</v>
      </c>
      <c r="BE502" t="s">
        <v>10002</v>
      </c>
      <c r="BF502" t="str">
        <f>HYPERLINK("http://dx.doi.org/10.1029/2021GL092826","http://dx.doi.org/10.1029/2021GL092826")</f>
        <v>http://dx.doi.org/10.1029/2021GL092826</v>
      </c>
      <c r="BG502" t="s">
        <v>74</v>
      </c>
      <c r="BH502" t="s">
        <v>74</v>
      </c>
      <c r="BI502">
        <v>9</v>
      </c>
      <c r="BJ502" t="s">
        <v>405</v>
      </c>
      <c r="BK502" t="s">
        <v>128</v>
      </c>
      <c r="BL502" t="s">
        <v>406</v>
      </c>
      <c r="BM502" t="s">
        <v>9985</v>
      </c>
      <c r="BN502" t="s">
        <v>74</v>
      </c>
      <c r="BO502" t="s">
        <v>74</v>
      </c>
      <c r="BP502" t="s">
        <v>74</v>
      </c>
      <c r="BQ502" t="s">
        <v>74</v>
      </c>
      <c r="BR502" t="s">
        <v>102</v>
      </c>
      <c r="BS502" t="s">
        <v>10003</v>
      </c>
      <c r="BT502" t="str">
        <f>HYPERLINK("https%3A%2F%2Fwww.webofscience.com%2Fwos%2Fwoscc%2Ffull-record%2FWOS:000663558200006","View Full Record in Web of Science")</f>
        <v>View Full Record in Web of Science</v>
      </c>
    </row>
    <row r="503" spans="1:72" x14ac:dyDescent="0.15">
      <c r="A503" t="s">
        <v>72</v>
      </c>
      <c r="B503" t="s">
        <v>10004</v>
      </c>
      <c r="C503" t="s">
        <v>74</v>
      </c>
      <c r="D503" t="s">
        <v>74</v>
      </c>
      <c r="E503" t="s">
        <v>74</v>
      </c>
      <c r="F503" t="s">
        <v>10005</v>
      </c>
      <c r="G503" t="s">
        <v>74</v>
      </c>
      <c r="H503" t="s">
        <v>74</v>
      </c>
      <c r="I503" t="s">
        <v>10006</v>
      </c>
      <c r="J503" t="s">
        <v>2457</v>
      </c>
      <c r="K503" t="s">
        <v>74</v>
      </c>
      <c r="L503" t="s">
        <v>74</v>
      </c>
      <c r="M503" t="s">
        <v>78</v>
      </c>
      <c r="N503" t="s">
        <v>79</v>
      </c>
      <c r="O503" t="s">
        <v>74</v>
      </c>
      <c r="P503" t="s">
        <v>74</v>
      </c>
      <c r="Q503" t="s">
        <v>74</v>
      </c>
      <c r="R503" t="s">
        <v>74</v>
      </c>
      <c r="S503" t="s">
        <v>74</v>
      </c>
      <c r="T503" t="s">
        <v>74</v>
      </c>
      <c r="U503" t="s">
        <v>10007</v>
      </c>
      <c r="V503" t="s">
        <v>10008</v>
      </c>
      <c r="W503" t="s">
        <v>10009</v>
      </c>
      <c r="X503" t="s">
        <v>10010</v>
      </c>
      <c r="Y503" t="s">
        <v>10011</v>
      </c>
      <c r="Z503" t="s">
        <v>10012</v>
      </c>
      <c r="AA503" t="s">
        <v>74</v>
      </c>
      <c r="AB503" t="s">
        <v>10013</v>
      </c>
      <c r="AC503" t="s">
        <v>10014</v>
      </c>
      <c r="AD503" t="s">
        <v>10015</v>
      </c>
      <c r="AE503" t="s">
        <v>10016</v>
      </c>
      <c r="AF503" t="s">
        <v>74</v>
      </c>
      <c r="AG503">
        <v>59</v>
      </c>
      <c r="AH503">
        <v>9</v>
      </c>
      <c r="AI503">
        <v>11</v>
      </c>
      <c r="AJ503">
        <v>2</v>
      </c>
      <c r="AK503">
        <v>16</v>
      </c>
      <c r="AL503" t="s">
        <v>864</v>
      </c>
      <c r="AM503" t="s">
        <v>865</v>
      </c>
      <c r="AN503" t="s">
        <v>866</v>
      </c>
      <c r="AO503" t="s">
        <v>2469</v>
      </c>
      <c r="AP503" t="s">
        <v>2470</v>
      </c>
      <c r="AQ503" t="s">
        <v>74</v>
      </c>
      <c r="AR503" t="s">
        <v>2471</v>
      </c>
      <c r="AS503" t="s">
        <v>2472</v>
      </c>
      <c r="AT503" t="s">
        <v>9932</v>
      </c>
      <c r="AU503">
        <v>2021</v>
      </c>
      <c r="AV503">
        <v>48</v>
      </c>
      <c r="AW503">
        <v>11</v>
      </c>
      <c r="AX503" t="s">
        <v>74</v>
      </c>
      <c r="AY503" t="s">
        <v>74</v>
      </c>
      <c r="AZ503" t="s">
        <v>74</v>
      </c>
      <c r="BA503" t="s">
        <v>74</v>
      </c>
      <c r="BB503" t="s">
        <v>74</v>
      </c>
      <c r="BC503" t="s">
        <v>74</v>
      </c>
      <c r="BD503" t="s">
        <v>10017</v>
      </c>
      <c r="BE503" t="s">
        <v>10018</v>
      </c>
      <c r="BF503" t="str">
        <f>HYPERLINK("http://dx.doi.org/10.1029/2020GL091835","http://dx.doi.org/10.1029/2020GL091835")</f>
        <v>http://dx.doi.org/10.1029/2020GL091835</v>
      </c>
      <c r="BG503" t="s">
        <v>74</v>
      </c>
      <c r="BH503" t="s">
        <v>74</v>
      </c>
      <c r="BI503">
        <v>10</v>
      </c>
      <c r="BJ503" t="s">
        <v>405</v>
      </c>
      <c r="BK503" t="s">
        <v>128</v>
      </c>
      <c r="BL503" t="s">
        <v>406</v>
      </c>
      <c r="BM503" t="s">
        <v>9985</v>
      </c>
      <c r="BN503" t="s">
        <v>74</v>
      </c>
      <c r="BO503" t="s">
        <v>209</v>
      </c>
      <c r="BP503" t="s">
        <v>74</v>
      </c>
      <c r="BQ503" t="s">
        <v>74</v>
      </c>
      <c r="BR503" t="s">
        <v>102</v>
      </c>
      <c r="BS503" t="s">
        <v>10019</v>
      </c>
      <c r="BT503" t="str">
        <f>HYPERLINK("https%3A%2F%2Fwww.webofscience.com%2Fwos%2Fwoscc%2Ffull-record%2FWOS:000663558200030","View Full Record in Web of Science")</f>
        <v>View Full Record in Web of Science</v>
      </c>
    </row>
    <row r="504" spans="1:72" x14ac:dyDescent="0.15">
      <c r="A504" t="s">
        <v>72</v>
      </c>
      <c r="B504" t="s">
        <v>10020</v>
      </c>
      <c r="C504" t="s">
        <v>74</v>
      </c>
      <c r="D504" t="s">
        <v>74</v>
      </c>
      <c r="E504" t="s">
        <v>74</v>
      </c>
      <c r="F504" t="s">
        <v>10021</v>
      </c>
      <c r="G504" t="s">
        <v>74</v>
      </c>
      <c r="H504" t="s">
        <v>74</v>
      </c>
      <c r="I504" t="s">
        <v>10022</v>
      </c>
      <c r="J504" t="s">
        <v>2457</v>
      </c>
      <c r="K504" t="s">
        <v>74</v>
      </c>
      <c r="L504" t="s">
        <v>74</v>
      </c>
      <c r="M504" t="s">
        <v>78</v>
      </c>
      <c r="N504" t="s">
        <v>79</v>
      </c>
      <c r="O504" t="s">
        <v>74</v>
      </c>
      <c r="P504" t="s">
        <v>74</v>
      </c>
      <c r="Q504" t="s">
        <v>74</v>
      </c>
      <c r="R504" t="s">
        <v>74</v>
      </c>
      <c r="S504" t="s">
        <v>74</v>
      </c>
      <c r="T504" t="s">
        <v>10023</v>
      </c>
      <c r="U504" t="s">
        <v>10024</v>
      </c>
      <c r="V504" t="s">
        <v>10025</v>
      </c>
      <c r="W504" t="s">
        <v>10026</v>
      </c>
      <c r="X504" t="s">
        <v>10027</v>
      </c>
      <c r="Y504" t="s">
        <v>10028</v>
      </c>
      <c r="Z504" t="s">
        <v>10029</v>
      </c>
      <c r="AA504" t="s">
        <v>10030</v>
      </c>
      <c r="AB504" t="s">
        <v>10031</v>
      </c>
      <c r="AC504" t="s">
        <v>10032</v>
      </c>
      <c r="AD504" t="s">
        <v>10033</v>
      </c>
      <c r="AE504" t="s">
        <v>10034</v>
      </c>
      <c r="AF504" t="s">
        <v>74</v>
      </c>
      <c r="AG504">
        <v>43</v>
      </c>
      <c r="AH504">
        <v>12</v>
      </c>
      <c r="AI504">
        <v>13</v>
      </c>
      <c r="AJ504">
        <v>4</v>
      </c>
      <c r="AK504">
        <v>26</v>
      </c>
      <c r="AL504" t="s">
        <v>864</v>
      </c>
      <c r="AM504" t="s">
        <v>865</v>
      </c>
      <c r="AN504" t="s">
        <v>866</v>
      </c>
      <c r="AO504" t="s">
        <v>2469</v>
      </c>
      <c r="AP504" t="s">
        <v>2470</v>
      </c>
      <c r="AQ504" t="s">
        <v>74</v>
      </c>
      <c r="AR504" t="s">
        <v>2471</v>
      </c>
      <c r="AS504" t="s">
        <v>2472</v>
      </c>
      <c r="AT504" t="s">
        <v>9932</v>
      </c>
      <c r="AU504">
        <v>2021</v>
      </c>
      <c r="AV504">
        <v>48</v>
      </c>
      <c r="AW504">
        <v>11</v>
      </c>
      <c r="AX504" t="s">
        <v>74</v>
      </c>
      <c r="AY504" t="s">
        <v>74</v>
      </c>
      <c r="AZ504" t="s">
        <v>74</v>
      </c>
      <c r="BA504" t="s">
        <v>74</v>
      </c>
      <c r="BB504" t="s">
        <v>74</v>
      </c>
      <c r="BC504" t="s">
        <v>74</v>
      </c>
      <c r="BD504" t="s">
        <v>10035</v>
      </c>
      <c r="BE504" t="s">
        <v>10036</v>
      </c>
      <c r="BF504" t="str">
        <f>HYPERLINK("http://dx.doi.org/10.1029/2021GL092582","http://dx.doi.org/10.1029/2021GL092582")</f>
        <v>http://dx.doi.org/10.1029/2021GL092582</v>
      </c>
      <c r="BG504" t="s">
        <v>74</v>
      </c>
      <c r="BH504" t="s">
        <v>74</v>
      </c>
      <c r="BI504">
        <v>10</v>
      </c>
      <c r="BJ504" t="s">
        <v>405</v>
      </c>
      <c r="BK504" t="s">
        <v>128</v>
      </c>
      <c r="BL504" t="s">
        <v>406</v>
      </c>
      <c r="BM504" t="s">
        <v>10037</v>
      </c>
      <c r="BN504" t="s">
        <v>74</v>
      </c>
      <c r="BO504" t="s">
        <v>74</v>
      </c>
      <c r="BP504" t="s">
        <v>74</v>
      </c>
      <c r="BQ504" t="s">
        <v>74</v>
      </c>
      <c r="BR504" t="s">
        <v>102</v>
      </c>
      <c r="BS504" t="s">
        <v>10038</v>
      </c>
      <c r="BT504" t="str">
        <f>HYPERLINK("https%3A%2F%2Fwww.webofscience.com%2Fwos%2Fwoscc%2Ffull-record%2FWOS:000663558600024","View Full Record in Web of Science")</f>
        <v>View Full Record in Web of Science</v>
      </c>
    </row>
    <row r="505" spans="1:72" x14ac:dyDescent="0.15">
      <c r="A505" t="s">
        <v>72</v>
      </c>
      <c r="B505" t="s">
        <v>10039</v>
      </c>
      <c r="C505" t="s">
        <v>74</v>
      </c>
      <c r="D505" t="s">
        <v>74</v>
      </c>
      <c r="E505" t="s">
        <v>74</v>
      </c>
      <c r="F505" t="s">
        <v>10040</v>
      </c>
      <c r="G505" t="s">
        <v>74</v>
      </c>
      <c r="H505" t="s">
        <v>74</v>
      </c>
      <c r="I505" t="s">
        <v>10041</v>
      </c>
      <c r="J505" t="s">
        <v>10042</v>
      </c>
      <c r="K505" t="s">
        <v>74</v>
      </c>
      <c r="L505" t="s">
        <v>74</v>
      </c>
      <c r="M505" t="s">
        <v>78</v>
      </c>
      <c r="N505" t="s">
        <v>79</v>
      </c>
      <c r="O505" t="s">
        <v>74</v>
      </c>
      <c r="P505" t="s">
        <v>74</v>
      </c>
      <c r="Q505" t="s">
        <v>74</v>
      </c>
      <c r="R505" t="s">
        <v>74</v>
      </c>
      <c r="S505" t="s">
        <v>74</v>
      </c>
      <c r="T505" t="s">
        <v>10043</v>
      </c>
      <c r="U505" t="s">
        <v>10044</v>
      </c>
      <c r="V505" t="s">
        <v>10045</v>
      </c>
      <c r="W505" t="s">
        <v>10046</v>
      </c>
      <c r="X505" t="s">
        <v>10047</v>
      </c>
      <c r="Y505" t="s">
        <v>10048</v>
      </c>
      <c r="Z505" t="s">
        <v>10049</v>
      </c>
      <c r="AA505" t="s">
        <v>10050</v>
      </c>
      <c r="AB505" t="s">
        <v>10051</v>
      </c>
      <c r="AC505" t="s">
        <v>10052</v>
      </c>
      <c r="AD505" t="s">
        <v>10053</v>
      </c>
      <c r="AE505" t="s">
        <v>10054</v>
      </c>
      <c r="AF505" t="s">
        <v>74</v>
      </c>
      <c r="AG505">
        <v>46</v>
      </c>
      <c r="AH505">
        <v>1</v>
      </c>
      <c r="AI505">
        <v>1</v>
      </c>
      <c r="AJ505">
        <v>3</v>
      </c>
      <c r="AK505">
        <v>28</v>
      </c>
      <c r="AL505" t="s">
        <v>504</v>
      </c>
      <c r="AM505" t="s">
        <v>368</v>
      </c>
      <c r="AN505" t="s">
        <v>505</v>
      </c>
      <c r="AO505" t="s">
        <v>10055</v>
      </c>
      <c r="AP505" t="s">
        <v>10056</v>
      </c>
      <c r="AQ505" t="s">
        <v>74</v>
      </c>
      <c r="AR505" t="s">
        <v>10057</v>
      </c>
      <c r="AS505" t="s">
        <v>10058</v>
      </c>
      <c r="AT505" t="s">
        <v>9932</v>
      </c>
      <c r="AU505">
        <v>2021</v>
      </c>
      <c r="AV505">
        <v>17</v>
      </c>
      <c r="AW505">
        <v>6</v>
      </c>
      <c r="AX505" t="s">
        <v>74</v>
      </c>
      <c r="AY505" t="s">
        <v>74</v>
      </c>
      <c r="AZ505" t="s">
        <v>74</v>
      </c>
      <c r="BA505" t="s">
        <v>74</v>
      </c>
      <c r="BB505" t="s">
        <v>74</v>
      </c>
      <c r="BC505" t="s">
        <v>74</v>
      </c>
      <c r="BD505">
        <v>20210097</v>
      </c>
      <c r="BE505" t="s">
        <v>10059</v>
      </c>
      <c r="BF505" t="str">
        <f>HYPERLINK("http://dx.doi.org/10.1098/rsbl.2021.0097","http://dx.doi.org/10.1098/rsbl.2021.0097")</f>
        <v>http://dx.doi.org/10.1098/rsbl.2021.0097</v>
      </c>
      <c r="BG505" t="s">
        <v>74</v>
      </c>
      <c r="BH505" t="s">
        <v>74</v>
      </c>
      <c r="BI505">
        <v>7</v>
      </c>
      <c r="BJ505" t="s">
        <v>10060</v>
      </c>
      <c r="BK505" t="s">
        <v>128</v>
      </c>
      <c r="BL505" t="s">
        <v>10061</v>
      </c>
      <c r="BM505" t="s">
        <v>10062</v>
      </c>
      <c r="BN505" t="s">
        <v>74</v>
      </c>
      <c r="BO505" t="s">
        <v>10063</v>
      </c>
      <c r="BP505" t="s">
        <v>74</v>
      </c>
      <c r="BQ505" t="s">
        <v>74</v>
      </c>
      <c r="BR505" t="s">
        <v>102</v>
      </c>
      <c r="BS505" t="s">
        <v>10064</v>
      </c>
      <c r="BT505" t="str">
        <f>HYPERLINK("https%3A%2F%2Fwww.webofscience.com%2Fwos%2Fwoscc%2Ffull-record%2FWOS:000664194000001","View Full Record in Web of Science")</f>
        <v>View Full Record in Web of Science</v>
      </c>
    </row>
    <row r="506" spans="1:72" x14ac:dyDescent="0.15">
      <c r="A506" t="s">
        <v>72</v>
      </c>
      <c r="B506" t="s">
        <v>10065</v>
      </c>
      <c r="C506" t="s">
        <v>74</v>
      </c>
      <c r="D506" t="s">
        <v>74</v>
      </c>
      <c r="E506" t="s">
        <v>74</v>
      </c>
      <c r="F506" t="s">
        <v>10066</v>
      </c>
      <c r="G506" t="s">
        <v>74</v>
      </c>
      <c r="H506" t="s">
        <v>74</v>
      </c>
      <c r="I506" t="s">
        <v>10067</v>
      </c>
      <c r="J506" t="s">
        <v>10068</v>
      </c>
      <c r="K506" t="s">
        <v>74</v>
      </c>
      <c r="L506" t="s">
        <v>74</v>
      </c>
      <c r="M506" t="s">
        <v>78</v>
      </c>
      <c r="N506" t="s">
        <v>79</v>
      </c>
      <c r="O506" t="s">
        <v>74</v>
      </c>
      <c r="P506" t="s">
        <v>74</v>
      </c>
      <c r="Q506" t="s">
        <v>74</v>
      </c>
      <c r="R506" t="s">
        <v>74</v>
      </c>
      <c r="S506" t="s">
        <v>74</v>
      </c>
      <c r="T506" t="s">
        <v>10069</v>
      </c>
      <c r="U506" t="s">
        <v>10070</v>
      </c>
      <c r="V506" t="s">
        <v>10071</v>
      </c>
      <c r="W506" t="s">
        <v>10072</v>
      </c>
      <c r="X506" t="s">
        <v>5538</v>
      </c>
      <c r="Y506" t="s">
        <v>5539</v>
      </c>
      <c r="Z506" t="s">
        <v>10073</v>
      </c>
      <c r="AA506" t="s">
        <v>74</v>
      </c>
      <c r="AB506" t="s">
        <v>10074</v>
      </c>
      <c r="AC506" t="s">
        <v>74</v>
      </c>
      <c r="AD506" t="s">
        <v>74</v>
      </c>
      <c r="AE506" t="s">
        <v>74</v>
      </c>
      <c r="AF506" t="s">
        <v>74</v>
      </c>
      <c r="AG506">
        <v>26</v>
      </c>
      <c r="AH506">
        <v>7</v>
      </c>
      <c r="AI506">
        <v>7</v>
      </c>
      <c r="AJ506">
        <v>5</v>
      </c>
      <c r="AK506">
        <v>21</v>
      </c>
      <c r="AL506" t="s">
        <v>10075</v>
      </c>
      <c r="AM506" t="s">
        <v>10076</v>
      </c>
      <c r="AN506" t="s">
        <v>10077</v>
      </c>
      <c r="AO506" t="s">
        <v>10078</v>
      </c>
      <c r="AP506" t="s">
        <v>10079</v>
      </c>
      <c r="AQ506" t="s">
        <v>74</v>
      </c>
      <c r="AR506" t="s">
        <v>10080</v>
      </c>
      <c r="AS506" t="s">
        <v>10081</v>
      </c>
      <c r="AT506" t="s">
        <v>430</v>
      </c>
      <c r="AU506">
        <v>2021</v>
      </c>
      <c r="AV506">
        <v>87</v>
      </c>
      <c r="AW506">
        <v>4</v>
      </c>
      <c r="AX506" t="s">
        <v>74</v>
      </c>
      <c r="AY506" t="s">
        <v>74</v>
      </c>
      <c r="AZ506" t="s">
        <v>74</v>
      </c>
      <c r="BA506" t="s">
        <v>74</v>
      </c>
      <c r="BB506">
        <v>619</v>
      </c>
      <c r="BC506">
        <v>626</v>
      </c>
      <c r="BD506" t="s">
        <v>74</v>
      </c>
      <c r="BE506" t="s">
        <v>10082</v>
      </c>
      <c r="BF506" t="str">
        <f>HYPERLINK("http://dx.doi.org/10.1007/s12562-021-01530-9","http://dx.doi.org/10.1007/s12562-021-01530-9")</f>
        <v>http://dx.doi.org/10.1007/s12562-021-01530-9</v>
      </c>
      <c r="BG506" t="s">
        <v>74</v>
      </c>
      <c r="BH506" t="s">
        <v>8134</v>
      </c>
      <c r="BI506">
        <v>8</v>
      </c>
      <c r="BJ506" t="s">
        <v>99</v>
      </c>
      <c r="BK506" t="s">
        <v>128</v>
      </c>
      <c r="BL506" t="s">
        <v>99</v>
      </c>
      <c r="BM506" t="s">
        <v>10083</v>
      </c>
      <c r="BN506" t="s">
        <v>74</v>
      </c>
      <c r="BO506" t="s">
        <v>291</v>
      </c>
      <c r="BP506" t="s">
        <v>74</v>
      </c>
      <c r="BQ506" t="s">
        <v>74</v>
      </c>
      <c r="BR506" t="s">
        <v>102</v>
      </c>
      <c r="BS506" t="s">
        <v>10084</v>
      </c>
      <c r="BT506" t="str">
        <f>HYPERLINK("https%3A%2F%2Fwww.webofscience.com%2Fwos%2Fwoscc%2Ffull-record%2FWOS:000662134000001","View Full Record in Web of Science")</f>
        <v>View Full Record in Web of Science</v>
      </c>
    </row>
    <row r="507" spans="1:72" x14ac:dyDescent="0.15">
      <c r="A507" t="s">
        <v>72</v>
      </c>
      <c r="B507" t="s">
        <v>10085</v>
      </c>
      <c r="C507" t="s">
        <v>74</v>
      </c>
      <c r="D507" t="s">
        <v>74</v>
      </c>
      <c r="E507" t="s">
        <v>74</v>
      </c>
      <c r="F507" t="s">
        <v>10086</v>
      </c>
      <c r="G507" t="s">
        <v>74</v>
      </c>
      <c r="H507" t="s">
        <v>74</v>
      </c>
      <c r="I507" t="s">
        <v>10087</v>
      </c>
      <c r="J507" t="s">
        <v>1729</v>
      </c>
      <c r="K507" t="s">
        <v>74</v>
      </c>
      <c r="L507" t="s">
        <v>74</v>
      </c>
      <c r="M507" t="s">
        <v>78</v>
      </c>
      <c r="N507" t="s">
        <v>79</v>
      </c>
      <c r="O507" t="s">
        <v>74</v>
      </c>
      <c r="P507" t="s">
        <v>74</v>
      </c>
      <c r="Q507" t="s">
        <v>74</v>
      </c>
      <c r="R507" t="s">
        <v>74</v>
      </c>
      <c r="S507" t="s">
        <v>74</v>
      </c>
      <c r="T507" t="s">
        <v>10088</v>
      </c>
      <c r="U507" t="s">
        <v>10089</v>
      </c>
      <c r="V507" t="s">
        <v>10090</v>
      </c>
      <c r="W507" t="s">
        <v>10091</v>
      </c>
      <c r="X507" t="s">
        <v>10092</v>
      </c>
      <c r="Y507" t="s">
        <v>10093</v>
      </c>
      <c r="Z507" t="s">
        <v>10094</v>
      </c>
      <c r="AA507" t="s">
        <v>10095</v>
      </c>
      <c r="AB507" t="s">
        <v>10096</v>
      </c>
      <c r="AC507" t="s">
        <v>10097</v>
      </c>
      <c r="AD507" t="s">
        <v>10098</v>
      </c>
      <c r="AE507" t="s">
        <v>10099</v>
      </c>
      <c r="AF507" t="s">
        <v>74</v>
      </c>
      <c r="AG507">
        <v>87</v>
      </c>
      <c r="AH507">
        <v>14</v>
      </c>
      <c r="AI507">
        <v>15</v>
      </c>
      <c r="AJ507">
        <v>11</v>
      </c>
      <c r="AK507">
        <v>58</v>
      </c>
      <c r="AL507" t="s">
        <v>864</v>
      </c>
      <c r="AM507" t="s">
        <v>865</v>
      </c>
      <c r="AN507" t="s">
        <v>866</v>
      </c>
      <c r="AO507" t="s">
        <v>1739</v>
      </c>
      <c r="AP507" t="s">
        <v>1740</v>
      </c>
      <c r="AQ507" t="s">
        <v>74</v>
      </c>
      <c r="AR507" t="s">
        <v>1741</v>
      </c>
      <c r="AS507" t="s">
        <v>1742</v>
      </c>
      <c r="AT507" t="s">
        <v>9932</v>
      </c>
      <c r="AU507">
        <v>2021</v>
      </c>
      <c r="AV507">
        <v>126</v>
      </c>
      <c r="AW507">
        <v>11</v>
      </c>
      <c r="AX507" t="s">
        <v>74</v>
      </c>
      <c r="AY507" t="s">
        <v>74</v>
      </c>
      <c r="AZ507" t="s">
        <v>74</v>
      </c>
      <c r="BA507" t="s">
        <v>74</v>
      </c>
      <c r="BB507" t="s">
        <v>74</v>
      </c>
      <c r="BC507" t="s">
        <v>74</v>
      </c>
      <c r="BD507" t="s">
        <v>10100</v>
      </c>
      <c r="BE507" t="s">
        <v>10101</v>
      </c>
      <c r="BF507" t="str">
        <f>HYPERLINK("http://dx.doi.org/10.1029/2021JD034811","http://dx.doi.org/10.1029/2021JD034811")</f>
        <v>http://dx.doi.org/10.1029/2021JD034811</v>
      </c>
      <c r="BG507" t="s">
        <v>74</v>
      </c>
      <c r="BH507" t="s">
        <v>74</v>
      </c>
      <c r="BI507">
        <v>24</v>
      </c>
      <c r="BJ507" t="s">
        <v>567</v>
      </c>
      <c r="BK507" t="s">
        <v>128</v>
      </c>
      <c r="BL507" t="s">
        <v>567</v>
      </c>
      <c r="BM507" t="s">
        <v>10102</v>
      </c>
      <c r="BN507">
        <v>34221783</v>
      </c>
      <c r="BO507" t="s">
        <v>1154</v>
      </c>
      <c r="BP507" t="s">
        <v>74</v>
      </c>
      <c r="BQ507" t="s">
        <v>74</v>
      </c>
      <c r="BR507" t="s">
        <v>102</v>
      </c>
      <c r="BS507" t="s">
        <v>10103</v>
      </c>
      <c r="BT507" t="str">
        <f>HYPERLINK("https%3A%2F%2Fwww.webofscience.com%2Fwos%2Fwoscc%2Ffull-record%2FWOS:000663557500038","View Full Record in Web of Science")</f>
        <v>View Full Record in Web of Science</v>
      </c>
    </row>
    <row r="508" spans="1:72" x14ac:dyDescent="0.15">
      <c r="A508" t="s">
        <v>72</v>
      </c>
      <c r="B508" t="s">
        <v>10104</v>
      </c>
      <c r="C508" t="s">
        <v>74</v>
      </c>
      <c r="D508" t="s">
        <v>74</v>
      </c>
      <c r="E508" t="s">
        <v>74</v>
      </c>
      <c r="F508" t="s">
        <v>10105</v>
      </c>
      <c r="G508" t="s">
        <v>74</v>
      </c>
      <c r="H508" t="s">
        <v>74</v>
      </c>
      <c r="I508" t="s">
        <v>10106</v>
      </c>
      <c r="J508" t="s">
        <v>10107</v>
      </c>
      <c r="K508" t="s">
        <v>74</v>
      </c>
      <c r="L508" t="s">
        <v>74</v>
      </c>
      <c r="M508" t="s">
        <v>78</v>
      </c>
      <c r="N508" t="s">
        <v>79</v>
      </c>
      <c r="O508" t="s">
        <v>74</v>
      </c>
      <c r="P508" t="s">
        <v>74</v>
      </c>
      <c r="Q508" t="s">
        <v>74</v>
      </c>
      <c r="R508" t="s">
        <v>74</v>
      </c>
      <c r="S508" t="s">
        <v>74</v>
      </c>
      <c r="T508" t="s">
        <v>10108</v>
      </c>
      <c r="U508" t="s">
        <v>10109</v>
      </c>
      <c r="V508" t="s">
        <v>10110</v>
      </c>
      <c r="W508" t="s">
        <v>10111</v>
      </c>
      <c r="X508" t="s">
        <v>10112</v>
      </c>
      <c r="Y508" t="s">
        <v>10113</v>
      </c>
      <c r="Z508" t="s">
        <v>10114</v>
      </c>
      <c r="AA508" t="s">
        <v>10115</v>
      </c>
      <c r="AB508" t="s">
        <v>10116</v>
      </c>
      <c r="AC508" t="s">
        <v>10117</v>
      </c>
      <c r="AD508" t="s">
        <v>10118</v>
      </c>
      <c r="AE508" t="s">
        <v>10119</v>
      </c>
      <c r="AF508" t="s">
        <v>74</v>
      </c>
      <c r="AG508">
        <v>53</v>
      </c>
      <c r="AH508">
        <v>5</v>
      </c>
      <c r="AI508">
        <v>5</v>
      </c>
      <c r="AJ508">
        <v>2</v>
      </c>
      <c r="AK508">
        <v>14</v>
      </c>
      <c r="AL508" t="s">
        <v>197</v>
      </c>
      <c r="AM508" t="s">
        <v>198</v>
      </c>
      <c r="AN508" t="s">
        <v>199</v>
      </c>
      <c r="AO508" t="s">
        <v>10120</v>
      </c>
      <c r="AP508" t="s">
        <v>10121</v>
      </c>
      <c r="AQ508" t="s">
        <v>74</v>
      </c>
      <c r="AR508" t="s">
        <v>10122</v>
      </c>
      <c r="AS508" t="s">
        <v>10123</v>
      </c>
      <c r="AT508" t="s">
        <v>96</v>
      </c>
      <c r="AU508">
        <v>2021</v>
      </c>
      <c r="AV508">
        <v>30</v>
      </c>
      <c r="AW508">
        <v>6</v>
      </c>
      <c r="AX508" t="s">
        <v>74</v>
      </c>
      <c r="AY508" t="s">
        <v>74</v>
      </c>
      <c r="AZ508" t="s">
        <v>74</v>
      </c>
      <c r="BA508" t="s">
        <v>74</v>
      </c>
      <c r="BB508">
        <v>697</v>
      </c>
      <c r="BC508">
        <v>706</v>
      </c>
      <c r="BD508" t="s">
        <v>74</v>
      </c>
      <c r="BE508" t="s">
        <v>10124</v>
      </c>
      <c r="BF508" t="str">
        <f>HYPERLINK("http://dx.doi.org/10.1111/fog.12552","http://dx.doi.org/10.1111/fog.12552")</f>
        <v>http://dx.doi.org/10.1111/fog.12552</v>
      </c>
      <c r="BG508" t="s">
        <v>74</v>
      </c>
      <c r="BH508" t="s">
        <v>8134</v>
      </c>
      <c r="BI508">
        <v>10</v>
      </c>
      <c r="BJ508" t="s">
        <v>10125</v>
      </c>
      <c r="BK508" t="s">
        <v>128</v>
      </c>
      <c r="BL508" t="s">
        <v>10125</v>
      </c>
      <c r="BM508" t="s">
        <v>10126</v>
      </c>
      <c r="BN508" t="s">
        <v>74</v>
      </c>
      <c r="BO508" t="s">
        <v>74</v>
      </c>
      <c r="BP508" t="s">
        <v>74</v>
      </c>
      <c r="BQ508" t="s">
        <v>74</v>
      </c>
      <c r="BR508" t="s">
        <v>102</v>
      </c>
      <c r="BS508" t="s">
        <v>10127</v>
      </c>
      <c r="BT508" t="str">
        <f>HYPERLINK("https%3A%2F%2Fwww.webofscience.com%2Fwos%2Fwoscc%2Ffull-record%2FWOS:000661974400001","View Full Record in Web of Science")</f>
        <v>View Full Record in Web of Science</v>
      </c>
    </row>
    <row r="509" spans="1:72" x14ac:dyDescent="0.15">
      <c r="A509" t="s">
        <v>72</v>
      </c>
      <c r="B509" t="s">
        <v>10128</v>
      </c>
      <c r="C509" t="s">
        <v>74</v>
      </c>
      <c r="D509" t="s">
        <v>74</v>
      </c>
      <c r="E509" t="s">
        <v>74</v>
      </c>
      <c r="F509" t="s">
        <v>10129</v>
      </c>
      <c r="G509" t="s">
        <v>74</v>
      </c>
      <c r="H509" t="s">
        <v>74</v>
      </c>
      <c r="I509" t="s">
        <v>10130</v>
      </c>
      <c r="J509" t="s">
        <v>3729</v>
      </c>
      <c r="K509" t="s">
        <v>74</v>
      </c>
      <c r="L509" t="s">
        <v>74</v>
      </c>
      <c r="M509" t="s">
        <v>78</v>
      </c>
      <c r="N509" t="s">
        <v>79</v>
      </c>
      <c r="O509" t="s">
        <v>74</v>
      </c>
      <c r="P509" t="s">
        <v>74</v>
      </c>
      <c r="Q509" t="s">
        <v>74</v>
      </c>
      <c r="R509" t="s">
        <v>74</v>
      </c>
      <c r="S509" t="s">
        <v>74</v>
      </c>
      <c r="T509" t="s">
        <v>10131</v>
      </c>
      <c r="U509" t="s">
        <v>10132</v>
      </c>
      <c r="V509" t="s">
        <v>10133</v>
      </c>
      <c r="W509" t="s">
        <v>10134</v>
      </c>
      <c r="X509" t="s">
        <v>10135</v>
      </c>
      <c r="Y509" t="s">
        <v>10136</v>
      </c>
      <c r="Z509" t="s">
        <v>10137</v>
      </c>
      <c r="AA509" t="s">
        <v>10138</v>
      </c>
      <c r="AB509" t="s">
        <v>10139</v>
      </c>
      <c r="AC509" t="s">
        <v>10140</v>
      </c>
      <c r="AD509" t="s">
        <v>10141</v>
      </c>
      <c r="AE509" t="s">
        <v>10142</v>
      </c>
      <c r="AF509" t="s">
        <v>74</v>
      </c>
      <c r="AG509">
        <v>70</v>
      </c>
      <c r="AH509">
        <v>2</v>
      </c>
      <c r="AI509">
        <v>2</v>
      </c>
      <c r="AJ509">
        <v>3</v>
      </c>
      <c r="AK509">
        <v>19</v>
      </c>
      <c r="AL509" t="s">
        <v>281</v>
      </c>
      <c r="AM509" t="s">
        <v>228</v>
      </c>
      <c r="AN509" t="s">
        <v>282</v>
      </c>
      <c r="AO509" t="s">
        <v>3742</v>
      </c>
      <c r="AP509" t="s">
        <v>3743</v>
      </c>
      <c r="AQ509" t="s">
        <v>74</v>
      </c>
      <c r="AR509" t="s">
        <v>3744</v>
      </c>
      <c r="AS509" t="s">
        <v>3745</v>
      </c>
      <c r="AT509" t="s">
        <v>4241</v>
      </c>
      <c r="AU509">
        <v>2021</v>
      </c>
      <c r="AV509">
        <v>264</v>
      </c>
      <c r="AW509" t="s">
        <v>74</v>
      </c>
      <c r="AX509" t="s">
        <v>74</v>
      </c>
      <c r="AY509" t="s">
        <v>74</v>
      </c>
      <c r="AZ509" t="s">
        <v>74</v>
      </c>
      <c r="BA509" t="s">
        <v>74</v>
      </c>
      <c r="BB509" t="s">
        <v>74</v>
      </c>
      <c r="BC509" t="s">
        <v>74</v>
      </c>
      <c r="BD509">
        <v>107010</v>
      </c>
      <c r="BE509" t="s">
        <v>10143</v>
      </c>
      <c r="BF509" t="str">
        <f>HYPERLINK("http://dx.doi.org/10.1016/j.quascirev.2021.107010","http://dx.doi.org/10.1016/j.quascirev.2021.107010")</f>
        <v>http://dx.doi.org/10.1016/j.quascirev.2021.107010</v>
      </c>
      <c r="BG509" t="s">
        <v>74</v>
      </c>
      <c r="BH509" t="s">
        <v>8134</v>
      </c>
      <c r="BI509">
        <v>10</v>
      </c>
      <c r="BJ509" t="s">
        <v>151</v>
      </c>
      <c r="BK509" t="s">
        <v>128</v>
      </c>
      <c r="BL509" t="s">
        <v>152</v>
      </c>
      <c r="BM509" t="s">
        <v>9773</v>
      </c>
      <c r="BN509" t="s">
        <v>74</v>
      </c>
      <c r="BO509" t="s">
        <v>291</v>
      </c>
      <c r="BP509" t="s">
        <v>74</v>
      </c>
      <c r="BQ509" t="s">
        <v>74</v>
      </c>
      <c r="BR509" t="s">
        <v>102</v>
      </c>
      <c r="BS509" t="s">
        <v>10144</v>
      </c>
      <c r="BT509" t="str">
        <f>HYPERLINK("https%3A%2F%2Fwww.webofscience.com%2Fwos%2Fwoscc%2Ffull-record%2FWOS:000674619500005","View Full Record in Web of Science")</f>
        <v>View Full Record in Web of Science</v>
      </c>
    </row>
    <row r="510" spans="1:72" x14ac:dyDescent="0.15">
      <c r="A510" t="s">
        <v>72</v>
      </c>
      <c r="B510" t="s">
        <v>10145</v>
      </c>
      <c r="C510" t="s">
        <v>74</v>
      </c>
      <c r="D510" t="s">
        <v>74</v>
      </c>
      <c r="E510" t="s">
        <v>74</v>
      </c>
      <c r="F510" t="s">
        <v>10146</v>
      </c>
      <c r="G510" t="s">
        <v>74</v>
      </c>
      <c r="H510" t="s">
        <v>74</v>
      </c>
      <c r="I510" t="s">
        <v>10147</v>
      </c>
      <c r="J510" t="s">
        <v>10148</v>
      </c>
      <c r="K510" t="s">
        <v>74</v>
      </c>
      <c r="L510" t="s">
        <v>74</v>
      </c>
      <c r="M510" t="s">
        <v>78</v>
      </c>
      <c r="N510" t="s">
        <v>700</v>
      </c>
      <c r="O510" t="s">
        <v>74</v>
      </c>
      <c r="P510" t="s">
        <v>74</v>
      </c>
      <c r="Q510" t="s">
        <v>74</v>
      </c>
      <c r="R510" t="s">
        <v>74</v>
      </c>
      <c r="S510" t="s">
        <v>74</v>
      </c>
      <c r="T510" t="s">
        <v>10149</v>
      </c>
      <c r="U510" t="s">
        <v>10150</v>
      </c>
      <c r="V510" t="s">
        <v>10151</v>
      </c>
      <c r="W510" t="s">
        <v>10152</v>
      </c>
      <c r="X510" t="s">
        <v>10153</v>
      </c>
      <c r="Y510" t="s">
        <v>10154</v>
      </c>
      <c r="Z510" t="s">
        <v>10155</v>
      </c>
      <c r="AA510" t="s">
        <v>10156</v>
      </c>
      <c r="AB510" t="s">
        <v>10157</v>
      </c>
      <c r="AC510" t="s">
        <v>10158</v>
      </c>
      <c r="AD510" t="s">
        <v>10159</v>
      </c>
      <c r="AE510" t="s">
        <v>10160</v>
      </c>
      <c r="AF510" t="s">
        <v>74</v>
      </c>
      <c r="AG510">
        <v>38</v>
      </c>
      <c r="AH510">
        <v>34</v>
      </c>
      <c r="AI510">
        <v>38</v>
      </c>
      <c r="AJ510">
        <v>3</v>
      </c>
      <c r="AK510">
        <v>32</v>
      </c>
      <c r="AL510" t="s">
        <v>89</v>
      </c>
      <c r="AM510" t="s">
        <v>90</v>
      </c>
      <c r="AN510" t="s">
        <v>4000</v>
      </c>
      <c r="AO510" t="s">
        <v>10161</v>
      </c>
      <c r="AP510" t="s">
        <v>10162</v>
      </c>
      <c r="AQ510" t="s">
        <v>74</v>
      </c>
      <c r="AR510" t="s">
        <v>10163</v>
      </c>
      <c r="AS510" t="s">
        <v>10164</v>
      </c>
      <c r="AT510" t="s">
        <v>4571</v>
      </c>
      <c r="AU510">
        <v>2021</v>
      </c>
      <c r="AV510">
        <v>28</v>
      </c>
      <c r="AW510" t="s">
        <v>74</v>
      </c>
      <c r="AX510" t="s">
        <v>74</v>
      </c>
      <c r="AY510" t="s">
        <v>74</v>
      </c>
      <c r="AZ510" t="s">
        <v>74</v>
      </c>
      <c r="BA510" t="s">
        <v>74</v>
      </c>
      <c r="BB510" t="s">
        <v>74</v>
      </c>
      <c r="BC510" t="s">
        <v>74</v>
      </c>
      <c r="BD510">
        <v>100653</v>
      </c>
      <c r="BE510" t="s">
        <v>10165</v>
      </c>
      <c r="BF510" t="str">
        <f>HYPERLINK("http://dx.doi.org/10.1016/j.polar.2021.100653","http://dx.doi.org/10.1016/j.polar.2021.100653")</f>
        <v>http://dx.doi.org/10.1016/j.polar.2021.100653</v>
      </c>
      <c r="BG510" t="s">
        <v>74</v>
      </c>
      <c r="BH510" t="s">
        <v>8134</v>
      </c>
      <c r="BI510">
        <v>8</v>
      </c>
      <c r="BJ510" t="s">
        <v>3326</v>
      </c>
      <c r="BK510" t="s">
        <v>128</v>
      </c>
      <c r="BL510" t="s">
        <v>3327</v>
      </c>
      <c r="BM510" t="s">
        <v>10166</v>
      </c>
      <c r="BN510" t="s">
        <v>74</v>
      </c>
      <c r="BO510" t="s">
        <v>291</v>
      </c>
      <c r="BP510" t="s">
        <v>74</v>
      </c>
      <c r="BQ510" t="s">
        <v>74</v>
      </c>
      <c r="BR510" t="s">
        <v>102</v>
      </c>
      <c r="BS510" t="s">
        <v>10167</v>
      </c>
      <c r="BT510" t="str">
        <f>HYPERLINK("https%3A%2F%2Fwww.webofscience.com%2Fwos%2Fwoscc%2Ffull-record%2FWOS:000670361800001","View Full Record in Web of Science")</f>
        <v>View Full Record in Web of Science</v>
      </c>
    </row>
    <row r="511" spans="1:72" x14ac:dyDescent="0.15">
      <c r="A511" t="s">
        <v>72</v>
      </c>
      <c r="B511" t="s">
        <v>10168</v>
      </c>
      <c r="C511" t="s">
        <v>74</v>
      </c>
      <c r="D511" t="s">
        <v>74</v>
      </c>
      <c r="E511" t="s">
        <v>74</v>
      </c>
      <c r="F511" t="s">
        <v>10169</v>
      </c>
      <c r="G511" t="s">
        <v>74</v>
      </c>
      <c r="H511" t="s">
        <v>74</v>
      </c>
      <c r="I511" t="s">
        <v>10170</v>
      </c>
      <c r="J511" t="s">
        <v>10148</v>
      </c>
      <c r="K511" t="s">
        <v>74</v>
      </c>
      <c r="L511" t="s">
        <v>74</v>
      </c>
      <c r="M511" t="s">
        <v>78</v>
      </c>
      <c r="N511" t="s">
        <v>79</v>
      </c>
      <c r="O511" t="s">
        <v>74</v>
      </c>
      <c r="P511" t="s">
        <v>74</v>
      </c>
      <c r="Q511" t="s">
        <v>74</v>
      </c>
      <c r="R511" t="s">
        <v>74</v>
      </c>
      <c r="S511" t="s">
        <v>74</v>
      </c>
      <c r="T511" t="s">
        <v>10171</v>
      </c>
      <c r="U511" t="s">
        <v>10172</v>
      </c>
      <c r="V511" t="s">
        <v>10173</v>
      </c>
      <c r="W511" t="s">
        <v>10174</v>
      </c>
      <c r="X511" t="s">
        <v>10175</v>
      </c>
      <c r="Y511" t="s">
        <v>10176</v>
      </c>
      <c r="Z511" t="s">
        <v>10177</v>
      </c>
      <c r="AA511" t="s">
        <v>10178</v>
      </c>
      <c r="AB511" t="s">
        <v>10179</v>
      </c>
      <c r="AC511" t="s">
        <v>10180</v>
      </c>
      <c r="AD511" t="s">
        <v>10181</v>
      </c>
      <c r="AE511" t="s">
        <v>10182</v>
      </c>
      <c r="AF511" t="s">
        <v>74</v>
      </c>
      <c r="AG511">
        <v>40</v>
      </c>
      <c r="AH511">
        <v>2</v>
      </c>
      <c r="AI511">
        <v>2</v>
      </c>
      <c r="AJ511">
        <v>0</v>
      </c>
      <c r="AK511">
        <v>3</v>
      </c>
      <c r="AL511" t="s">
        <v>89</v>
      </c>
      <c r="AM511" t="s">
        <v>90</v>
      </c>
      <c r="AN511" t="s">
        <v>91</v>
      </c>
      <c r="AO511" t="s">
        <v>10161</v>
      </c>
      <c r="AP511" t="s">
        <v>10162</v>
      </c>
      <c r="AQ511" t="s">
        <v>74</v>
      </c>
      <c r="AR511" t="s">
        <v>10163</v>
      </c>
      <c r="AS511" t="s">
        <v>10164</v>
      </c>
      <c r="AT511" t="s">
        <v>4571</v>
      </c>
      <c r="AU511">
        <v>2021</v>
      </c>
      <c r="AV511">
        <v>28</v>
      </c>
      <c r="AW511" t="s">
        <v>74</v>
      </c>
      <c r="AX511" t="s">
        <v>74</v>
      </c>
      <c r="AY511" t="s">
        <v>74</v>
      </c>
      <c r="AZ511" t="s">
        <v>74</v>
      </c>
      <c r="BA511" t="s">
        <v>74</v>
      </c>
      <c r="BB511" t="s">
        <v>74</v>
      </c>
      <c r="BC511" t="s">
        <v>74</v>
      </c>
      <c r="BD511">
        <v>100655</v>
      </c>
      <c r="BE511" t="s">
        <v>10183</v>
      </c>
      <c r="BF511" t="str">
        <f>HYPERLINK("http://dx.doi.org/10.1016/j.polar.2021.100655","http://dx.doi.org/10.1016/j.polar.2021.100655")</f>
        <v>http://dx.doi.org/10.1016/j.polar.2021.100655</v>
      </c>
      <c r="BG511" t="s">
        <v>74</v>
      </c>
      <c r="BH511" t="s">
        <v>8134</v>
      </c>
      <c r="BI511">
        <v>13</v>
      </c>
      <c r="BJ511" t="s">
        <v>3326</v>
      </c>
      <c r="BK511" t="s">
        <v>128</v>
      </c>
      <c r="BL511" t="s">
        <v>3327</v>
      </c>
      <c r="BM511" t="s">
        <v>10166</v>
      </c>
      <c r="BN511" t="s">
        <v>74</v>
      </c>
      <c r="BO511" t="s">
        <v>291</v>
      </c>
      <c r="BP511" t="s">
        <v>74</v>
      </c>
      <c r="BQ511" t="s">
        <v>74</v>
      </c>
      <c r="BR511" t="s">
        <v>102</v>
      </c>
      <c r="BS511" t="s">
        <v>10184</v>
      </c>
      <c r="BT511" t="str">
        <f>HYPERLINK("https%3A%2F%2Fwww.webofscience.com%2Fwos%2Fwoscc%2Ffull-record%2FWOS:000670361800005","View Full Record in Web of Science")</f>
        <v>View Full Record in Web of Science</v>
      </c>
    </row>
    <row r="512" spans="1:72" x14ac:dyDescent="0.15">
      <c r="A512" t="s">
        <v>72</v>
      </c>
      <c r="B512" t="s">
        <v>10185</v>
      </c>
      <c r="C512" t="s">
        <v>74</v>
      </c>
      <c r="D512" t="s">
        <v>74</v>
      </c>
      <c r="E512" t="s">
        <v>74</v>
      </c>
      <c r="F512" t="s">
        <v>10186</v>
      </c>
      <c r="G512" t="s">
        <v>74</v>
      </c>
      <c r="H512" t="s">
        <v>74</v>
      </c>
      <c r="I512" t="s">
        <v>10187</v>
      </c>
      <c r="J512" t="s">
        <v>10148</v>
      </c>
      <c r="K512" t="s">
        <v>74</v>
      </c>
      <c r="L512" t="s">
        <v>74</v>
      </c>
      <c r="M512" t="s">
        <v>78</v>
      </c>
      <c r="N512" t="s">
        <v>79</v>
      </c>
      <c r="O512" t="s">
        <v>74</v>
      </c>
      <c r="P512" t="s">
        <v>74</v>
      </c>
      <c r="Q512" t="s">
        <v>74</v>
      </c>
      <c r="R512" t="s">
        <v>74</v>
      </c>
      <c r="S512" t="s">
        <v>74</v>
      </c>
      <c r="T512" t="s">
        <v>10188</v>
      </c>
      <c r="U512" t="s">
        <v>10189</v>
      </c>
      <c r="V512" t="s">
        <v>10190</v>
      </c>
      <c r="W512" t="s">
        <v>10191</v>
      </c>
      <c r="X512" t="s">
        <v>10192</v>
      </c>
      <c r="Y512" t="s">
        <v>10193</v>
      </c>
      <c r="Z512" t="s">
        <v>10194</v>
      </c>
      <c r="AA512" t="s">
        <v>10195</v>
      </c>
      <c r="AB512" t="s">
        <v>10196</v>
      </c>
      <c r="AC512" t="s">
        <v>10197</v>
      </c>
      <c r="AD512" t="s">
        <v>10198</v>
      </c>
      <c r="AE512" t="s">
        <v>10199</v>
      </c>
      <c r="AF512" t="s">
        <v>74</v>
      </c>
      <c r="AG512">
        <v>43</v>
      </c>
      <c r="AH512">
        <v>3</v>
      </c>
      <c r="AI512">
        <v>3</v>
      </c>
      <c r="AJ512">
        <v>0</v>
      </c>
      <c r="AK512">
        <v>3</v>
      </c>
      <c r="AL512" t="s">
        <v>89</v>
      </c>
      <c r="AM512" t="s">
        <v>90</v>
      </c>
      <c r="AN512" t="s">
        <v>91</v>
      </c>
      <c r="AO512" t="s">
        <v>10161</v>
      </c>
      <c r="AP512" t="s">
        <v>10162</v>
      </c>
      <c r="AQ512" t="s">
        <v>74</v>
      </c>
      <c r="AR512" t="s">
        <v>10163</v>
      </c>
      <c r="AS512" t="s">
        <v>10164</v>
      </c>
      <c r="AT512" t="s">
        <v>4571</v>
      </c>
      <c r="AU512">
        <v>2021</v>
      </c>
      <c r="AV512">
        <v>28</v>
      </c>
      <c r="AW512" t="s">
        <v>74</v>
      </c>
      <c r="AX512" t="s">
        <v>74</v>
      </c>
      <c r="AY512" t="s">
        <v>74</v>
      </c>
      <c r="AZ512" t="s">
        <v>74</v>
      </c>
      <c r="BA512" t="s">
        <v>74</v>
      </c>
      <c r="BB512" t="s">
        <v>74</v>
      </c>
      <c r="BC512" t="s">
        <v>74</v>
      </c>
      <c r="BD512">
        <v>100684</v>
      </c>
      <c r="BE512" t="s">
        <v>10200</v>
      </c>
      <c r="BF512" t="str">
        <f>HYPERLINK("http://dx.doi.org/10.1016/j.polar.2021.100684","http://dx.doi.org/10.1016/j.polar.2021.100684")</f>
        <v>http://dx.doi.org/10.1016/j.polar.2021.100684</v>
      </c>
      <c r="BG512" t="s">
        <v>74</v>
      </c>
      <c r="BH512" t="s">
        <v>8134</v>
      </c>
      <c r="BI512">
        <v>11</v>
      </c>
      <c r="BJ512" t="s">
        <v>3326</v>
      </c>
      <c r="BK512" t="s">
        <v>128</v>
      </c>
      <c r="BL512" t="s">
        <v>3327</v>
      </c>
      <c r="BM512" t="s">
        <v>10166</v>
      </c>
      <c r="BN512" t="s">
        <v>74</v>
      </c>
      <c r="BO512" t="s">
        <v>1083</v>
      </c>
      <c r="BP512" t="s">
        <v>74</v>
      </c>
      <c r="BQ512" t="s">
        <v>74</v>
      </c>
      <c r="BR512" t="s">
        <v>102</v>
      </c>
      <c r="BS512" t="s">
        <v>10201</v>
      </c>
      <c r="BT512" t="str">
        <f>HYPERLINK("https%3A%2F%2Fwww.webofscience.com%2Fwos%2Fwoscc%2Ffull-record%2FWOS:000670361800002","View Full Record in Web of Science")</f>
        <v>View Full Record in Web of Science</v>
      </c>
    </row>
    <row r="513" spans="1:72" x14ac:dyDescent="0.15">
      <c r="A513" t="s">
        <v>72</v>
      </c>
      <c r="B513" t="s">
        <v>10202</v>
      </c>
      <c r="C513" t="s">
        <v>74</v>
      </c>
      <c r="D513" t="s">
        <v>74</v>
      </c>
      <c r="E513" t="s">
        <v>74</v>
      </c>
      <c r="F513" t="s">
        <v>10203</v>
      </c>
      <c r="G513" t="s">
        <v>74</v>
      </c>
      <c r="H513" t="s">
        <v>74</v>
      </c>
      <c r="I513" t="s">
        <v>10204</v>
      </c>
      <c r="J513" t="s">
        <v>10148</v>
      </c>
      <c r="K513" t="s">
        <v>74</v>
      </c>
      <c r="L513" t="s">
        <v>74</v>
      </c>
      <c r="M513" t="s">
        <v>78</v>
      </c>
      <c r="N513" t="s">
        <v>79</v>
      </c>
      <c r="O513" t="s">
        <v>74</v>
      </c>
      <c r="P513" t="s">
        <v>74</v>
      </c>
      <c r="Q513" t="s">
        <v>74</v>
      </c>
      <c r="R513" t="s">
        <v>74</v>
      </c>
      <c r="S513" t="s">
        <v>74</v>
      </c>
      <c r="T513" t="s">
        <v>10205</v>
      </c>
      <c r="U513" t="s">
        <v>10206</v>
      </c>
      <c r="V513" t="s">
        <v>10207</v>
      </c>
      <c r="W513" t="s">
        <v>10208</v>
      </c>
      <c r="X513" t="s">
        <v>10209</v>
      </c>
      <c r="Y513" t="s">
        <v>10210</v>
      </c>
      <c r="Z513" t="s">
        <v>2441</v>
      </c>
      <c r="AA513" t="s">
        <v>10211</v>
      </c>
      <c r="AB513" t="s">
        <v>10212</v>
      </c>
      <c r="AC513" t="s">
        <v>10213</v>
      </c>
      <c r="AD513" t="s">
        <v>10214</v>
      </c>
      <c r="AE513" t="s">
        <v>10215</v>
      </c>
      <c r="AF513" t="s">
        <v>74</v>
      </c>
      <c r="AG513">
        <v>69</v>
      </c>
      <c r="AH513">
        <v>7</v>
      </c>
      <c r="AI513">
        <v>7</v>
      </c>
      <c r="AJ513">
        <v>0</v>
      </c>
      <c r="AK513">
        <v>8</v>
      </c>
      <c r="AL513" t="s">
        <v>89</v>
      </c>
      <c r="AM513" t="s">
        <v>90</v>
      </c>
      <c r="AN513" t="s">
        <v>91</v>
      </c>
      <c r="AO513" t="s">
        <v>10161</v>
      </c>
      <c r="AP513" t="s">
        <v>10162</v>
      </c>
      <c r="AQ513" t="s">
        <v>74</v>
      </c>
      <c r="AR513" t="s">
        <v>10163</v>
      </c>
      <c r="AS513" t="s">
        <v>10164</v>
      </c>
      <c r="AT513" t="s">
        <v>4571</v>
      </c>
      <c r="AU513">
        <v>2021</v>
      </c>
      <c r="AV513">
        <v>28</v>
      </c>
      <c r="AW513" t="s">
        <v>74</v>
      </c>
      <c r="AX513" t="s">
        <v>74</v>
      </c>
      <c r="AY513" t="s">
        <v>74</v>
      </c>
      <c r="AZ513" t="s">
        <v>74</v>
      </c>
      <c r="BA513" t="s">
        <v>74</v>
      </c>
      <c r="BB513" t="s">
        <v>74</v>
      </c>
      <c r="BC513" t="s">
        <v>74</v>
      </c>
      <c r="BD513">
        <v>100642</v>
      </c>
      <c r="BE513" t="s">
        <v>10216</v>
      </c>
      <c r="BF513" t="str">
        <f>HYPERLINK("http://dx.doi.org/10.1016/j.polar.2021.100642","http://dx.doi.org/10.1016/j.polar.2021.100642")</f>
        <v>http://dx.doi.org/10.1016/j.polar.2021.100642</v>
      </c>
      <c r="BG513" t="s">
        <v>74</v>
      </c>
      <c r="BH513" t="s">
        <v>8134</v>
      </c>
      <c r="BI513">
        <v>13</v>
      </c>
      <c r="BJ513" t="s">
        <v>3326</v>
      </c>
      <c r="BK513" t="s">
        <v>128</v>
      </c>
      <c r="BL513" t="s">
        <v>3327</v>
      </c>
      <c r="BM513" t="s">
        <v>10166</v>
      </c>
      <c r="BN513" t="s">
        <v>74</v>
      </c>
      <c r="BO513" t="s">
        <v>291</v>
      </c>
      <c r="BP513" t="s">
        <v>74</v>
      </c>
      <c r="BQ513" t="s">
        <v>74</v>
      </c>
      <c r="BR513" t="s">
        <v>102</v>
      </c>
      <c r="BS513" t="s">
        <v>10217</v>
      </c>
      <c r="BT513" t="str">
        <f>HYPERLINK("https%3A%2F%2Fwww.webofscience.com%2Fwos%2Fwoscc%2Ffull-record%2FWOS:000670361800003","View Full Record in Web of Science")</f>
        <v>View Full Record in Web of Science</v>
      </c>
    </row>
    <row r="514" spans="1:72" x14ac:dyDescent="0.15">
      <c r="A514" t="s">
        <v>72</v>
      </c>
      <c r="B514" t="s">
        <v>10218</v>
      </c>
      <c r="C514" t="s">
        <v>74</v>
      </c>
      <c r="D514" t="s">
        <v>74</v>
      </c>
      <c r="E514" t="s">
        <v>74</v>
      </c>
      <c r="F514" t="s">
        <v>10219</v>
      </c>
      <c r="G514" t="s">
        <v>74</v>
      </c>
      <c r="H514" t="s">
        <v>74</v>
      </c>
      <c r="I514" t="s">
        <v>10220</v>
      </c>
      <c r="J514" t="s">
        <v>10148</v>
      </c>
      <c r="K514" t="s">
        <v>74</v>
      </c>
      <c r="L514" t="s">
        <v>74</v>
      </c>
      <c r="M514" t="s">
        <v>78</v>
      </c>
      <c r="N514" t="s">
        <v>79</v>
      </c>
      <c r="O514" t="s">
        <v>74</v>
      </c>
      <c r="P514" t="s">
        <v>74</v>
      </c>
      <c r="Q514" t="s">
        <v>74</v>
      </c>
      <c r="R514" t="s">
        <v>74</v>
      </c>
      <c r="S514" t="s">
        <v>74</v>
      </c>
      <c r="T514" t="s">
        <v>10221</v>
      </c>
      <c r="U514" t="s">
        <v>10222</v>
      </c>
      <c r="V514" t="s">
        <v>10223</v>
      </c>
      <c r="W514" t="s">
        <v>10224</v>
      </c>
      <c r="X514" t="s">
        <v>10225</v>
      </c>
      <c r="Y514" t="s">
        <v>10226</v>
      </c>
      <c r="Z514" t="s">
        <v>10227</v>
      </c>
      <c r="AA514" t="s">
        <v>10228</v>
      </c>
      <c r="AB514" t="s">
        <v>10229</v>
      </c>
      <c r="AC514" t="s">
        <v>10230</v>
      </c>
      <c r="AD514" t="s">
        <v>10231</v>
      </c>
      <c r="AE514" t="s">
        <v>10232</v>
      </c>
      <c r="AF514" t="s">
        <v>74</v>
      </c>
      <c r="AG514">
        <v>41</v>
      </c>
      <c r="AH514">
        <v>4</v>
      </c>
      <c r="AI514">
        <v>4</v>
      </c>
      <c r="AJ514">
        <v>0</v>
      </c>
      <c r="AK514">
        <v>16</v>
      </c>
      <c r="AL514" t="s">
        <v>89</v>
      </c>
      <c r="AM514" t="s">
        <v>90</v>
      </c>
      <c r="AN514" t="s">
        <v>91</v>
      </c>
      <c r="AO514" t="s">
        <v>10161</v>
      </c>
      <c r="AP514" t="s">
        <v>10162</v>
      </c>
      <c r="AQ514" t="s">
        <v>74</v>
      </c>
      <c r="AR514" t="s">
        <v>10163</v>
      </c>
      <c r="AS514" t="s">
        <v>10164</v>
      </c>
      <c r="AT514" t="s">
        <v>4571</v>
      </c>
      <c r="AU514">
        <v>2021</v>
      </c>
      <c r="AV514">
        <v>28</v>
      </c>
      <c r="AW514" t="s">
        <v>74</v>
      </c>
      <c r="AX514" t="s">
        <v>74</v>
      </c>
      <c r="AY514" t="s">
        <v>74</v>
      </c>
      <c r="AZ514" t="s">
        <v>74</v>
      </c>
      <c r="BA514" t="s">
        <v>74</v>
      </c>
      <c r="BB514" t="s">
        <v>74</v>
      </c>
      <c r="BC514" t="s">
        <v>74</v>
      </c>
      <c r="BD514">
        <v>100674</v>
      </c>
      <c r="BE514" t="s">
        <v>10233</v>
      </c>
      <c r="BF514" t="str">
        <f>HYPERLINK("http://dx.doi.org/10.1016/j.polar.2021.100674","http://dx.doi.org/10.1016/j.polar.2021.100674")</f>
        <v>http://dx.doi.org/10.1016/j.polar.2021.100674</v>
      </c>
      <c r="BG514" t="s">
        <v>74</v>
      </c>
      <c r="BH514" t="s">
        <v>8134</v>
      </c>
      <c r="BI514">
        <v>8</v>
      </c>
      <c r="BJ514" t="s">
        <v>3326</v>
      </c>
      <c r="BK514" t="s">
        <v>128</v>
      </c>
      <c r="BL514" t="s">
        <v>3327</v>
      </c>
      <c r="BM514" t="s">
        <v>10166</v>
      </c>
      <c r="BN514" t="s">
        <v>74</v>
      </c>
      <c r="BO514" t="s">
        <v>291</v>
      </c>
      <c r="BP514" t="s">
        <v>74</v>
      </c>
      <c r="BQ514" t="s">
        <v>74</v>
      </c>
      <c r="BR514" t="s">
        <v>102</v>
      </c>
      <c r="BS514" t="s">
        <v>10234</v>
      </c>
      <c r="BT514" t="str">
        <f>HYPERLINK("https%3A%2F%2Fwww.webofscience.com%2Fwos%2Fwoscc%2Ffull-record%2FWOS:000670361800004","View Full Record in Web of Science")</f>
        <v>View Full Record in Web of Science</v>
      </c>
    </row>
    <row r="515" spans="1:72" x14ac:dyDescent="0.15">
      <c r="A515" t="s">
        <v>72</v>
      </c>
      <c r="B515" t="s">
        <v>10235</v>
      </c>
      <c r="C515" t="s">
        <v>74</v>
      </c>
      <c r="D515" t="s">
        <v>74</v>
      </c>
      <c r="E515" t="s">
        <v>74</v>
      </c>
      <c r="F515" t="s">
        <v>10236</v>
      </c>
      <c r="G515" t="s">
        <v>74</v>
      </c>
      <c r="H515" t="s">
        <v>74</v>
      </c>
      <c r="I515" t="s">
        <v>10237</v>
      </c>
      <c r="J515" t="s">
        <v>10148</v>
      </c>
      <c r="K515" t="s">
        <v>74</v>
      </c>
      <c r="L515" t="s">
        <v>74</v>
      </c>
      <c r="M515" t="s">
        <v>78</v>
      </c>
      <c r="N515" t="s">
        <v>79</v>
      </c>
      <c r="O515" t="s">
        <v>74</v>
      </c>
      <c r="P515" t="s">
        <v>74</v>
      </c>
      <c r="Q515" t="s">
        <v>74</v>
      </c>
      <c r="R515" t="s">
        <v>74</v>
      </c>
      <c r="S515" t="s">
        <v>74</v>
      </c>
      <c r="T515" t="s">
        <v>10238</v>
      </c>
      <c r="U515" t="s">
        <v>10239</v>
      </c>
      <c r="V515" t="s">
        <v>10240</v>
      </c>
      <c r="W515" t="s">
        <v>10241</v>
      </c>
      <c r="X515" t="s">
        <v>10242</v>
      </c>
      <c r="Y515" t="s">
        <v>10243</v>
      </c>
      <c r="Z515" t="s">
        <v>10244</v>
      </c>
      <c r="AA515" t="s">
        <v>10245</v>
      </c>
      <c r="AB515" t="s">
        <v>10246</v>
      </c>
      <c r="AC515" t="s">
        <v>10247</v>
      </c>
      <c r="AD515" t="s">
        <v>10248</v>
      </c>
      <c r="AE515" t="s">
        <v>10249</v>
      </c>
      <c r="AF515" t="s">
        <v>74</v>
      </c>
      <c r="AG515">
        <v>32</v>
      </c>
      <c r="AH515">
        <v>3</v>
      </c>
      <c r="AI515">
        <v>3</v>
      </c>
      <c r="AJ515">
        <v>1</v>
      </c>
      <c r="AK515">
        <v>6</v>
      </c>
      <c r="AL515" t="s">
        <v>89</v>
      </c>
      <c r="AM515" t="s">
        <v>90</v>
      </c>
      <c r="AN515" t="s">
        <v>91</v>
      </c>
      <c r="AO515" t="s">
        <v>10161</v>
      </c>
      <c r="AP515" t="s">
        <v>10162</v>
      </c>
      <c r="AQ515" t="s">
        <v>74</v>
      </c>
      <c r="AR515" t="s">
        <v>10163</v>
      </c>
      <c r="AS515" t="s">
        <v>10164</v>
      </c>
      <c r="AT515" t="s">
        <v>4571</v>
      </c>
      <c r="AU515">
        <v>2021</v>
      </c>
      <c r="AV515">
        <v>28</v>
      </c>
      <c r="AW515" t="s">
        <v>74</v>
      </c>
      <c r="AX515" t="s">
        <v>74</v>
      </c>
      <c r="AY515" t="s">
        <v>74</v>
      </c>
      <c r="AZ515" t="s">
        <v>431</v>
      </c>
      <c r="BA515" t="s">
        <v>74</v>
      </c>
      <c r="BB515" t="s">
        <v>74</v>
      </c>
      <c r="BC515" t="s">
        <v>74</v>
      </c>
      <c r="BD515">
        <v>100650</v>
      </c>
      <c r="BE515" t="s">
        <v>10250</v>
      </c>
      <c r="BF515" t="str">
        <f>HYPERLINK("http://dx.doi.org/10.1016/j.polar.2021.100650","http://dx.doi.org/10.1016/j.polar.2021.100650")</f>
        <v>http://dx.doi.org/10.1016/j.polar.2021.100650</v>
      </c>
      <c r="BG515" t="s">
        <v>74</v>
      </c>
      <c r="BH515" t="s">
        <v>8134</v>
      </c>
      <c r="BI515">
        <v>6</v>
      </c>
      <c r="BJ515" t="s">
        <v>3326</v>
      </c>
      <c r="BK515" t="s">
        <v>128</v>
      </c>
      <c r="BL515" t="s">
        <v>3327</v>
      </c>
      <c r="BM515" t="s">
        <v>10251</v>
      </c>
      <c r="BN515" t="s">
        <v>74</v>
      </c>
      <c r="BO515" t="s">
        <v>291</v>
      </c>
      <c r="BP515" t="s">
        <v>74</v>
      </c>
      <c r="BQ515" t="s">
        <v>74</v>
      </c>
      <c r="BR515" t="s">
        <v>102</v>
      </c>
      <c r="BS515" t="s">
        <v>10252</v>
      </c>
      <c r="BT515" t="str">
        <f>HYPERLINK("https%3A%2F%2Fwww.webofscience.com%2Fwos%2Fwoscc%2Ffull-record%2FWOS:000670126600003","View Full Record in Web of Science")</f>
        <v>View Full Record in Web of Science</v>
      </c>
    </row>
    <row r="516" spans="1:72" x14ac:dyDescent="0.15">
      <c r="A516" t="s">
        <v>72</v>
      </c>
      <c r="B516" t="s">
        <v>10253</v>
      </c>
      <c r="C516" t="s">
        <v>74</v>
      </c>
      <c r="D516" t="s">
        <v>74</v>
      </c>
      <c r="E516" t="s">
        <v>74</v>
      </c>
      <c r="F516" t="s">
        <v>10254</v>
      </c>
      <c r="G516" t="s">
        <v>74</v>
      </c>
      <c r="H516" t="s">
        <v>74</v>
      </c>
      <c r="I516" t="s">
        <v>10255</v>
      </c>
      <c r="J516" t="s">
        <v>10148</v>
      </c>
      <c r="K516" t="s">
        <v>74</v>
      </c>
      <c r="L516" t="s">
        <v>74</v>
      </c>
      <c r="M516" t="s">
        <v>78</v>
      </c>
      <c r="N516" t="s">
        <v>79</v>
      </c>
      <c r="O516" t="s">
        <v>74</v>
      </c>
      <c r="P516" t="s">
        <v>74</v>
      </c>
      <c r="Q516" t="s">
        <v>74</v>
      </c>
      <c r="R516" t="s">
        <v>74</v>
      </c>
      <c r="S516" t="s">
        <v>74</v>
      </c>
      <c r="T516" t="s">
        <v>10256</v>
      </c>
      <c r="U516" t="s">
        <v>10257</v>
      </c>
      <c r="V516" t="s">
        <v>10258</v>
      </c>
      <c r="W516" t="s">
        <v>10259</v>
      </c>
      <c r="X516" t="s">
        <v>10260</v>
      </c>
      <c r="Y516" t="s">
        <v>10261</v>
      </c>
      <c r="Z516" t="s">
        <v>10262</v>
      </c>
      <c r="AA516" t="s">
        <v>74</v>
      </c>
      <c r="AB516" t="s">
        <v>10263</v>
      </c>
      <c r="AC516" t="s">
        <v>10264</v>
      </c>
      <c r="AD516" t="s">
        <v>10265</v>
      </c>
      <c r="AE516" t="s">
        <v>10266</v>
      </c>
      <c r="AF516" t="s">
        <v>74</v>
      </c>
      <c r="AG516">
        <v>44</v>
      </c>
      <c r="AH516">
        <v>5</v>
      </c>
      <c r="AI516">
        <v>5</v>
      </c>
      <c r="AJ516">
        <v>1</v>
      </c>
      <c r="AK516">
        <v>3</v>
      </c>
      <c r="AL516" t="s">
        <v>89</v>
      </c>
      <c r="AM516" t="s">
        <v>90</v>
      </c>
      <c r="AN516" t="s">
        <v>91</v>
      </c>
      <c r="AO516" t="s">
        <v>10161</v>
      </c>
      <c r="AP516" t="s">
        <v>10162</v>
      </c>
      <c r="AQ516" t="s">
        <v>74</v>
      </c>
      <c r="AR516" t="s">
        <v>10163</v>
      </c>
      <c r="AS516" t="s">
        <v>10164</v>
      </c>
      <c r="AT516" t="s">
        <v>4571</v>
      </c>
      <c r="AU516">
        <v>2021</v>
      </c>
      <c r="AV516">
        <v>28</v>
      </c>
      <c r="AW516" t="s">
        <v>74</v>
      </c>
      <c r="AX516" t="s">
        <v>74</v>
      </c>
      <c r="AY516" t="s">
        <v>74</v>
      </c>
      <c r="AZ516" t="s">
        <v>431</v>
      </c>
      <c r="BA516" t="s">
        <v>74</v>
      </c>
      <c r="BB516" t="s">
        <v>74</v>
      </c>
      <c r="BC516" t="s">
        <v>74</v>
      </c>
      <c r="BD516">
        <v>100682</v>
      </c>
      <c r="BE516" t="s">
        <v>10267</v>
      </c>
      <c r="BF516" t="str">
        <f>HYPERLINK("http://dx.doi.org/10.1016/j.polar.2021.100682","http://dx.doi.org/10.1016/j.polar.2021.100682")</f>
        <v>http://dx.doi.org/10.1016/j.polar.2021.100682</v>
      </c>
      <c r="BG516" t="s">
        <v>74</v>
      </c>
      <c r="BH516" t="s">
        <v>8134</v>
      </c>
      <c r="BI516">
        <v>8</v>
      </c>
      <c r="BJ516" t="s">
        <v>3326</v>
      </c>
      <c r="BK516" t="s">
        <v>128</v>
      </c>
      <c r="BL516" t="s">
        <v>3327</v>
      </c>
      <c r="BM516" t="s">
        <v>10251</v>
      </c>
      <c r="BN516" t="s">
        <v>74</v>
      </c>
      <c r="BO516" t="s">
        <v>291</v>
      </c>
      <c r="BP516" t="s">
        <v>74</v>
      </c>
      <c r="BQ516" t="s">
        <v>74</v>
      </c>
      <c r="BR516" t="s">
        <v>102</v>
      </c>
      <c r="BS516" t="s">
        <v>10268</v>
      </c>
      <c r="BT516" t="str">
        <f>HYPERLINK("https%3A%2F%2Fwww.webofscience.com%2Fwos%2Fwoscc%2Ffull-record%2FWOS:000670126600005","View Full Record in Web of Science")</f>
        <v>View Full Record in Web of Science</v>
      </c>
    </row>
    <row r="517" spans="1:72" x14ac:dyDescent="0.15">
      <c r="A517" t="s">
        <v>72</v>
      </c>
      <c r="B517" t="s">
        <v>10269</v>
      </c>
      <c r="C517" t="s">
        <v>74</v>
      </c>
      <c r="D517" t="s">
        <v>74</v>
      </c>
      <c r="E517" t="s">
        <v>74</v>
      </c>
      <c r="F517" t="s">
        <v>10270</v>
      </c>
      <c r="G517" t="s">
        <v>74</v>
      </c>
      <c r="H517" t="s">
        <v>74</v>
      </c>
      <c r="I517" t="s">
        <v>10271</v>
      </c>
      <c r="J517" t="s">
        <v>10148</v>
      </c>
      <c r="K517" t="s">
        <v>74</v>
      </c>
      <c r="L517" t="s">
        <v>74</v>
      </c>
      <c r="M517" t="s">
        <v>78</v>
      </c>
      <c r="N517" t="s">
        <v>79</v>
      </c>
      <c r="O517" t="s">
        <v>74</v>
      </c>
      <c r="P517" t="s">
        <v>74</v>
      </c>
      <c r="Q517" t="s">
        <v>74</v>
      </c>
      <c r="R517" t="s">
        <v>74</v>
      </c>
      <c r="S517" t="s">
        <v>74</v>
      </c>
      <c r="T517" t="s">
        <v>10272</v>
      </c>
      <c r="U517" t="s">
        <v>10273</v>
      </c>
      <c r="V517" t="s">
        <v>10274</v>
      </c>
      <c r="W517" t="s">
        <v>10275</v>
      </c>
      <c r="X517" t="s">
        <v>10276</v>
      </c>
      <c r="Y517" t="s">
        <v>10277</v>
      </c>
      <c r="Z517" t="s">
        <v>10278</v>
      </c>
      <c r="AA517" t="s">
        <v>10279</v>
      </c>
      <c r="AB517" t="s">
        <v>10280</v>
      </c>
      <c r="AC517" t="s">
        <v>10281</v>
      </c>
      <c r="AD517" t="s">
        <v>10281</v>
      </c>
      <c r="AE517" t="s">
        <v>10282</v>
      </c>
      <c r="AF517" t="s">
        <v>74</v>
      </c>
      <c r="AG517">
        <v>64</v>
      </c>
      <c r="AH517">
        <v>2</v>
      </c>
      <c r="AI517">
        <v>2</v>
      </c>
      <c r="AJ517">
        <v>0</v>
      </c>
      <c r="AK517">
        <v>3</v>
      </c>
      <c r="AL517" t="s">
        <v>89</v>
      </c>
      <c r="AM517" t="s">
        <v>90</v>
      </c>
      <c r="AN517" t="s">
        <v>4000</v>
      </c>
      <c r="AO517" t="s">
        <v>10161</v>
      </c>
      <c r="AP517" t="s">
        <v>10162</v>
      </c>
      <c r="AQ517" t="s">
        <v>74</v>
      </c>
      <c r="AR517" t="s">
        <v>10163</v>
      </c>
      <c r="AS517" t="s">
        <v>10164</v>
      </c>
      <c r="AT517" t="s">
        <v>4571</v>
      </c>
      <c r="AU517">
        <v>2021</v>
      </c>
      <c r="AV517">
        <v>28</v>
      </c>
      <c r="AW517" t="s">
        <v>74</v>
      </c>
      <c r="AX517" t="s">
        <v>74</v>
      </c>
      <c r="AY517" t="s">
        <v>74</v>
      </c>
      <c r="AZ517" t="s">
        <v>431</v>
      </c>
      <c r="BA517" t="s">
        <v>74</v>
      </c>
      <c r="BB517" t="s">
        <v>74</v>
      </c>
      <c r="BC517" t="s">
        <v>74</v>
      </c>
      <c r="BD517">
        <v>100648</v>
      </c>
      <c r="BE517" t="s">
        <v>10283</v>
      </c>
      <c r="BF517" t="str">
        <f>HYPERLINK("http://dx.doi.org/10.1016/j.polar.2021.100648","http://dx.doi.org/10.1016/j.polar.2021.100648")</f>
        <v>http://dx.doi.org/10.1016/j.polar.2021.100648</v>
      </c>
      <c r="BG517" t="s">
        <v>74</v>
      </c>
      <c r="BH517" t="s">
        <v>8134</v>
      </c>
      <c r="BI517">
        <v>13</v>
      </c>
      <c r="BJ517" t="s">
        <v>3326</v>
      </c>
      <c r="BK517" t="s">
        <v>128</v>
      </c>
      <c r="BL517" t="s">
        <v>3327</v>
      </c>
      <c r="BM517" t="s">
        <v>10251</v>
      </c>
      <c r="BN517" t="s">
        <v>74</v>
      </c>
      <c r="BO517" t="s">
        <v>291</v>
      </c>
      <c r="BP517" t="s">
        <v>74</v>
      </c>
      <c r="BQ517" t="s">
        <v>74</v>
      </c>
      <c r="BR517" t="s">
        <v>102</v>
      </c>
      <c r="BS517" t="s">
        <v>10284</v>
      </c>
      <c r="BT517" t="str">
        <f>HYPERLINK("https%3A%2F%2Fwww.webofscience.com%2Fwos%2Fwoscc%2Ffull-record%2FWOS:000670126600006","View Full Record in Web of Science")</f>
        <v>View Full Record in Web of Science</v>
      </c>
    </row>
    <row r="518" spans="1:72" x14ac:dyDescent="0.15">
      <c r="A518" t="s">
        <v>72</v>
      </c>
      <c r="B518" t="s">
        <v>10285</v>
      </c>
      <c r="C518" t="s">
        <v>74</v>
      </c>
      <c r="D518" t="s">
        <v>74</v>
      </c>
      <c r="E518" t="s">
        <v>74</v>
      </c>
      <c r="F518" t="s">
        <v>10286</v>
      </c>
      <c r="G518" t="s">
        <v>74</v>
      </c>
      <c r="H518" t="s">
        <v>74</v>
      </c>
      <c r="I518" t="s">
        <v>10287</v>
      </c>
      <c r="J518" t="s">
        <v>10288</v>
      </c>
      <c r="K518" t="s">
        <v>74</v>
      </c>
      <c r="L518" t="s">
        <v>74</v>
      </c>
      <c r="M518" t="s">
        <v>78</v>
      </c>
      <c r="N518" t="s">
        <v>79</v>
      </c>
      <c r="O518" t="s">
        <v>74</v>
      </c>
      <c r="P518" t="s">
        <v>74</v>
      </c>
      <c r="Q518" t="s">
        <v>74</v>
      </c>
      <c r="R518" t="s">
        <v>74</v>
      </c>
      <c r="S518" t="s">
        <v>74</v>
      </c>
      <c r="T518" t="s">
        <v>10289</v>
      </c>
      <c r="U518" t="s">
        <v>10290</v>
      </c>
      <c r="V518" t="s">
        <v>10291</v>
      </c>
      <c r="W518" t="s">
        <v>10292</v>
      </c>
      <c r="X518" t="s">
        <v>576</v>
      </c>
      <c r="Y518" t="s">
        <v>10293</v>
      </c>
      <c r="Z518" t="s">
        <v>10294</v>
      </c>
      <c r="AA518" t="s">
        <v>74</v>
      </c>
      <c r="AB518" t="s">
        <v>10295</v>
      </c>
      <c r="AC518" t="s">
        <v>10296</v>
      </c>
      <c r="AD518" t="s">
        <v>10297</v>
      </c>
      <c r="AE518" t="s">
        <v>10298</v>
      </c>
      <c r="AF518" t="s">
        <v>74</v>
      </c>
      <c r="AG518">
        <v>94</v>
      </c>
      <c r="AH518">
        <v>7</v>
      </c>
      <c r="AI518">
        <v>7</v>
      </c>
      <c r="AJ518">
        <v>2</v>
      </c>
      <c r="AK518">
        <v>12</v>
      </c>
      <c r="AL518" t="s">
        <v>89</v>
      </c>
      <c r="AM518" t="s">
        <v>90</v>
      </c>
      <c r="AN518" t="s">
        <v>91</v>
      </c>
      <c r="AO518" t="s">
        <v>10299</v>
      </c>
      <c r="AP518" t="s">
        <v>10300</v>
      </c>
      <c r="AQ518" t="s">
        <v>74</v>
      </c>
      <c r="AR518" t="s">
        <v>10301</v>
      </c>
      <c r="AS518" t="s">
        <v>10302</v>
      </c>
      <c r="AT518" t="s">
        <v>3746</v>
      </c>
      <c r="AU518">
        <v>2021</v>
      </c>
      <c r="AV518">
        <v>568</v>
      </c>
      <c r="AW518" t="s">
        <v>74</v>
      </c>
      <c r="AX518" t="s">
        <v>74</v>
      </c>
      <c r="AY518" t="s">
        <v>74</v>
      </c>
      <c r="AZ518" t="s">
        <v>74</v>
      </c>
      <c r="BA518" t="s">
        <v>74</v>
      </c>
      <c r="BB518" t="s">
        <v>74</v>
      </c>
      <c r="BC518" t="s">
        <v>74</v>
      </c>
      <c r="BD518">
        <v>117035</v>
      </c>
      <c r="BE518" t="s">
        <v>10303</v>
      </c>
      <c r="BF518" t="str">
        <f>HYPERLINK("http://dx.doi.org/10.1016/j.epsl.2021.117035","http://dx.doi.org/10.1016/j.epsl.2021.117035")</f>
        <v>http://dx.doi.org/10.1016/j.epsl.2021.117035</v>
      </c>
      <c r="BG518" t="s">
        <v>74</v>
      </c>
      <c r="BH518" t="s">
        <v>8134</v>
      </c>
      <c r="BI518">
        <v>15</v>
      </c>
      <c r="BJ518" t="s">
        <v>289</v>
      </c>
      <c r="BK518" t="s">
        <v>128</v>
      </c>
      <c r="BL518" t="s">
        <v>289</v>
      </c>
      <c r="BM518" t="s">
        <v>10304</v>
      </c>
      <c r="BN518" t="s">
        <v>74</v>
      </c>
      <c r="BO518" t="s">
        <v>291</v>
      </c>
      <c r="BP518" t="s">
        <v>74</v>
      </c>
      <c r="BQ518" t="s">
        <v>74</v>
      </c>
      <c r="BR518" t="s">
        <v>102</v>
      </c>
      <c r="BS518" t="s">
        <v>10305</v>
      </c>
      <c r="BT518" t="str">
        <f>HYPERLINK("https%3A%2F%2Fwww.webofscience.com%2Fwos%2Fwoscc%2Ffull-record%2FWOS:000667964800018","View Full Record in Web of Science")</f>
        <v>View Full Record in Web of Science</v>
      </c>
    </row>
    <row r="519" spans="1:72" x14ac:dyDescent="0.15">
      <c r="A519" t="s">
        <v>72</v>
      </c>
      <c r="B519" t="s">
        <v>10306</v>
      </c>
      <c r="C519" t="s">
        <v>74</v>
      </c>
      <c r="D519" t="s">
        <v>74</v>
      </c>
      <c r="E519" t="s">
        <v>74</v>
      </c>
      <c r="F519" t="s">
        <v>10307</v>
      </c>
      <c r="G519" t="s">
        <v>74</v>
      </c>
      <c r="H519" t="s">
        <v>74</v>
      </c>
      <c r="I519" t="s">
        <v>10308</v>
      </c>
      <c r="J519" t="s">
        <v>2703</v>
      </c>
      <c r="K519" t="s">
        <v>74</v>
      </c>
      <c r="L519" t="s">
        <v>74</v>
      </c>
      <c r="M519" t="s">
        <v>78</v>
      </c>
      <c r="N519" t="s">
        <v>79</v>
      </c>
      <c r="O519" t="s">
        <v>74</v>
      </c>
      <c r="P519" t="s">
        <v>74</v>
      </c>
      <c r="Q519" t="s">
        <v>74</v>
      </c>
      <c r="R519" t="s">
        <v>74</v>
      </c>
      <c r="S519" t="s">
        <v>74</v>
      </c>
      <c r="T519" t="s">
        <v>10309</v>
      </c>
      <c r="U519" t="s">
        <v>10310</v>
      </c>
      <c r="V519" t="s">
        <v>10311</v>
      </c>
      <c r="W519" t="s">
        <v>10312</v>
      </c>
      <c r="X519" t="s">
        <v>10313</v>
      </c>
      <c r="Y519" t="s">
        <v>10314</v>
      </c>
      <c r="Z519" t="s">
        <v>10315</v>
      </c>
      <c r="AA519" t="s">
        <v>10316</v>
      </c>
      <c r="AB519" t="s">
        <v>10317</v>
      </c>
      <c r="AC519" t="s">
        <v>10318</v>
      </c>
      <c r="AD519" t="s">
        <v>10319</v>
      </c>
      <c r="AE519" t="s">
        <v>10320</v>
      </c>
      <c r="AF519" t="s">
        <v>74</v>
      </c>
      <c r="AG519">
        <v>118</v>
      </c>
      <c r="AH519">
        <v>19</v>
      </c>
      <c r="AI519">
        <v>19</v>
      </c>
      <c r="AJ519">
        <v>2</v>
      </c>
      <c r="AK519">
        <v>16</v>
      </c>
      <c r="AL519" t="s">
        <v>2716</v>
      </c>
      <c r="AM519" t="s">
        <v>865</v>
      </c>
      <c r="AN519" t="s">
        <v>2717</v>
      </c>
      <c r="AO519" t="s">
        <v>2718</v>
      </c>
      <c r="AP519" t="s">
        <v>2918</v>
      </c>
      <c r="AQ519" t="s">
        <v>74</v>
      </c>
      <c r="AR519" t="s">
        <v>2719</v>
      </c>
      <c r="AS519" t="s">
        <v>2720</v>
      </c>
      <c r="AT519" t="s">
        <v>10321</v>
      </c>
      <c r="AU519">
        <v>2021</v>
      </c>
      <c r="AV519">
        <v>118</v>
      </c>
      <c r="AW519">
        <v>24</v>
      </c>
      <c r="AX519" t="s">
        <v>74</v>
      </c>
      <c r="AY519" t="s">
        <v>74</v>
      </c>
      <c r="AZ519" t="s">
        <v>74</v>
      </c>
      <c r="BA519" t="s">
        <v>74</v>
      </c>
      <c r="BB519" t="s">
        <v>74</v>
      </c>
      <c r="BC519" t="s">
        <v>74</v>
      </c>
      <c r="BD519" t="s">
        <v>10322</v>
      </c>
      <c r="BE519" t="s">
        <v>10323</v>
      </c>
      <c r="BF519" t="str">
        <f>HYPERLINK("http://dx.doi.org/10.1073/pnas.2017384118","http://dx.doi.org/10.1073/pnas.2017384118")</f>
        <v>http://dx.doi.org/10.1073/pnas.2017384118</v>
      </c>
      <c r="BG519" t="s">
        <v>74</v>
      </c>
      <c r="BH519" t="s">
        <v>74</v>
      </c>
      <c r="BI519">
        <v>10</v>
      </c>
      <c r="BJ519" t="s">
        <v>2609</v>
      </c>
      <c r="BK519" t="s">
        <v>128</v>
      </c>
      <c r="BL519" t="s">
        <v>2610</v>
      </c>
      <c r="BM519" t="s">
        <v>10324</v>
      </c>
      <c r="BN519">
        <v>34108239</v>
      </c>
      <c r="BO519" t="s">
        <v>1154</v>
      </c>
      <c r="BP519" t="s">
        <v>74</v>
      </c>
      <c r="BQ519" t="s">
        <v>74</v>
      </c>
      <c r="BR519" t="s">
        <v>102</v>
      </c>
      <c r="BS519" t="s">
        <v>10325</v>
      </c>
      <c r="BT519" t="str">
        <f>HYPERLINK("https%3A%2F%2Fwww.webofscience.com%2Fwos%2Fwoscc%2Ffull-record%2FWOS:000668851100004","View Full Record in Web of Science")</f>
        <v>View Full Record in Web of Science</v>
      </c>
    </row>
    <row r="520" spans="1:72" x14ac:dyDescent="0.15">
      <c r="A520" t="s">
        <v>72</v>
      </c>
      <c r="B520" t="s">
        <v>10326</v>
      </c>
      <c r="C520" t="s">
        <v>74</v>
      </c>
      <c r="D520" t="s">
        <v>74</v>
      </c>
      <c r="E520" t="s">
        <v>74</v>
      </c>
      <c r="F520" t="s">
        <v>10327</v>
      </c>
      <c r="G520" t="s">
        <v>74</v>
      </c>
      <c r="H520" t="s">
        <v>74</v>
      </c>
      <c r="I520" t="s">
        <v>10328</v>
      </c>
      <c r="J520" t="s">
        <v>10329</v>
      </c>
      <c r="K520" t="s">
        <v>74</v>
      </c>
      <c r="L520" t="s">
        <v>74</v>
      </c>
      <c r="M520" t="s">
        <v>78</v>
      </c>
      <c r="N520" t="s">
        <v>79</v>
      </c>
      <c r="O520" t="s">
        <v>74</v>
      </c>
      <c r="P520" t="s">
        <v>74</v>
      </c>
      <c r="Q520" t="s">
        <v>74</v>
      </c>
      <c r="R520" t="s">
        <v>74</v>
      </c>
      <c r="S520" t="s">
        <v>74</v>
      </c>
      <c r="T520" t="s">
        <v>10330</v>
      </c>
      <c r="U520" t="s">
        <v>10331</v>
      </c>
      <c r="V520" t="s">
        <v>10332</v>
      </c>
      <c r="W520" t="s">
        <v>10333</v>
      </c>
      <c r="X520" t="s">
        <v>10334</v>
      </c>
      <c r="Y520" t="s">
        <v>10335</v>
      </c>
      <c r="Z520" t="s">
        <v>10336</v>
      </c>
      <c r="AA520" t="s">
        <v>10337</v>
      </c>
      <c r="AB520" t="s">
        <v>10338</v>
      </c>
      <c r="AC520" t="s">
        <v>10339</v>
      </c>
      <c r="AD520" t="s">
        <v>10339</v>
      </c>
      <c r="AE520" t="s">
        <v>10340</v>
      </c>
      <c r="AF520" t="s">
        <v>74</v>
      </c>
      <c r="AG520">
        <v>69</v>
      </c>
      <c r="AH520">
        <v>7</v>
      </c>
      <c r="AI520">
        <v>7</v>
      </c>
      <c r="AJ520">
        <v>6</v>
      </c>
      <c r="AK520">
        <v>25</v>
      </c>
      <c r="AL520" t="s">
        <v>89</v>
      </c>
      <c r="AM520" t="s">
        <v>90</v>
      </c>
      <c r="AN520" t="s">
        <v>91</v>
      </c>
      <c r="AO520" t="s">
        <v>10341</v>
      </c>
      <c r="AP520" t="s">
        <v>10342</v>
      </c>
      <c r="AQ520" t="s">
        <v>74</v>
      </c>
      <c r="AR520" t="s">
        <v>10343</v>
      </c>
      <c r="AS520" t="s">
        <v>10344</v>
      </c>
      <c r="AT520" t="s">
        <v>430</v>
      </c>
      <c r="AU520">
        <v>2021</v>
      </c>
      <c r="AV520">
        <v>598</v>
      </c>
      <c r="AW520" t="s">
        <v>74</v>
      </c>
      <c r="AX520" t="s">
        <v>74</v>
      </c>
      <c r="AY520" t="s">
        <v>74</v>
      </c>
      <c r="AZ520" t="s">
        <v>74</v>
      </c>
      <c r="BA520" t="s">
        <v>74</v>
      </c>
      <c r="BB520" t="s">
        <v>74</v>
      </c>
      <c r="BC520" t="s">
        <v>74</v>
      </c>
      <c r="BD520">
        <v>125739</v>
      </c>
      <c r="BE520" t="s">
        <v>10345</v>
      </c>
      <c r="BF520" t="str">
        <f>HYPERLINK("http://dx.doi.org/10.1016/j.jhydrol.2020.125739","http://dx.doi.org/10.1016/j.jhydrol.2020.125739")</f>
        <v>http://dx.doi.org/10.1016/j.jhydrol.2020.125739</v>
      </c>
      <c r="BG520" t="s">
        <v>74</v>
      </c>
      <c r="BH520" t="s">
        <v>8134</v>
      </c>
      <c r="BI520">
        <v>18</v>
      </c>
      <c r="BJ520" t="s">
        <v>10346</v>
      </c>
      <c r="BK520" t="s">
        <v>128</v>
      </c>
      <c r="BL520" t="s">
        <v>10347</v>
      </c>
      <c r="BM520" t="s">
        <v>10348</v>
      </c>
      <c r="BN520" t="s">
        <v>74</v>
      </c>
      <c r="BO520" t="s">
        <v>74</v>
      </c>
      <c r="BP520" t="s">
        <v>74</v>
      </c>
      <c r="BQ520" t="s">
        <v>74</v>
      </c>
      <c r="BR520" t="s">
        <v>102</v>
      </c>
      <c r="BS520" t="s">
        <v>10349</v>
      </c>
      <c r="BT520" t="str">
        <f>HYPERLINK("https%3A%2F%2Fwww.webofscience.com%2Fwos%2Fwoscc%2Ffull-record%2FWOS:000661813200033","View Full Record in Web of Science")</f>
        <v>View Full Record in Web of Science</v>
      </c>
    </row>
    <row r="521" spans="1:72" x14ac:dyDescent="0.15">
      <c r="A521" t="s">
        <v>72</v>
      </c>
      <c r="B521" t="s">
        <v>10350</v>
      </c>
      <c r="C521" t="s">
        <v>74</v>
      </c>
      <c r="D521" t="s">
        <v>74</v>
      </c>
      <c r="E521" t="s">
        <v>74</v>
      </c>
      <c r="F521" t="s">
        <v>10351</v>
      </c>
      <c r="G521" t="s">
        <v>74</v>
      </c>
      <c r="H521" t="s">
        <v>74</v>
      </c>
      <c r="I521" t="s">
        <v>10352</v>
      </c>
      <c r="J521" t="s">
        <v>10329</v>
      </c>
      <c r="K521" t="s">
        <v>74</v>
      </c>
      <c r="L521" t="s">
        <v>74</v>
      </c>
      <c r="M521" t="s">
        <v>78</v>
      </c>
      <c r="N521" t="s">
        <v>79</v>
      </c>
      <c r="O521" t="s">
        <v>74</v>
      </c>
      <c r="P521" t="s">
        <v>74</v>
      </c>
      <c r="Q521" t="s">
        <v>74</v>
      </c>
      <c r="R521" t="s">
        <v>74</v>
      </c>
      <c r="S521" t="s">
        <v>74</v>
      </c>
      <c r="T521" t="s">
        <v>10353</v>
      </c>
      <c r="U521" t="s">
        <v>10354</v>
      </c>
      <c r="V521" t="s">
        <v>10355</v>
      </c>
      <c r="W521" t="s">
        <v>10356</v>
      </c>
      <c r="X521" t="s">
        <v>10357</v>
      </c>
      <c r="Y521" t="s">
        <v>10358</v>
      </c>
      <c r="Z521" t="s">
        <v>10359</v>
      </c>
      <c r="AA521" t="s">
        <v>10360</v>
      </c>
      <c r="AB521" t="s">
        <v>10361</v>
      </c>
      <c r="AC521" t="s">
        <v>74</v>
      </c>
      <c r="AD521" t="s">
        <v>74</v>
      </c>
      <c r="AE521" t="s">
        <v>74</v>
      </c>
      <c r="AF521" t="s">
        <v>74</v>
      </c>
      <c r="AG521">
        <v>111</v>
      </c>
      <c r="AH521">
        <v>7</v>
      </c>
      <c r="AI521">
        <v>9</v>
      </c>
      <c r="AJ521">
        <v>2</v>
      </c>
      <c r="AK521">
        <v>15</v>
      </c>
      <c r="AL521" t="s">
        <v>89</v>
      </c>
      <c r="AM521" t="s">
        <v>90</v>
      </c>
      <c r="AN521" t="s">
        <v>91</v>
      </c>
      <c r="AO521" t="s">
        <v>10341</v>
      </c>
      <c r="AP521" t="s">
        <v>10342</v>
      </c>
      <c r="AQ521" t="s">
        <v>74</v>
      </c>
      <c r="AR521" t="s">
        <v>10343</v>
      </c>
      <c r="AS521" t="s">
        <v>10344</v>
      </c>
      <c r="AT521" t="s">
        <v>430</v>
      </c>
      <c r="AU521">
        <v>2021</v>
      </c>
      <c r="AV521">
        <v>598</v>
      </c>
      <c r="AW521" t="s">
        <v>74</v>
      </c>
      <c r="AX521" t="s">
        <v>74</v>
      </c>
      <c r="AY521" t="s">
        <v>74</v>
      </c>
      <c r="AZ521" t="s">
        <v>74</v>
      </c>
      <c r="BA521" t="s">
        <v>74</v>
      </c>
      <c r="BB521" t="s">
        <v>74</v>
      </c>
      <c r="BC521" t="s">
        <v>74</v>
      </c>
      <c r="BD521">
        <v>125749</v>
      </c>
      <c r="BE521" t="s">
        <v>10362</v>
      </c>
      <c r="BF521" t="str">
        <f>HYPERLINK("http://dx.doi.org/10.1016/j.jhydrol.2020.125749","http://dx.doi.org/10.1016/j.jhydrol.2020.125749")</f>
        <v>http://dx.doi.org/10.1016/j.jhydrol.2020.125749</v>
      </c>
      <c r="BG521" t="s">
        <v>74</v>
      </c>
      <c r="BH521" t="s">
        <v>8134</v>
      </c>
      <c r="BI521">
        <v>17</v>
      </c>
      <c r="BJ521" t="s">
        <v>10346</v>
      </c>
      <c r="BK521" t="s">
        <v>128</v>
      </c>
      <c r="BL521" t="s">
        <v>10347</v>
      </c>
      <c r="BM521" t="s">
        <v>10348</v>
      </c>
      <c r="BN521" t="s">
        <v>74</v>
      </c>
      <c r="BO521" t="s">
        <v>74</v>
      </c>
      <c r="BP521" t="s">
        <v>74</v>
      </c>
      <c r="BQ521" t="s">
        <v>74</v>
      </c>
      <c r="BR521" t="s">
        <v>102</v>
      </c>
      <c r="BS521" t="s">
        <v>10363</v>
      </c>
      <c r="BT521" t="str">
        <f>HYPERLINK("https%3A%2F%2Fwww.webofscience.com%2Fwos%2Fwoscc%2Ffull-record%2FWOS:000661813200035","View Full Record in Web of Science")</f>
        <v>View Full Record in Web of Science</v>
      </c>
    </row>
    <row r="522" spans="1:72" x14ac:dyDescent="0.15">
      <c r="A522" t="s">
        <v>72</v>
      </c>
      <c r="B522" t="s">
        <v>10364</v>
      </c>
      <c r="C522" t="s">
        <v>74</v>
      </c>
      <c r="D522" t="s">
        <v>74</v>
      </c>
      <c r="E522" t="s">
        <v>74</v>
      </c>
      <c r="F522" t="s">
        <v>10365</v>
      </c>
      <c r="G522" t="s">
        <v>74</v>
      </c>
      <c r="H522" t="s">
        <v>74</v>
      </c>
      <c r="I522" t="s">
        <v>10366</v>
      </c>
      <c r="J522" t="s">
        <v>8205</v>
      </c>
      <c r="K522" t="s">
        <v>74</v>
      </c>
      <c r="L522" t="s">
        <v>74</v>
      </c>
      <c r="M522" t="s">
        <v>78</v>
      </c>
      <c r="N522" t="s">
        <v>79</v>
      </c>
      <c r="O522" t="s">
        <v>74</v>
      </c>
      <c r="P522" t="s">
        <v>74</v>
      </c>
      <c r="Q522" t="s">
        <v>74</v>
      </c>
      <c r="R522" t="s">
        <v>74</v>
      </c>
      <c r="S522" t="s">
        <v>74</v>
      </c>
      <c r="T522" t="s">
        <v>74</v>
      </c>
      <c r="U522" t="s">
        <v>10367</v>
      </c>
      <c r="V522" t="s">
        <v>10368</v>
      </c>
      <c r="W522" t="s">
        <v>10369</v>
      </c>
      <c r="X522" t="s">
        <v>10370</v>
      </c>
      <c r="Y522" t="s">
        <v>10371</v>
      </c>
      <c r="Z522" t="s">
        <v>10372</v>
      </c>
      <c r="AA522" t="s">
        <v>10373</v>
      </c>
      <c r="AB522" t="s">
        <v>10374</v>
      </c>
      <c r="AC522" t="s">
        <v>10375</v>
      </c>
      <c r="AD522" t="s">
        <v>10376</v>
      </c>
      <c r="AE522" t="s">
        <v>10377</v>
      </c>
      <c r="AF522" t="s">
        <v>74</v>
      </c>
      <c r="AG522">
        <v>76</v>
      </c>
      <c r="AH522">
        <v>10</v>
      </c>
      <c r="AI522">
        <v>10</v>
      </c>
      <c r="AJ522">
        <v>0</v>
      </c>
      <c r="AK522">
        <v>8</v>
      </c>
      <c r="AL522" t="s">
        <v>3453</v>
      </c>
      <c r="AM522" t="s">
        <v>368</v>
      </c>
      <c r="AN522" t="s">
        <v>3454</v>
      </c>
      <c r="AO522" t="s">
        <v>74</v>
      </c>
      <c r="AP522" t="s">
        <v>8217</v>
      </c>
      <c r="AQ522" t="s">
        <v>74</v>
      </c>
      <c r="AR522" t="s">
        <v>8218</v>
      </c>
      <c r="AS522" t="s">
        <v>8219</v>
      </c>
      <c r="AT522" t="s">
        <v>10321</v>
      </c>
      <c r="AU522">
        <v>2021</v>
      </c>
      <c r="AV522">
        <v>2</v>
      </c>
      <c r="AW522">
        <v>1</v>
      </c>
      <c r="AX522" t="s">
        <v>74</v>
      </c>
      <c r="AY522" t="s">
        <v>74</v>
      </c>
      <c r="AZ522" t="s">
        <v>74</v>
      </c>
      <c r="BA522" t="s">
        <v>74</v>
      </c>
      <c r="BB522" t="s">
        <v>74</v>
      </c>
      <c r="BC522" t="s">
        <v>74</v>
      </c>
      <c r="BD522">
        <v>124</v>
      </c>
      <c r="BE522" t="s">
        <v>10378</v>
      </c>
      <c r="BF522" t="str">
        <f>HYPERLINK("http://dx.doi.org/10.1038/s43247-021-00191-x","http://dx.doi.org/10.1038/s43247-021-00191-x")</f>
        <v>http://dx.doi.org/10.1038/s43247-021-00191-x</v>
      </c>
      <c r="BG522" t="s">
        <v>74</v>
      </c>
      <c r="BH522" t="s">
        <v>74</v>
      </c>
      <c r="BI522">
        <v>10</v>
      </c>
      <c r="BJ522" t="s">
        <v>1044</v>
      </c>
      <c r="BK522" t="s">
        <v>128</v>
      </c>
      <c r="BL522" t="s">
        <v>1045</v>
      </c>
      <c r="BM522" t="s">
        <v>10379</v>
      </c>
      <c r="BN522" t="s">
        <v>74</v>
      </c>
      <c r="BO522" t="s">
        <v>486</v>
      </c>
      <c r="BP522" t="s">
        <v>74</v>
      </c>
      <c r="BQ522" t="s">
        <v>74</v>
      </c>
      <c r="BR522" t="s">
        <v>102</v>
      </c>
      <c r="BS522" t="s">
        <v>10380</v>
      </c>
      <c r="BT522" t="str">
        <f>HYPERLINK("https%3A%2F%2Fwww.webofscience.com%2Fwos%2Fwoscc%2Ffull-record%2FWOS:000663708300001","View Full Record in Web of Science")</f>
        <v>View Full Record in Web of Science</v>
      </c>
    </row>
    <row r="523" spans="1:72" x14ac:dyDescent="0.15">
      <c r="A523" t="s">
        <v>72</v>
      </c>
      <c r="B523" t="s">
        <v>10381</v>
      </c>
      <c r="C523" t="s">
        <v>74</v>
      </c>
      <c r="D523" t="s">
        <v>74</v>
      </c>
      <c r="E523" t="s">
        <v>74</v>
      </c>
      <c r="F523" t="s">
        <v>10382</v>
      </c>
      <c r="G523" t="s">
        <v>74</v>
      </c>
      <c r="H523" t="s">
        <v>74</v>
      </c>
      <c r="I523" t="s">
        <v>10383</v>
      </c>
      <c r="J523" t="s">
        <v>2396</v>
      </c>
      <c r="K523" t="s">
        <v>74</v>
      </c>
      <c r="L523" t="s">
        <v>74</v>
      </c>
      <c r="M523" t="s">
        <v>78</v>
      </c>
      <c r="N523" t="s">
        <v>79</v>
      </c>
      <c r="O523" t="s">
        <v>74</v>
      </c>
      <c r="P523" t="s">
        <v>74</v>
      </c>
      <c r="Q523" t="s">
        <v>74</v>
      </c>
      <c r="R523" t="s">
        <v>74</v>
      </c>
      <c r="S523" t="s">
        <v>74</v>
      </c>
      <c r="T523" t="s">
        <v>74</v>
      </c>
      <c r="U523" t="s">
        <v>10384</v>
      </c>
      <c r="V523" t="s">
        <v>10385</v>
      </c>
      <c r="W523" t="s">
        <v>10386</v>
      </c>
      <c r="X523" t="s">
        <v>10387</v>
      </c>
      <c r="Y523" t="s">
        <v>10388</v>
      </c>
      <c r="Z523" t="s">
        <v>10389</v>
      </c>
      <c r="AA523" t="s">
        <v>10390</v>
      </c>
      <c r="AB523" t="s">
        <v>10391</v>
      </c>
      <c r="AC523" t="s">
        <v>10392</v>
      </c>
      <c r="AD523" t="s">
        <v>10393</v>
      </c>
      <c r="AE523" t="s">
        <v>10394</v>
      </c>
      <c r="AF523" t="s">
        <v>74</v>
      </c>
      <c r="AG523">
        <v>87</v>
      </c>
      <c r="AH523">
        <v>6</v>
      </c>
      <c r="AI523">
        <v>6</v>
      </c>
      <c r="AJ523">
        <v>0</v>
      </c>
      <c r="AK523">
        <v>3</v>
      </c>
      <c r="AL523" t="s">
        <v>143</v>
      </c>
      <c r="AM523" t="s">
        <v>144</v>
      </c>
      <c r="AN523" t="s">
        <v>145</v>
      </c>
      <c r="AO523" t="s">
        <v>2408</v>
      </c>
      <c r="AP523" t="s">
        <v>2409</v>
      </c>
      <c r="AQ523" t="s">
        <v>74</v>
      </c>
      <c r="AR523" t="s">
        <v>2396</v>
      </c>
      <c r="AS523" t="s">
        <v>2410</v>
      </c>
      <c r="AT523" t="s">
        <v>10321</v>
      </c>
      <c r="AU523">
        <v>2021</v>
      </c>
      <c r="AV523">
        <v>15</v>
      </c>
      <c r="AW523">
        <v>6</v>
      </c>
      <c r="AX523" t="s">
        <v>74</v>
      </c>
      <c r="AY523" t="s">
        <v>74</v>
      </c>
      <c r="AZ523" t="s">
        <v>74</v>
      </c>
      <c r="BA523" t="s">
        <v>74</v>
      </c>
      <c r="BB523">
        <v>2683</v>
      </c>
      <c r="BC523">
        <v>2699</v>
      </c>
      <c r="BD523" t="s">
        <v>74</v>
      </c>
      <c r="BE523" t="s">
        <v>10395</v>
      </c>
      <c r="BF523" t="str">
        <f>HYPERLINK("http://dx.doi.org/10.5194/tc-15-2683-2021","http://dx.doi.org/10.5194/tc-15-2683-2021")</f>
        <v>http://dx.doi.org/10.5194/tc-15-2683-2021</v>
      </c>
      <c r="BG523" t="s">
        <v>74</v>
      </c>
      <c r="BH523" t="s">
        <v>74</v>
      </c>
      <c r="BI523">
        <v>17</v>
      </c>
      <c r="BJ523" t="s">
        <v>151</v>
      </c>
      <c r="BK523" t="s">
        <v>128</v>
      </c>
      <c r="BL523" t="s">
        <v>152</v>
      </c>
      <c r="BM523" t="s">
        <v>10396</v>
      </c>
      <c r="BN523" t="s">
        <v>74</v>
      </c>
      <c r="BO523" t="s">
        <v>154</v>
      </c>
      <c r="BP523" t="s">
        <v>74</v>
      </c>
      <c r="BQ523" t="s">
        <v>74</v>
      </c>
      <c r="BR523" t="s">
        <v>102</v>
      </c>
      <c r="BS523" t="s">
        <v>10397</v>
      </c>
      <c r="BT523" t="str">
        <f>HYPERLINK("https%3A%2F%2Fwww.webofscience.com%2Fwos%2Fwoscc%2Ffull-record%2FWOS:000663922000002","View Full Record in Web of Science")</f>
        <v>View Full Record in Web of Science</v>
      </c>
    </row>
    <row r="524" spans="1:72" x14ac:dyDescent="0.15">
      <c r="A524" t="s">
        <v>72</v>
      </c>
      <c r="B524" t="s">
        <v>10398</v>
      </c>
      <c r="C524" t="s">
        <v>74</v>
      </c>
      <c r="D524" t="s">
        <v>74</v>
      </c>
      <c r="E524" t="s">
        <v>74</v>
      </c>
      <c r="F524" t="s">
        <v>10399</v>
      </c>
      <c r="G524" t="s">
        <v>74</v>
      </c>
      <c r="H524" t="s">
        <v>74</v>
      </c>
      <c r="I524" t="s">
        <v>10400</v>
      </c>
      <c r="J524" t="s">
        <v>10148</v>
      </c>
      <c r="K524" t="s">
        <v>74</v>
      </c>
      <c r="L524" t="s">
        <v>74</v>
      </c>
      <c r="M524" t="s">
        <v>78</v>
      </c>
      <c r="N524" t="s">
        <v>79</v>
      </c>
      <c r="O524" t="s">
        <v>74</v>
      </c>
      <c r="P524" t="s">
        <v>74</v>
      </c>
      <c r="Q524" t="s">
        <v>74</v>
      </c>
      <c r="R524" t="s">
        <v>74</v>
      </c>
      <c r="S524" t="s">
        <v>74</v>
      </c>
      <c r="T524" t="s">
        <v>10401</v>
      </c>
      <c r="U524" t="s">
        <v>10402</v>
      </c>
      <c r="V524" t="s">
        <v>10403</v>
      </c>
      <c r="W524" t="s">
        <v>10404</v>
      </c>
      <c r="X524" t="s">
        <v>10405</v>
      </c>
      <c r="Y524" t="s">
        <v>10406</v>
      </c>
      <c r="Z524" t="s">
        <v>10407</v>
      </c>
      <c r="AA524" t="s">
        <v>10408</v>
      </c>
      <c r="AB524" t="s">
        <v>10409</v>
      </c>
      <c r="AC524" t="s">
        <v>10410</v>
      </c>
      <c r="AD524" t="s">
        <v>10410</v>
      </c>
      <c r="AE524" t="s">
        <v>10411</v>
      </c>
      <c r="AF524" t="s">
        <v>74</v>
      </c>
      <c r="AG524">
        <v>51</v>
      </c>
      <c r="AH524">
        <v>6</v>
      </c>
      <c r="AI524">
        <v>6</v>
      </c>
      <c r="AJ524">
        <v>3</v>
      </c>
      <c r="AK524">
        <v>14</v>
      </c>
      <c r="AL524" t="s">
        <v>89</v>
      </c>
      <c r="AM524" t="s">
        <v>90</v>
      </c>
      <c r="AN524" t="s">
        <v>91</v>
      </c>
      <c r="AO524" t="s">
        <v>10161</v>
      </c>
      <c r="AP524" t="s">
        <v>10162</v>
      </c>
      <c r="AQ524" t="s">
        <v>74</v>
      </c>
      <c r="AR524" t="s">
        <v>10163</v>
      </c>
      <c r="AS524" t="s">
        <v>10164</v>
      </c>
      <c r="AT524" t="s">
        <v>4571</v>
      </c>
      <c r="AU524">
        <v>2021</v>
      </c>
      <c r="AV524">
        <v>28</v>
      </c>
      <c r="AW524" t="s">
        <v>74</v>
      </c>
      <c r="AX524" t="s">
        <v>74</v>
      </c>
      <c r="AY524" t="s">
        <v>74</v>
      </c>
      <c r="AZ524" t="s">
        <v>431</v>
      </c>
      <c r="BA524" t="s">
        <v>74</v>
      </c>
      <c r="BB524" t="s">
        <v>74</v>
      </c>
      <c r="BC524" t="s">
        <v>74</v>
      </c>
      <c r="BD524">
        <v>100656</v>
      </c>
      <c r="BE524" t="s">
        <v>10412</v>
      </c>
      <c r="BF524" t="str">
        <f>HYPERLINK("http://dx.doi.org/10.1016/j.polar.2021.100656","http://dx.doi.org/10.1016/j.polar.2021.100656")</f>
        <v>http://dx.doi.org/10.1016/j.polar.2021.100656</v>
      </c>
      <c r="BG524" t="s">
        <v>74</v>
      </c>
      <c r="BH524" t="s">
        <v>8134</v>
      </c>
      <c r="BI524">
        <v>9</v>
      </c>
      <c r="BJ524" t="s">
        <v>3326</v>
      </c>
      <c r="BK524" t="s">
        <v>128</v>
      </c>
      <c r="BL524" t="s">
        <v>3327</v>
      </c>
      <c r="BM524" t="s">
        <v>10413</v>
      </c>
      <c r="BN524" t="s">
        <v>74</v>
      </c>
      <c r="BO524" t="s">
        <v>291</v>
      </c>
      <c r="BP524" t="s">
        <v>74</v>
      </c>
      <c r="BQ524" t="s">
        <v>74</v>
      </c>
      <c r="BR524" t="s">
        <v>102</v>
      </c>
      <c r="BS524" t="s">
        <v>10414</v>
      </c>
      <c r="BT524" t="str">
        <f>HYPERLINK("https%3A%2F%2Fwww.webofscience.com%2Fwos%2Fwoscc%2Ffull-record%2FWOS:000661806200001","View Full Record in Web of Science")</f>
        <v>View Full Record in Web of Science</v>
      </c>
    </row>
    <row r="525" spans="1:72" x14ac:dyDescent="0.15">
      <c r="A525" t="s">
        <v>72</v>
      </c>
      <c r="B525" t="s">
        <v>10415</v>
      </c>
      <c r="C525" t="s">
        <v>74</v>
      </c>
      <c r="D525" t="s">
        <v>74</v>
      </c>
      <c r="E525" t="s">
        <v>74</v>
      </c>
      <c r="F525" t="s">
        <v>10416</v>
      </c>
      <c r="G525" t="s">
        <v>74</v>
      </c>
      <c r="H525" t="s">
        <v>74</v>
      </c>
      <c r="I525" t="s">
        <v>10417</v>
      </c>
      <c r="J525" t="s">
        <v>2396</v>
      </c>
      <c r="K525" t="s">
        <v>74</v>
      </c>
      <c r="L525" t="s">
        <v>74</v>
      </c>
      <c r="M525" t="s">
        <v>78</v>
      </c>
      <c r="N525" t="s">
        <v>79</v>
      </c>
      <c r="O525" t="s">
        <v>74</v>
      </c>
      <c r="P525" t="s">
        <v>74</v>
      </c>
      <c r="Q525" t="s">
        <v>74</v>
      </c>
      <c r="R525" t="s">
        <v>74</v>
      </c>
      <c r="S525" t="s">
        <v>74</v>
      </c>
      <c r="T525" t="s">
        <v>74</v>
      </c>
      <c r="U525" t="s">
        <v>10418</v>
      </c>
      <c r="V525" t="s">
        <v>10419</v>
      </c>
      <c r="W525" t="s">
        <v>10420</v>
      </c>
      <c r="X525" t="s">
        <v>10421</v>
      </c>
      <c r="Y525" t="s">
        <v>10422</v>
      </c>
      <c r="Z525" t="s">
        <v>10423</v>
      </c>
      <c r="AA525" t="s">
        <v>10424</v>
      </c>
      <c r="AB525" t="s">
        <v>10425</v>
      </c>
      <c r="AC525" t="s">
        <v>10426</v>
      </c>
      <c r="AD525" t="s">
        <v>10427</v>
      </c>
      <c r="AE525" t="s">
        <v>10428</v>
      </c>
      <c r="AF525" t="s">
        <v>74</v>
      </c>
      <c r="AG525">
        <v>86</v>
      </c>
      <c r="AH525">
        <v>21</v>
      </c>
      <c r="AI525">
        <v>22</v>
      </c>
      <c r="AJ525">
        <v>3</v>
      </c>
      <c r="AK525">
        <v>39</v>
      </c>
      <c r="AL525" t="s">
        <v>143</v>
      </c>
      <c r="AM525" t="s">
        <v>144</v>
      </c>
      <c r="AN525" t="s">
        <v>145</v>
      </c>
      <c r="AO525" t="s">
        <v>2408</v>
      </c>
      <c r="AP525" t="s">
        <v>2409</v>
      </c>
      <c r="AQ525" t="s">
        <v>74</v>
      </c>
      <c r="AR525" t="s">
        <v>2396</v>
      </c>
      <c r="AS525" t="s">
        <v>2410</v>
      </c>
      <c r="AT525" t="s">
        <v>10321</v>
      </c>
      <c r="AU525">
        <v>2021</v>
      </c>
      <c r="AV525">
        <v>15</v>
      </c>
      <c r="AW525">
        <v>6</v>
      </c>
      <c r="AX525" t="s">
        <v>74</v>
      </c>
      <c r="AY525" t="s">
        <v>74</v>
      </c>
      <c r="AZ525" t="s">
        <v>74</v>
      </c>
      <c r="BA525" t="s">
        <v>74</v>
      </c>
      <c r="BB525">
        <v>2575</v>
      </c>
      <c r="BC525">
        <v>2591</v>
      </c>
      <c r="BD525" t="s">
        <v>74</v>
      </c>
      <c r="BE525" t="s">
        <v>10429</v>
      </c>
      <c r="BF525" t="str">
        <f>HYPERLINK("http://dx.doi.org/10.5194/tc-15-2575-2021","http://dx.doi.org/10.5194/tc-15-2575-2021")</f>
        <v>http://dx.doi.org/10.5194/tc-15-2575-2021</v>
      </c>
      <c r="BG525" t="s">
        <v>74</v>
      </c>
      <c r="BH525" t="s">
        <v>74</v>
      </c>
      <c r="BI525">
        <v>17</v>
      </c>
      <c r="BJ525" t="s">
        <v>151</v>
      </c>
      <c r="BK525" t="s">
        <v>128</v>
      </c>
      <c r="BL525" t="s">
        <v>152</v>
      </c>
      <c r="BM525" t="s">
        <v>10430</v>
      </c>
      <c r="BN525" t="s">
        <v>74</v>
      </c>
      <c r="BO525" t="s">
        <v>353</v>
      </c>
      <c r="BP525" t="s">
        <v>74</v>
      </c>
      <c r="BQ525" t="s">
        <v>74</v>
      </c>
      <c r="BR525" t="s">
        <v>102</v>
      </c>
      <c r="BS525" t="s">
        <v>10431</v>
      </c>
      <c r="BT525" t="str">
        <f>HYPERLINK("https%3A%2F%2Fwww.webofscience.com%2Fwos%2Fwoscc%2Ffull-record%2FWOS:000662222700001","View Full Record in Web of Science")</f>
        <v>View Full Record in Web of Science</v>
      </c>
    </row>
    <row r="526" spans="1:72" x14ac:dyDescent="0.15">
      <c r="A526" t="s">
        <v>72</v>
      </c>
      <c r="B526" t="s">
        <v>10432</v>
      </c>
      <c r="C526" t="s">
        <v>74</v>
      </c>
      <c r="D526" t="s">
        <v>74</v>
      </c>
      <c r="E526" t="s">
        <v>74</v>
      </c>
      <c r="F526" t="s">
        <v>10433</v>
      </c>
      <c r="G526" t="s">
        <v>74</v>
      </c>
      <c r="H526" t="s">
        <v>74</v>
      </c>
      <c r="I526" t="s">
        <v>10434</v>
      </c>
      <c r="J526" t="s">
        <v>107</v>
      </c>
      <c r="K526" t="s">
        <v>74</v>
      </c>
      <c r="L526" t="s">
        <v>74</v>
      </c>
      <c r="M526" t="s">
        <v>78</v>
      </c>
      <c r="N526" t="s">
        <v>79</v>
      </c>
      <c r="O526" t="s">
        <v>74</v>
      </c>
      <c r="P526" t="s">
        <v>74</v>
      </c>
      <c r="Q526" t="s">
        <v>74</v>
      </c>
      <c r="R526" t="s">
        <v>74</v>
      </c>
      <c r="S526" t="s">
        <v>74</v>
      </c>
      <c r="T526" t="s">
        <v>10435</v>
      </c>
      <c r="U526" t="s">
        <v>10436</v>
      </c>
      <c r="V526" t="s">
        <v>10437</v>
      </c>
      <c r="W526" t="s">
        <v>10438</v>
      </c>
      <c r="X526" t="s">
        <v>10439</v>
      </c>
      <c r="Y526" t="s">
        <v>10440</v>
      </c>
      <c r="Z526" t="s">
        <v>10441</v>
      </c>
      <c r="AA526" t="s">
        <v>10442</v>
      </c>
      <c r="AB526" t="s">
        <v>10443</v>
      </c>
      <c r="AC526" t="s">
        <v>10444</v>
      </c>
      <c r="AD526" t="s">
        <v>10445</v>
      </c>
      <c r="AE526" t="s">
        <v>10446</v>
      </c>
      <c r="AF526" t="s">
        <v>74</v>
      </c>
      <c r="AG526">
        <v>88</v>
      </c>
      <c r="AH526">
        <v>13</v>
      </c>
      <c r="AI526">
        <v>13</v>
      </c>
      <c r="AJ526">
        <v>3</v>
      </c>
      <c r="AK526">
        <v>30</v>
      </c>
      <c r="AL526" t="s">
        <v>119</v>
      </c>
      <c r="AM526" t="s">
        <v>120</v>
      </c>
      <c r="AN526" t="s">
        <v>121</v>
      </c>
      <c r="AO526" t="s">
        <v>74</v>
      </c>
      <c r="AP526" t="s">
        <v>122</v>
      </c>
      <c r="AQ526" t="s">
        <v>74</v>
      </c>
      <c r="AR526" t="s">
        <v>123</v>
      </c>
      <c r="AS526" t="s">
        <v>124</v>
      </c>
      <c r="AT526" t="s">
        <v>10321</v>
      </c>
      <c r="AU526">
        <v>2021</v>
      </c>
      <c r="AV526">
        <v>8</v>
      </c>
      <c r="AW526" t="s">
        <v>74</v>
      </c>
      <c r="AX526" t="s">
        <v>74</v>
      </c>
      <c r="AY526" t="s">
        <v>74</v>
      </c>
      <c r="AZ526" t="s">
        <v>74</v>
      </c>
      <c r="BA526" t="s">
        <v>74</v>
      </c>
      <c r="BB526" t="s">
        <v>74</v>
      </c>
      <c r="BC526" t="s">
        <v>74</v>
      </c>
      <c r="BD526">
        <v>669508</v>
      </c>
      <c r="BE526" t="s">
        <v>10447</v>
      </c>
      <c r="BF526" t="str">
        <f>HYPERLINK("http://dx.doi.org/10.3389/fmars.2021.669508","http://dx.doi.org/10.3389/fmars.2021.669508")</f>
        <v>http://dx.doi.org/10.3389/fmars.2021.669508</v>
      </c>
      <c r="BG526" t="s">
        <v>74</v>
      </c>
      <c r="BH526" t="s">
        <v>74</v>
      </c>
      <c r="BI526">
        <v>15</v>
      </c>
      <c r="BJ526" t="s">
        <v>127</v>
      </c>
      <c r="BK526" t="s">
        <v>128</v>
      </c>
      <c r="BL526" t="s">
        <v>129</v>
      </c>
      <c r="BM526" t="s">
        <v>10448</v>
      </c>
      <c r="BN526" t="s">
        <v>74</v>
      </c>
      <c r="BO526" t="s">
        <v>638</v>
      </c>
      <c r="BP526" t="s">
        <v>74</v>
      </c>
      <c r="BQ526" t="s">
        <v>74</v>
      </c>
      <c r="BR526" t="s">
        <v>102</v>
      </c>
      <c r="BS526" t="s">
        <v>10449</v>
      </c>
      <c r="BT526" t="str">
        <f>HYPERLINK("https%3A%2F%2Fwww.webofscience.com%2Fwos%2Fwoscc%2Ffull-record%2FWOS:000663821600001","View Full Record in Web of Science")</f>
        <v>View Full Record in Web of Science</v>
      </c>
    </row>
    <row r="527" spans="1:72" x14ac:dyDescent="0.15">
      <c r="A527" t="s">
        <v>72</v>
      </c>
      <c r="B527" t="s">
        <v>10450</v>
      </c>
      <c r="C527" t="s">
        <v>74</v>
      </c>
      <c r="D527" t="s">
        <v>74</v>
      </c>
      <c r="E527" t="s">
        <v>74</v>
      </c>
      <c r="F527" t="s">
        <v>10451</v>
      </c>
      <c r="G527" t="s">
        <v>74</v>
      </c>
      <c r="H527" t="s">
        <v>74</v>
      </c>
      <c r="I527" t="s">
        <v>10452</v>
      </c>
      <c r="J527" t="s">
        <v>2862</v>
      </c>
      <c r="K527" t="s">
        <v>74</v>
      </c>
      <c r="L527" t="s">
        <v>74</v>
      </c>
      <c r="M527" t="s">
        <v>78</v>
      </c>
      <c r="N527" t="s">
        <v>79</v>
      </c>
      <c r="O527" t="s">
        <v>74</v>
      </c>
      <c r="P527" t="s">
        <v>74</v>
      </c>
      <c r="Q527" t="s">
        <v>74</v>
      </c>
      <c r="R527" t="s">
        <v>74</v>
      </c>
      <c r="S527" t="s">
        <v>74</v>
      </c>
      <c r="T527" t="s">
        <v>10453</v>
      </c>
      <c r="U527" t="s">
        <v>10454</v>
      </c>
      <c r="V527" t="s">
        <v>10455</v>
      </c>
      <c r="W527" t="s">
        <v>10456</v>
      </c>
      <c r="X527" t="s">
        <v>8787</v>
      </c>
      <c r="Y527" t="s">
        <v>10457</v>
      </c>
      <c r="Z527" t="s">
        <v>10458</v>
      </c>
      <c r="AA527" t="s">
        <v>74</v>
      </c>
      <c r="AB527" t="s">
        <v>10459</v>
      </c>
      <c r="AC527" t="s">
        <v>10460</v>
      </c>
      <c r="AD527" t="s">
        <v>10461</v>
      </c>
      <c r="AE527" t="s">
        <v>10462</v>
      </c>
      <c r="AF527" t="s">
        <v>74</v>
      </c>
      <c r="AG527">
        <v>53</v>
      </c>
      <c r="AH527">
        <v>0</v>
      </c>
      <c r="AI527">
        <v>0</v>
      </c>
      <c r="AJ527">
        <v>1</v>
      </c>
      <c r="AK527">
        <v>2</v>
      </c>
      <c r="AL527" t="s">
        <v>450</v>
      </c>
      <c r="AM527" t="s">
        <v>650</v>
      </c>
      <c r="AN527" t="s">
        <v>1957</v>
      </c>
      <c r="AO527" t="s">
        <v>2874</v>
      </c>
      <c r="AP527" t="s">
        <v>2875</v>
      </c>
      <c r="AQ527" t="s">
        <v>74</v>
      </c>
      <c r="AR527" t="s">
        <v>2876</v>
      </c>
      <c r="AS527" t="s">
        <v>2877</v>
      </c>
      <c r="AT527" t="s">
        <v>535</v>
      </c>
      <c r="AU527">
        <v>2021</v>
      </c>
      <c r="AV527">
        <v>44</v>
      </c>
      <c r="AW527">
        <v>8</v>
      </c>
      <c r="AX527" t="s">
        <v>74</v>
      </c>
      <c r="AY527" t="s">
        <v>74</v>
      </c>
      <c r="AZ527" t="s">
        <v>74</v>
      </c>
      <c r="BA527" t="s">
        <v>74</v>
      </c>
      <c r="BB527">
        <v>1737</v>
      </c>
      <c r="BC527">
        <v>1744</v>
      </c>
      <c r="BD527" t="s">
        <v>74</v>
      </c>
      <c r="BE527" t="s">
        <v>10463</v>
      </c>
      <c r="BF527" t="str">
        <f>HYPERLINK("http://dx.doi.org/10.1007/s00300-021-02905-5","http://dx.doi.org/10.1007/s00300-021-02905-5")</f>
        <v>http://dx.doi.org/10.1007/s00300-021-02905-5</v>
      </c>
      <c r="BG527" t="s">
        <v>74</v>
      </c>
      <c r="BH527" t="s">
        <v>8134</v>
      </c>
      <c r="BI527">
        <v>8</v>
      </c>
      <c r="BJ527" t="s">
        <v>1883</v>
      </c>
      <c r="BK527" t="s">
        <v>128</v>
      </c>
      <c r="BL527" t="s">
        <v>207</v>
      </c>
      <c r="BM527" t="s">
        <v>5619</v>
      </c>
      <c r="BN527" t="s">
        <v>74</v>
      </c>
      <c r="BO527" t="s">
        <v>74</v>
      </c>
      <c r="BP527" t="s">
        <v>74</v>
      </c>
      <c r="BQ527" t="s">
        <v>74</v>
      </c>
      <c r="BR527" t="s">
        <v>102</v>
      </c>
      <c r="BS527" t="s">
        <v>10464</v>
      </c>
      <c r="BT527" t="str">
        <f>HYPERLINK("https%3A%2F%2Fwww.webofscience.com%2Fwos%2Fwoscc%2Ffull-record%2FWOS:000661740100001","View Full Record in Web of Science")</f>
        <v>View Full Record in Web of Science</v>
      </c>
    </row>
    <row r="528" spans="1:72" x14ac:dyDescent="0.15">
      <c r="A528" t="s">
        <v>72</v>
      </c>
      <c r="B528" t="s">
        <v>10465</v>
      </c>
      <c r="C528" t="s">
        <v>74</v>
      </c>
      <c r="D528" t="s">
        <v>74</v>
      </c>
      <c r="E528" t="s">
        <v>74</v>
      </c>
      <c r="F528" t="s">
        <v>10466</v>
      </c>
      <c r="G528" t="s">
        <v>74</v>
      </c>
      <c r="H528" t="s">
        <v>74</v>
      </c>
      <c r="I528" t="s">
        <v>10467</v>
      </c>
      <c r="J528" t="s">
        <v>5780</v>
      </c>
      <c r="K528" t="s">
        <v>74</v>
      </c>
      <c r="L528" t="s">
        <v>74</v>
      </c>
      <c r="M528" t="s">
        <v>78</v>
      </c>
      <c r="N528" t="s">
        <v>3298</v>
      </c>
      <c r="O528" t="s">
        <v>74</v>
      </c>
      <c r="P528" t="s">
        <v>74</v>
      </c>
      <c r="Q528" t="s">
        <v>74</v>
      </c>
      <c r="R528" t="s">
        <v>74</v>
      </c>
      <c r="S528" t="s">
        <v>74</v>
      </c>
      <c r="T528" t="s">
        <v>74</v>
      </c>
      <c r="U528" t="s">
        <v>74</v>
      </c>
      <c r="V528" t="s">
        <v>74</v>
      </c>
      <c r="W528" t="s">
        <v>74</v>
      </c>
      <c r="X528" t="s">
        <v>74</v>
      </c>
      <c r="Y528" t="s">
        <v>74</v>
      </c>
      <c r="Z528" t="s">
        <v>10468</v>
      </c>
      <c r="AA528" t="s">
        <v>10469</v>
      </c>
      <c r="AB528" t="s">
        <v>10470</v>
      </c>
      <c r="AC528" t="s">
        <v>74</v>
      </c>
      <c r="AD528" t="s">
        <v>74</v>
      </c>
      <c r="AE528" t="s">
        <v>74</v>
      </c>
      <c r="AF528" t="s">
        <v>74</v>
      </c>
      <c r="AG528">
        <v>1</v>
      </c>
      <c r="AH528">
        <v>0</v>
      </c>
      <c r="AI528">
        <v>0</v>
      </c>
      <c r="AJ528">
        <v>0</v>
      </c>
      <c r="AK528">
        <v>3</v>
      </c>
      <c r="AL528" t="s">
        <v>395</v>
      </c>
      <c r="AM528" t="s">
        <v>396</v>
      </c>
      <c r="AN528" t="s">
        <v>397</v>
      </c>
      <c r="AO528" t="s">
        <v>5786</v>
      </c>
      <c r="AP528" t="s">
        <v>74</v>
      </c>
      <c r="AQ528" t="s">
        <v>74</v>
      </c>
      <c r="AR528" t="s">
        <v>5787</v>
      </c>
      <c r="AS528" t="s">
        <v>5788</v>
      </c>
      <c r="AT528" t="s">
        <v>535</v>
      </c>
      <c r="AU528">
        <v>2021</v>
      </c>
      <c r="AV528">
        <v>5</v>
      </c>
      <c r="AW528">
        <v>8</v>
      </c>
      <c r="AX528" t="s">
        <v>74</v>
      </c>
      <c r="AY528" t="s">
        <v>74</v>
      </c>
      <c r="AZ528" t="s">
        <v>74</v>
      </c>
      <c r="BA528" t="s">
        <v>74</v>
      </c>
      <c r="BB528">
        <v>1185</v>
      </c>
      <c r="BC528">
        <v>1185</v>
      </c>
      <c r="BD528" t="s">
        <v>74</v>
      </c>
      <c r="BE528" t="s">
        <v>10471</v>
      </c>
      <c r="BF528" t="str">
        <f>HYPERLINK("http://dx.doi.org/10.1038/s41559-021-01507-y","http://dx.doi.org/10.1038/s41559-021-01507-y")</f>
        <v>http://dx.doi.org/10.1038/s41559-021-01507-y</v>
      </c>
      <c r="BG528" t="s">
        <v>74</v>
      </c>
      <c r="BH528" t="s">
        <v>8134</v>
      </c>
      <c r="BI528">
        <v>1</v>
      </c>
      <c r="BJ528" t="s">
        <v>2696</v>
      </c>
      <c r="BK528" t="s">
        <v>128</v>
      </c>
      <c r="BL528" t="s">
        <v>2697</v>
      </c>
      <c r="BM528" t="s">
        <v>10472</v>
      </c>
      <c r="BN528">
        <v>34131289</v>
      </c>
      <c r="BO528" t="s">
        <v>661</v>
      </c>
      <c r="BP528" t="s">
        <v>74</v>
      </c>
      <c r="BQ528" t="s">
        <v>74</v>
      </c>
      <c r="BR528" t="s">
        <v>102</v>
      </c>
      <c r="BS528" t="s">
        <v>10473</v>
      </c>
      <c r="BT528" t="str">
        <f>HYPERLINK("https%3A%2F%2Fwww.webofscience.com%2Fwos%2Fwoscc%2Ffull-record%2FWOS:000661789400001","View Full Record in Web of Science")</f>
        <v>View Full Record in Web of Science</v>
      </c>
    </row>
    <row r="529" spans="1:72" x14ac:dyDescent="0.15">
      <c r="A529" t="s">
        <v>72</v>
      </c>
      <c r="B529" t="s">
        <v>10474</v>
      </c>
      <c r="C529" t="s">
        <v>74</v>
      </c>
      <c r="D529" t="s">
        <v>74</v>
      </c>
      <c r="E529" t="s">
        <v>74</v>
      </c>
      <c r="F529" t="s">
        <v>10475</v>
      </c>
      <c r="G529" t="s">
        <v>74</v>
      </c>
      <c r="H529" t="s">
        <v>74</v>
      </c>
      <c r="I529" t="s">
        <v>10476</v>
      </c>
      <c r="J529" t="s">
        <v>10148</v>
      </c>
      <c r="K529" t="s">
        <v>74</v>
      </c>
      <c r="L529" t="s">
        <v>74</v>
      </c>
      <c r="M529" t="s">
        <v>78</v>
      </c>
      <c r="N529" t="s">
        <v>79</v>
      </c>
      <c r="O529" t="s">
        <v>74</v>
      </c>
      <c r="P529" t="s">
        <v>74</v>
      </c>
      <c r="Q529" t="s">
        <v>74</v>
      </c>
      <c r="R529" t="s">
        <v>74</v>
      </c>
      <c r="S529" t="s">
        <v>74</v>
      </c>
      <c r="T529" t="s">
        <v>10477</v>
      </c>
      <c r="U529" t="s">
        <v>10478</v>
      </c>
      <c r="V529" t="s">
        <v>10479</v>
      </c>
      <c r="W529" t="s">
        <v>10480</v>
      </c>
      <c r="X529" t="s">
        <v>10481</v>
      </c>
      <c r="Y529" t="s">
        <v>10482</v>
      </c>
      <c r="Z529" t="s">
        <v>10483</v>
      </c>
      <c r="AA529" t="s">
        <v>10484</v>
      </c>
      <c r="AB529" t="s">
        <v>10485</v>
      </c>
      <c r="AC529" t="s">
        <v>10486</v>
      </c>
      <c r="AD529" t="s">
        <v>10487</v>
      </c>
      <c r="AE529" t="s">
        <v>10488</v>
      </c>
      <c r="AF529" t="s">
        <v>74</v>
      </c>
      <c r="AG529">
        <v>27</v>
      </c>
      <c r="AH529">
        <v>8</v>
      </c>
      <c r="AI529">
        <v>8</v>
      </c>
      <c r="AJ529">
        <v>0</v>
      </c>
      <c r="AK529">
        <v>7</v>
      </c>
      <c r="AL529" t="s">
        <v>89</v>
      </c>
      <c r="AM529" t="s">
        <v>90</v>
      </c>
      <c r="AN529" t="s">
        <v>91</v>
      </c>
      <c r="AO529" t="s">
        <v>10161</v>
      </c>
      <c r="AP529" t="s">
        <v>10162</v>
      </c>
      <c r="AQ529" t="s">
        <v>74</v>
      </c>
      <c r="AR529" t="s">
        <v>10163</v>
      </c>
      <c r="AS529" t="s">
        <v>10164</v>
      </c>
      <c r="AT529" t="s">
        <v>4571</v>
      </c>
      <c r="AU529">
        <v>2021</v>
      </c>
      <c r="AV529">
        <v>28</v>
      </c>
      <c r="AW529" t="s">
        <v>74</v>
      </c>
      <c r="AX529" t="s">
        <v>74</v>
      </c>
      <c r="AY529" t="s">
        <v>74</v>
      </c>
      <c r="AZ529" t="s">
        <v>74</v>
      </c>
      <c r="BA529" t="s">
        <v>74</v>
      </c>
      <c r="BB529" t="s">
        <v>74</v>
      </c>
      <c r="BC529" t="s">
        <v>74</v>
      </c>
      <c r="BD529">
        <v>100638</v>
      </c>
      <c r="BE529" t="s">
        <v>10489</v>
      </c>
      <c r="BF529" t="str">
        <f>HYPERLINK("http://dx.doi.org/10.1016/j.polar.2021.100638","http://dx.doi.org/10.1016/j.polar.2021.100638")</f>
        <v>http://dx.doi.org/10.1016/j.polar.2021.100638</v>
      </c>
      <c r="BG529" t="s">
        <v>74</v>
      </c>
      <c r="BH529" t="s">
        <v>8134</v>
      </c>
      <c r="BI529">
        <v>15</v>
      </c>
      <c r="BJ529" t="s">
        <v>3326</v>
      </c>
      <c r="BK529" t="s">
        <v>128</v>
      </c>
      <c r="BL529" t="s">
        <v>3327</v>
      </c>
      <c r="BM529" t="s">
        <v>10490</v>
      </c>
      <c r="BN529" t="s">
        <v>74</v>
      </c>
      <c r="BO529" t="s">
        <v>7090</v>
      </c>
      <c r="BP529" t="s">
        <v>74</v>
      </c>
      <c r="BQ529" t="s">
        <v>74</v>
      </c>
      <c r="BR529" t="s">
        <v>102</v>
      </c>
      <c r="BS529" t="s">
        <v>10491</v>
      </c>
      <c r="BT529" t="str">
        <f>HYPERLINK("https%3A%2F%2Fwww.webofscience.com%2Fwos%2Fwoscc%2Ffull-record%2FWOS:000661871700006","View Full Record in Web of Science")</f>
        <v>View Full Record in Web of Science</v>
      </c>
    </row>
    <row r="530" spans="1:72" x14ac:dyDescent="0.15">
      <c r="A530" t="s">
        <v>72</v>
      </c>
      <c r="B530" t="s">
        <v>10492</v>
      </c>
      <c r="C530" t="s">
        <v>74</v>
      </c>
      <c r="D530" t="s">
        <v>74</v>
      </c>
      <c r="E530" t="s">
        <v>74</v>
      </c>
      <c r="F530" t="s">
        <v>10493</v>
      </c>
      <c r="G530" t="s">
        <v>74</v>
      </c>
      <c r="H530" t="s">
        <v>74</v>
      </c>
      <c r="I530" t="s">
        <v>10494</v>
      </c>
      <c r="J530" t="s">
        <v>10148</v>
      </c>
      <c r="K530" t="s">
        <v>74</v>
      </c>
      <c r="L530" t="s">
        <v>74</v>
      </c>
      <c r="M530" t="s">
        <v>78</v>
      </c>
      <c r="N530" t="s">
        <v>79</v>
      </c>
      <c r="O530" t="s">
        <v>74</v>
      </c>
      <c r="P530" t="s">
        <v>74</v>
      </c>
      <c r="Q530" t="s">
        <v>74</v>
      </c>
      <c r="R530" t="s">
        <v>74</v>
      </c>
      <c r="S530" t="s">
        <v>74</v>
      </c>
      <c r="T530" t="s">
        <v>10495</v>
      </c>
      <c r="U530" t="s">
        <v>10496</v>
      </c>
      <c r="V530" t="s">
        <v>10497</v>
      </c>
      <c r="W530" t="s">
        <v>10498</v>
      </c>
      <c r="X530" t="s">
        <v>10499</v>
      </c>
      <c r="Y530" t="s">
        <v>10500</v>
      </c>
      <c r="Z530" t="s">
        <v>10501</v>
      </c>
      <c r="AA530" t="s">
        <v>10502</v>
      </c>
      <c r="AB530" t="s">
        <v>10503</v>
      </c>
      <c r="AC530" t="s">
        <v>10504</v>
      </c>
      <c r="AD530" t="s">
        <v>10505</v>
      </c>
      <c r="AE530" t="s">
        <v>10506</v>
      </c>
      <c r="AF530" t="s">
        <v>74</v>
      </c>
      <c r="AG530">
        <v>40</v>
      </c>
      <c r="AH530">
        <v>0</v>
      </c>
      <c r="AI530">
        <v>0</v>
      </c>
      <c r="AJ530">
        <v>4</v>
      </c>
      <c r="AK530">
        <v>16</v>
      </c>
      <c r="AL530" t="s">
        <v>89</v>
      </c>
      <c r="AM530" t="s">
        <v>90</v>
      </c>
      <c r="AN530" t="s">
        <v>91</v>
      </c>
      <c r="AO530" t="s">
        <v>10161</v>
      </c>
      <c r="AP530" t="s">
        <v>10162</v>
      </c>
      <c r="AQ530" t="s">
        <v>74</v>
      </c>
      <c r="AR530" t="s">
        <v>10163</v>
      </c>
      <c r="AS530" t="s">
        <v>10164</v>
      </c>
      <c r="AT530" t="s">
        <v>4571</v>
      </c>
      <c r="AU530">
        <v>2021</v>
      </c>
      <c r="AV530">
        <v>28</v>
      </c>
      <c r="AW530" t="s">
        <v>74</v>
      </c>
      <c r="AX530" t="s">
        <v>74</v>
      </c>
      <c r="AY530" t="s">
        <v>74</v>
      </c>
      <c r="AZ530" t="s">
        <v>74</v>
      </c>
      <c r="BA530" t="s">
        <v>74</v>
      </c>
      <c r="BB530" t="s">
        <v>74</v>
      </c>
      <c r="BC530" t="s">
        <v>74</v>
      </c>
      <c r="BD530">
        <v>100634</v>
      </c>
      <c r="BE530" t="s">
        <v>10507</v>
      </c>
      <c r="BF530" t="str">
        <f>HYPERLINK("http://dx.doi.org/10.1016/j.polar.2020.100634","http://dx.doi.org/10.1016/j.polar.2020.100634")</f>
        <v>http://dx.doi.org/10.1016/j.polar.2020.100634</v>
      </c>
      <c r="BG530" t="s">
        <v>74</v>
      </c>
      <c r="BH530" t="s">
        <v>8134</v>
      </c>
      <c r="BI530">
        <v>14</v>
      </c>
      <c r="BJ530" t="s">
        <v>3326</v>
      </c>
      <c r="BK530" t="s">
        <v>128</v>
      </c>
      <c r="BL530" t="s">
        <v>3327</v>
      </c>
      <c r="BM530" t="s">
        <v>10490</v>
      </c>
      <c r="BN530" t="s">
        <v>74</v>
      </c>
      <c r="BO530" t="s">
        <v>291</v>
      </c>
      <c r="BP530" t="s">
        <v>74</v>
      </c>
      <c r="BQ530" t="s">
        <v>74</v>
      </c>
      <c r="BR530" t="s">
        <v>102</v>
      </c>
      <c r="BS530" t="s">
        <v>10508</v>
      </c>
      <c r="BT530" t="str">
        <f>HYPERLINK("https%3A%2F%2Fwww.webofscience.com%2Fwos%2Fwoscc%2Ffull-record%2FWOS:000661871700005","View Full Record in Web of Science")</f>
        <v>View Full Record in Web of Science</v>
      </c>
    </row>
    <row r="531" spans="1:72" x14ac:dyDescent="0.15">
      <c r="A531" t="s">
        <v>72</v>
      </c>
      <c r="B531" t="s">
        <v>10509</v>
      </c>
      <c r="C531" t="s">
        <v>74</v>
      </c>
      <c r="D531" t="s">
        <v>74</v>
      </c>
      <c r="E531" t="s">
        <v>74</v>
      </c>
      <c r="F531" t="s">
        <v>10510</v>
      </c>
      <c r="G531" t="s">
        <v>74</v>
      </c>
      <c r="H531" t="s">
        <v>74</v>
      </c>
      <c r="I531" t="s">
        <v>10511</v>
      </c>
      <c r="J531" t="s">
        <v>10512</v>
      </c>
      <c r="K531" t="s">
        <v>74</v>
      </c>
      <c r="L531" t="s">
        <v>74</v>
      </c>
      <c r="M531" t="s">
        <v>78</v>
      </c>
      <c r="N531" t="s">
        <v>79</v>
      </c>
      <c r="O531" t="s">
        <v>74</v>
      </c>
      <c r="P531" t="s">
        <v>74</v>
      </c>
      <c r="Q531" t="s">
        <v>74</v>
      </c>
      <c r="R531" t="s">
        <v>74</v>
      </c>
      <c r="S531" t="s">
        <v>74</v>
      </c>
      <c r="T531" t="s">
        <v>10513</v>
      </c>
      <c r="U531" t="s">
        <v>10514</v>
      </c>
      <c r="V531" t="s">
        <v>10515</v>
      </c>
      <c r="W531" t="s">
        <v>10516</v>
      </c>
      <c r="X531" t="s">
        <v>10517</v>
      </c>
      <c r="Y531" t="s">
        <v>10518</v>
      </c>
      <c r="Z531" t="s">
        <v>10519</v>
      </c>
      <c r="AA531" t="s">
        <v>10520</v>
      </c>
      <c r="AB531" t="s">
        <v>10521</v>
      </c>
      <c r="AC531" t="s">
        <v>10522</v>
      </c>
      <c r="AD531" t="s">
        <v>10523</v>
      </c>
      <c r="AE531" t="s">
        <v>10524</v>
      </c>
      <c r="AF531" t="s">
        <v>74</v>
      </c>
      <c r="AG531">
        <v>78</v>
      </c>
      <c r="AH531">
        <v>6</v>
      </c>
      <c r="AI531">
        <v>6</v>
      </c>
      <c r="AJ531">
        <v>1</v>
      </c>
      <c r="AK531">
        <v>11</v>
      </c>
      <c r="AL531" t="s">
        <v>450</v>
      </c>
      <c r="AM531" t="s">
        <v>451</v>
      </c>
      <c r="AN531" t="s">
        <v>452</v>
      </c>
      <c r="AO531" t="s">
        <v>10525</v>
      </c>
      <c r="AP531" t="s">
        <v>10526</v>
      </c>
      <c r="AQ531" t="s">
        <v>74</v>
      </c>
      <c r="AR531" t="s">
        <v>10527</v>
      </c>
      <c r="AS531" t="s">
        <v>10528</v>
      </c>
      <c r="AT531" t="s">
        <v>402</v>
      </c>
      <c r="AU531">
        <v>2021</v>
      </c>
      <c r="AV531">
        <v>45</v>
      </c>
      <c r="AW531" t="s">
        <v>3141</v>
      </c>
      <c r="AX531" t="s">
        <v>74</v>
      </c>
      <c r="AY531" t="s">
        <v>74</v>
      </c>
      <c r="AZ531" t="s">
        <v>74</v>
      </c>
      <c r="BA531" t="s">
        <v>74</v>
      </c>
      <c r="BB531">
        <v>143</v>
      </c>
      <c r="BC531">
        <v>158</v>
      </c>
      <c r="BD531" t="s">
        <v>74</v>
      </c>
      <c r="BE531" t="s">
        <v>10529</v>
      </c>
      <c r="BF531" t="str">
        <f>HYPERLINK("http://dx.doi.org/10.1007/s11259-021-09796-1","http://dx.doi.org/10.1007/s11259-021-09796-1")</f>
        <v>http://dx.doi.org/10.1007/s11259-021-09796-1</v>
      </c>
      <c r="BG531" t="s">
        <v>74</v>
      </c>
      <c r="BH531" t="s">
        <v>8134</v>
      </c>
      <c r="BI531">
        <v>16</v>
      </c>
      <c r="BJ531" t="s">
        <v>2747</v>
      </c>
      <c r="BK531" t="s">
        <v>128</v>
      </c>
      <c r="BL531" t="s">
        <v>2747</v>
      </c>
      <c r="BM531" t="s">
        <v>10530</v>
      </c>
      <c r="BN531">
        <v>34128178</v>
      </c>
      <c r="BO531" t="s">
        <v>74</v>
      </c>
      <c r="BP531" t="s">
        <v>74</v>
      </c>
      <c r="BQ531" t="s">
        <v>74</v>
      </c>
      <c r="BR531" t="s">
        <v>102</v>
      </c>
      <c r="BS531" t="s">
        <v>10531</v>
      </c>
      <c r="BT531" t="str">
        <f>HYPERLINK("https%3A%2F%2Fwww.webofscience.com%2Fwos%2Fwoscc%2Ffull-record%2FWOS:000661347800001","View Full Record in Web of Science")</f>
        <v>View Full Record in Web of Science</v>
      </c>
    </row>
    <row r="532" spans="1:72" x14ac:dyDescent="0.15">
      <c r="A532" t="s">
        <v>72</v>
      </c>
      <c r="B532" t="s">
        <v>10532</v>
      </c>
      <c r="C532" t="s">
        <v>74</v>
      </c>
      <c r="D532" t="s">
        <v>74</v>
      </c>
      <c r="E532" t="s">
        <v>74</v>
      </c>
      <c r="F532" t="s">
        <v>10533</v>
      </c>
      <c r="G532" t="s">
        <v>74</v>
      </c>
      <c r="H532" t="s">
        <v>74</v>
      </c>
      <c r="I532" t="s">
        <v>10534</v>
      </c>
      <c r="J532" t="s">
        <v>3753</v>
      </c>
      <c r="K532" t="s">
        <v>74</v>
      </c>
      <c r="L532" t="s">
        <v>74</v>
      </c>
      <c r="M532" t="s">
        <v>78</v>
      </c>
      <c r="N532" t="s">
        <v>79</v>
      </c>
      <c r="O532" t="s">
        <v>74</v>
      </c>
      <c r="P532" t="s">
        <v>74</v>
      </c>
      <c r="Q532" t="s">
        <v>74</v>
      </c>
      <c r="R532" t="s">
        <v>74</v>
      </c>
      <c r="S532" t="s">
        <v>74</v>
      </c>
      <c r="T532" t="s">
        <v>10535</v>
      </c>
      <c r="U532" t="s">
        <v>10536</v>
      </c>
      <c r="V532" t="s">
        <v>10537</v>
      </c>
      <c r="W532" t="s">
        <v>10538</v>
      </c>
      <c r="X532" t="s">
        <v>10539</v>
      </c>
      <c r="Y532" t="s">
        <v>10540</v>
      </c>
      <c r="Z532" t="s">
        <v>10541</v>
      </c>
      <c r="AA532" t="s">
        <v>74</v>
      </c>
      <c r="AB532" t="s">
        <v>10542</v>
      </c>
      <c r="AC532" t="s">
        <v>10543</v>
      </c>
      <c r="AD532" t="s">
        <v>10544</v>
      </c>
      <c r="AE532" t="s">
        <v>10545</v>
      </c>
      <c r="AF532" t="s">
        <v>74</v>
      </c>
      <c r="AG532">
        <v>113</v>
      </c>
      <c r="AH532">
        <v>3</v>
      </c>
      <c r="AI532">
        <v>3</v>
      </c>
      <c r="AJ532">
        <v>0</v>
      </c>
      <c r="AK532">
        <v>6</v>
      </c>
      <c r="AL532" t="s">
        <v>89</v>
      </c>
      <c r="AM532" t="s">
        <v>90</v>
      </c>
      <c r="AN532" t="s">
        <v>91</v>
      </c>
      <c r="AO532" t="s">
        <v>3764</v>
      </c>
      <c r="AP532" t="s">
        <v>3765</v>
      </c>
      <c r="AQ532" t="s">
        <v>74</v>
      </c>
      <c r="AR532" t="s">
        <v>3766</v>
      </c>
      <c r="AS532" t="s">
        <v>3767</v>
      </c>
      <c r="AT532" t="s">
        <v>535</v>
      </c>
      <c r="AU532">
        <v>2021</v>
      </c>
      <c r="AV532">
        <v>438</v>
      </c>
      <c r="AW532" t="s">
        <v>74</v>
      </c>
      <c r="AX532" t="s">
        <v>74</v>
      </c>
      <c r="AY532" t="s">
        <v>74</v>
      </c>
      <c r="AZ532" t="s">
        <v>74</v>
      </c>
      <c r="BA532" t="s">
        <v>74</v>
      </c>
      <c r="BB532" t="s">
        <v>74</v>
      </c>
      <c r="BC532" t="s">
        <v>74</v>
      </c>
      <c r="BD532">
        <v>106525</v>
      </c>
      <c r="BE532" t="s">
        <v>10546</v>
      </c>
      <c r="BF532" t="str">
        <f>HYPERLINK("http://dx.doi.org/10.1016/j.margeo.2021.106525","http://dx.doi.org/10.1016/j.margeo.2021.106525")</f>
        <v>http://dx.doi.org/10.1016/j.margeo.2021.106525</v>
      </c>
      <c r="BG532" t="s">
        <v>74</v>
      </c>
      <c r="BH532" t="s">
        <v>8134</v>
      </c>
      <c r="BI532">
        <v>18</v>
      </c>
      <c r="BJ532" t="s">
        <v>3769</v>
      </c>
      <c r="BK532" t="s">
        <v>128</v>
      </c>
      <c r="BL532" t="s">
        <v>3770</v>
      </c>
      <c r="BM532" t="s">
        <v>10547</v>
      </c>
      <c r="BN532" t="s">
        <v>74</v>
      </c>
      <c r="BO532" t="s">
        <v>2514</v>
      </c>
      <c r="BP532" t="s">
        <v>74</v>
      </c>
      <c r="BQ532" t="s">
        <v>74</v>
      </c>
      <c r="BR532" t="s">
        <v>102</v>
      </c>
      <c r="BS532" t="s">
        <v>10548</v>
      </c>
      <c r="BT532" t="str">
        <f>HYPERLINK("https%3A%2F%2Fwww.webofscience.com%2Fwos%2Fwoscc%2Ffull-record%2FWOS:000668451400015","View Full Record in Web of Science")</f>
        <v>View Full Record in Web of Science</v>
      </c>
    </row>
    <row r="533" spans="1:72" x14ac:dyDescent="0.15">
      <c r="A533" t="s">
        <v>72</v>
      </c>
      <c r="B533" t="s">
        <v>10549</v>
      </c>
      <c r="C533" t="s">
        <v>74</v>
      </c>
      <c r="D533" t="s">
        <v>74</v>
      </c>
      <c r="E533" t="s">
        <v>74</v>
      </c>
      <c r="F533" t="s">
        <v>10550</v>
      </c>
      <c r="G533" t="s">
        <v>74</v>
      </c>
      <c r="H533" t="s">
        <v>74</v>
      </c>
      <c r="I533" t="s">
        <v>10551</v>
      </c>
      <c r="J533" t="s">
        <v>2396</v>
      </c>
      <c r="K533" t="s">
        <v>74</v>
      </c>
      <c r="L533" t="s">
        <v>74</v>
      </c>
      <c r="M533" t="s">
        <v>78</v>
      </c>
      <c r="N533" t="s">
        <v>79</v>
      </c>
      <c r="O533" t="s">
        <v>74</v>
      </c>
      <c r="P533" t="s">
        <v>74</v>
      </c>
      <c r="Q533" t="s">
        <v>74</v>
      </c>
      <c r="R533" t="s">
        <v>74</v>
      </c>
      <c r="S533" t="s">
        <v>74</v>
      </c>
      <c r="T533" t="s">
        <v>74</v>
      </c>
      <c r="U533" t="s">
        <v>10552</v>
      </c>
      <c r="V533" t="s">
        <v>10553</v>
      </c>
      <c r="W533" t="s">
        <v>10554</v>
      </c>
      <c r="X533" t="s">
        <v>10555</v>
      </c>
      <c r="Y533" t="s">
        <v>10556</v>
      </c>
      <c r="Z533" t="s">
        <v>10557</v>
      </c>
      <c r="AA533" t="s">
        <v>74</v>
      </c>
      <c r="AB533" t="s">
        <v>10558</v>
      </c>
      <c r="AC533" t="s">
        <v>10559</v>
      </c>
      <c r="AD533" t="s">
        <v>10560</v>
      </c>
      <c r="AE533" t="s">
        <v>10561</v>
      </c>
      <c r="AF533" t="s">
        <v>74</v>
      </c>
      <c r="AG533">
        <v>74</v>
      </c>
      <c r="AH533">
        <v>4</v>
      </c>
      <c r="AI533">
        <v>4</v>
      </c>
      <c r="AJ533">
        <v>0</v>
      </c>
      <c r="AK533">
        <v>7</v>
      </c>
      <c r="AL533" t="s">
        <v>143</v>
      </c>
      <c r="AM533" t="s">
        <v>144</v>
      </c>
      <c r="AN533" t="s">
        <v>145</v>
      </c>
      <c r="AO533" t="s">
        <v>2408</v>
      </c>
      <c r="AP533" t="s">
        <v>2409</v>
      </c>
      <c r="AQ533" t="s">
        <v>74</v>
      </c>
      <c r="AR533" t="s">
        <v>2396</v>
      </c>
      <c r="AS533" t="s">
        <v>2410</v>
      </c>
      <c r="AT533" t="s">
        <v>10562</v>
      </c>
      <c r="AU533">
        <v>2021</v>
      </c>
      <c r="AV533">
        <v>15</v>
      </c>
      <c r="AW533">
        <v>6</v>
      </c>
      <c r="AX533" t="s">
        <v>74</v>
      </c>
      <c r="AY533" t="s">
        <v>74</v>
      </c>
      <c r="AZ533" t="s">
        <v>74</v>
      </c>
      <c r="BA533" t="s">
        <v>74</v>
      </c>
      <c r="BB533">
        <v>2647</v>
      </c>
      <c r="BC533">
        <v>2665</v>
      </c>
      <c r="BD533" t="s">
        <v>74</v>
      </c>
      <c r="BE533" t="s">
        <v>10563</v>
      </c>
      <c r="BF533" t="str">
        <f>HYPERLINK("http://dx.doi.org/10.5194/tc-15-2647-2021","http://dx.doi.org/10.5194/tc-15-2647-2021")</f>
        <v>http://dx.doi.org/10.5194/tc-15-2647-2021</v>
      </c>
      <c r="BG533" t="s">
        <v>74</v>
      </c>
      <c r="BH533" t="s">
        <v>74</v>
      </c>
      <c r="BI533">
        <v>19</v>
      </c>
      <c r="BJ533" t="s">
        <v>151</v>
      </c>
      <c r="BK533" t="s">
        <v>128</v>
      </c>
      <c r="BL533" t="s">
        <v>152</v>
      </c>
      <c r="BM533" t="s">
        <v>10564</v>
      </c>
      <c r="BN533" t="s">
        <v>74</v>
      </c>
      <c r="BO533" t="s">
        <v>353</v>
      </c>
      <c r="BP533" t="s">
        <v>74</v>
      </c>
      <c r="BQ533" t="s">
        <v>74</v>
      </c>
      <c r="BR533" t="s">
        <v>102</v>
      </c>
      <c r="BS533" t="s">
        <v>10565</v>
      </c>
      <c r="BT533" t="str">
        <f>HYPERLINK("https%3A%2F%2Fwww.webofscience.com%2Fwos%2Fwoscc%2Ffull-record%2FWOS:000662226300002","View Full Record in Web of Science")</f>
        <v>View Full Record in Web of Science</v>
      </c>
    </row>
    <row r="534" spans="1:72" x14ac:dyDescent="0.15">
      <c r="A534" t="s">
        <v>72</v>
      </c>
      <c r="B534" t="s">
        <v>10566</v>
      </c>
      <c r="C534" t="s">
        <v>74</v>
      </c>
      <c r="D534" t="s">
        <v>74</v>
      </c>
      <c r="E534" t="s">
        <v>74</v>
      </c>
      <c r="F534" t="s">
        <v>10567</v>
      </c>
      <c r="G534" t="s">
        <v>74</v>
      </c>
      <c r="H534" t="s">
        <v>74</v>
      </c>
      <c r="I534" t="s">
        <v>10568</v>
      </c>
      <c r="J534" t="s">
        <v>10569</v>
      </c>
      <c r="K534" t="s">
        <v>74</v>
      </c>
      <c r="L534" t="s">
        <v>74</v>
      </c>
      <c r="M534" t="s">
        <v>78</v>
      </c>
      <c r="N534" t="s">
        <v>79</v>
      </c>
      <c r="O534" t="s">
        <v>74</v>
      </c>
      <c r="P534" t="s">
        <v>74</v>
      </c>
      <c r="Q534" t="s">
        <v>74</v>
      </c>
      <c r="R534" t="s">
        <v>74</v>
      </c>
      <c r="S534" t="s">
        <v>74</v>
      </c>
      <c r="T534" t="s">
        <v>74</v>
      </c>
      <c r="U534" t="s">
        <v>10570</v>
      </c>
      <c r="V534" t="s">
        <v>10571</v>
      </c>
      <c r="W534" t="s">
        <v>10572</v>
      </c>
      <c r="X534" t="s">
        <v>10573</v>
      </c>
      <c r="Y534" t="s">
        <v>10574</v>
      </c>
      <c r="Z534" t="s">
        <v>10575</v>
      </c>
      <c r="AA534" t="s">
        <v>74</v>
      </c>
      <c r="AB534" t="s">
        <v>10576</v>
      </c>
      <c r="AC534" t="s">
        <v>10577</v>
      </c>
      <c r="AD534" t="s">
        <v>10578</v>
      </c>
      <c r="AE534" t="s">
        <v>10579</v>
      </c>
      <c r="AF534" t="s">
        <v>74</v>
      </c>
      <c r="AG534">
        <v>67</v>
      </c>
      <c r="AH534">
        <v>3</v>
      </c>
      <c r="AI534">
        <v>3</v>
      </c>
      <c r="AJ534">
        <v>3</v>
      </c>
      <c r="AK534">
        <v>8</v>
      </c>
      <c r="AL534" t="s">
        <v>143</v>
      </c>
      <c r="AM534" t="s">
        <v>144</v>
      </c>
      <c r="AN534" t="s">
        <v>145</v>
      </c>
      <c r="AO534" t="s">
        <v>10580</v>
      </c>
      <c r="AP534" t="s">
        <v>10581</v>
      </c>
      <c r="AQ534" t="s">
        <v>74</v>
      </c>
      <c r="AR534" t="s">
        <v>10582</v>
      </c>
      <c r="AS534" t="s">
        <v>10583</v>
      </c>
      <c r="AT534" t="s">
        <v>10562</v>
      </c>
      <c r="AU534">
        <v>2021</v>
      </c>
      <c r="AV534">
        <v>25</v>
      </c>
      <c r="AW534">
        <v>6</v>
      </c>
      <c r="AX534" t="s">
        <v>74</v>
      </c>
      <c r="AY534" t="s">
        <v>74</v>
      </c>
      <c r="AZ534" t="s">
        <v>74</v>
      </c>
      <c r="BA534" t="s">
        <v>74</v>
      </c>
      <c r="BB534">
        <v>3227</v>
      </c>
      <c r="BC534">
        <v>3244</v>
      </c>
      <c r="BD534" t="s">
        <v>74</v>
      </c>
      <c r="BE534" t="s">
        <v>10584</v>
      </c>
      <c r="BF534" t="str">
        <f>HYPERLINK("http://dx.doi.org/10.5194/hess-25-3227-2021","http://dx.doi.org/10.5194/hess-25-3227-2021")</f>
        <v>http://dx.doi.org/10.5194/hess-25-3227-2021</v>
      </c>
      <c r="BG534" t="s">
        <v>74</v>
      </c>
      <c r="BH534" t="s">
        <v>74</v>
      </c>
      <c r="BI534">
        <v>18</v>
      </c>
      <c r="BJ534" t="s">
        <v>10585</v>
      </c>
      <c r="BK534" t="s">
        <v>128</v>
      </c>
      <c r="BL534" t="s">
        <v>10586</v>
      </c>
      <c r="BM534" t="s">
        <v>10587</v>
      </c>
      <c r="BN534" t="s">
        <v>74</v>
      </c>
      <c r="BO534" t="s">
        <v>353</v>
      </c>
      <c r="BP534" t="s">
        <v>74</v>
      </c>
      <c r="BQ534" t="s">
        <v>74</v>
      </c>
      <c r="BR534" t="s">
        <v>102</v>
      </c>
      <c r="BS534" t="s">
        <v>10588</v>
      </c>
      <c r="BT534" t="str">
        <f>HYPERLINK("https%3A%2F%2Fwww.webofscience.com%2Fwos%2Fwoscc%2Ffull-record%2FWOS:000662216200001","View Full Record in Web of Science")</f>
        <v>View Full Record in Web of Science</v>
      </c>
    </row>
    <row r="535" spans="1:72" x14ac:dyDescent="0.15">
      <c r="A535" t="s">
        <v>72</v>
      </c>
      <c r="B535" t="s">
        <v>10589</v>
      </c>
      <c r="C535" t="s">
        <v>74</v>
      </c>
      <c r="D535" t="s">
        <v>74</v>
      </c>
      <c r="E535" t="s">
        <v>74</v>
      </c>
      <c r="F535" t="s">
        <v>10590</v>
      </c>
      <c r="G535" t="s">
        <v>74</v>
      </c>
      <c r="H535" t="s">
        <v>74</v>
      </c>
      <c r="I535" t="s">
        <v>10591</v>
      </c>
      <c r="J535" t="s">
        <v>10592</v>
      </c>
      <c r="K535" t="s">
        <v>74</v>
      </c>
      <c r="L535" t="s">
        <v>74</v>
      </c>
      <c r="M535" t="s">
        <v>78</v>
      </c>
      <c r="N535" t="s">
        <v>79</v>
      </c>
      <c r="O535" t="s">
        <v>74</v>
      </c>
      <c r="P535" t="s">
        <v>74</v>
      </c>
      <c r="Q535" t="s">
        <v>74</v>
      </c>
      <c r="R535" t="s">
        <v>74</v>
      </c>
      <c r="S535" t="s">
        <v>74</v>
      </c>
      <c r="T535" t="s">
        <v>10593</v>
      </c>
      <c r="U535" t="s">
        <v>10594</v>
      </c>
      <c r="V535" t="s">
        <v>10595</v>
      </c>
      <c r="W535" t="s">
        <v>10596</v>
      </c>
      <c r="X535" t="s">
        <v>2640</v>
      </c>
      <c r="Y535" t="s">
        <v>10597</v>
      </c>
      <c r="Z535" t="s">
        <v>10598</v>
      </c>
      <c r="AA535" t="s">
        <v>74</v>
      </c>
      <c r="AB535" t="s">
        <v>10599</v>
      </c>
      <c r="AC535" t="s">
        <v>10600</v>
      </c>
      <c r="AD535" t="s">
        <v>10600</v>
      </c>
      <c r="AE535" t="s">
        <v>10601</v>
      </c>
      <c r="AF535" t="s">
        <v>74</v>
      </c>
      <c r="AG535">
        <v>45</v>
      </c>
      <c r="AH535">
        <v>0</v>
      </c>
      <c r="AI535">
        <v>0</v>
      </c>
      <c r="AJ535">
        <v>2</v>
      </c>
      <c r="AK535">
        <v>14</v>
      </c>
      <c r="AL535" t="s">
        <v>2847</v>
      </c>
      <c r="AM535" t="s">
        <v>2848</v>
      </c>
      <c r="AN535" t="s">
        <v>2849</v>
      </c>
      <c r="AO535" t="s">
        <v>10602</v>
      </c>
      <c r="AP535" t="s">
        <v>10603</v>
      </c>
      <c r="AQ535" t="s">
        <v>74</v>
      </c>
      <c r="AR535" t="s">
        <v>10604</v>
      </c>
      <c r="AS535" t="s">
        <v>10605</v>
      </c>
      <c r="AT535" t="s">
        <v>74</v>
      </c>
      <c r="AU535">
        <v>2020</v>
      </c>
      <c r="AV535">
        <v>68</v>
      </c>
      <c r="AW535">
        <v>3</v>
      </c>
      <c r="AX535" t="s">
        <v>74</v>
      </c>
      <c r="AY535" t="s">
        <v>74</v>
      </c>
      <c r="AZ535" t="s">
        <v>74</v>
      </c>
      <c r="BA535" t="s">
        <v>74</v>
      </c>
      <c r="BB535">
        <v>109</v>
      </c>
      <c r="BC535">
        <v>119</v>
      </c>
      <c r="BD535" t="s">
        <v>74</v>
      </c>
      <c r="BE535" t="s">
        <v>10606</v>
      </c>
      <c r="BF535" t="str">
        <f>HYPERLINK("http://dx.doi.org/10.1071/ZO20058","http://dx.doi.org/10.1071/ZO20058")</f>
        <v>http://dx.doi.org/10.1071/ZO20058</v>
      </c>
      <c r="BG535" t="s">
        <v>74</v>
      </c>
      <c r="BH535" t="s">
        <v>8134</v>
      </c>
      <c r="BI535">
        <v>11</v>
      </c>
      <c r="BJ535" t="s">
        <v>2197</v>
      </c>
      <c r="BK535" t="s">
        <v>128</v>
      </c>
      <c r="BL535" t="s">
        <v>2197</v>
      </c>
      <c r="BM535" t="s">
        <v>10607</v>
      </c>
      <c r="BN535" t="s">
        <v>74</v>
      </c>
      <c r="BO535" t="s">
        <v>74</v>
      </c>
      <c r="BP535" t="s">
        <v>74</v>
      </c>
      <c r="BQ535" t="s">
        <v>74</v>
      </c>
      <c r="BR535" t="s">
        <v>102</v>
      </c>
      <c r="BS535" t="s">
        <v>10608</v>
      </c>
      <c r="BT535" t="str">
        <f>HYPERLINK("https%3A%2F%2Fwww.webofscience.com%2Fwos%2Fwoscc%2Ffull-record%2FWOS:000661141400001","View Full Record in Web of Science")</f>
        <v>View Full Record in Web of Science</v>
      </c>
    </row>
    <row r="536" spans="1:72" x14ac:dyDescent="0.15">
      <c r="A536" t="s">
        <v>72</v>
      </c>
      <c r="B536" t="s">
        <v>10609</v>
      </c>
      <c r="C536" t="s">
        <v>74</v>
      </c>
      <c r="D536" t="s">
        <v>74</v>
      </c>
      <c r="E536" t="s">
        <v>74</v>
      </c>
      <c r="F536" t="s">
        <v>10610</v>
      </c>
      <c r="G536" t="s">
        <v>74</v>
      </c>
      <c r="H536" t="s">
        <v>74</v>
      </c>
      <c r="I536" t="s">
        <v>10611</v>
      </c>
      <c r="J536" t="s">
        <v>10612</v>
      </c>
      <c r="K536" t="s">
        <v>74</v>
      </c>
      <c r="L536" t="s">
        <v>74</v>
      </c>
      <c r="M536" t="s">
        <v>78</v>
      </c>
      <c r="N536" t="s">
        <v>79</v>
      </c>
      <c r="O536" t="s">
        <v>74</v>
      </c>
      <c r="P536" t="s">
        <v>74</v>
      </c>
      <c r="Q536" t="s">
        <v>74</v>
      </c>
      <c r="R536" t="s">
        <v>74</v>
      </c>
      <c r="S536" t="s">
        <v>74</v>
      </c>
      <c r="T536" t="s">
        <v>10613</v>
      </c>
      <c r="U536" t="s">
        <v>10614</v>
      </c>
      <c r="V536" t="s">
        <v>10615</v>
      </c>
      <c r="W536" t="s">
        <v>10616</v>
      </c>
      <c r="X536" t="s">
        <v>7116</v>
      </c>
      <c r="Y536" t="s">
        <v>10617</v>
      </c>
      <c r="Z536" t="s">
        <v>10618</v>
      </c>
      <c r="AA536" t="s">
        <v>74</v>
      </c>
      <c r="AB536" t="s">
        <v>74</v>
      </c>
      <c r="AC536" t="s">
        <v>10619</v>
      </c>
      <c r="AD536" t="s">
        <v>10620</v>
      </c>
      <c r="AE536" t="s">
        <v>10621</v>
      </c>
      <c r="AF536" t="s">
        <v>74</v>
      </c>
      <c r="AG536">
        <v>56</v>
      </c>
      <c r="AH536">
        <v>6</v>
      </c>
      <c r="AI536">
        <v>6</v>
      </c>
      <c r="AJ536">
        <v>1</v>
      </c>
      <c r="AK536">
        <v>3</v>
      </c>
      <c r="AL536" t="s">
        <v>119</v>
      </c>
      <c r="AM536" t="s">
        <v>120</v>
      </c>
      <c r="AN536" t="s">
        <v>121</v>
      </c>
      <c r="AO536" t="s">
        <v>74</v>
      </c>
      <c r="AP536" t="s">
        <v>10622</v>
      </c>
      <c r="AQ536" t="s">
        <v>74</v>
      </c>
      <c r="AR536" t="s">
        <v>10623</v>
      </c>
      <c r="AS536" t="s">
        <v>10624</v>
      </c>
      <c r="AT536" t="s">
        <v>10562</v>
      </c>
      <c r="AU536">
        <v>2021</v>
      </c>
      <c r="AV536">
        <v>3</v>
      </c>
      <c r="AW536" t="s">
        <v>74</v>
      </c>
      <c r="AX536" t="s">
        <v>74</v>
      </c>
      <c r="AY536" t="s">
        <v>74</v>
      </c>
      <c r="AZ536" t="s">
        <v>74</v>
      </c>
      <c r="BA536" t="s">
        <v>74</v>
      </c>
      <c r="BB536" t="s">
        <v>74</v>
      </c>
      <c r="BC536" t="s">
        <v>74</v>
      </c>
      <c r="BD536">
        <v>689823</v>
      </c>
      <c r="BE536" t="s">
        <v>10625</v>
      </c>
      <c r="BF536" t="str">
        <f>HYPERLINK("http://dx.doi.org/10.3389/fclim.2021.689823","http://dx.doi.org/10.3389/fclim.2021.689823")</f>
        <v>http://dx.doi.org/10.3389/fclim.2021.689823</v>
      </c>
      <c r="BG536" t="s">
        <v>74</v>
      </c>
      <c r="BH536" t="s">
        <v>74</v>
      </c>
      <c r="BI536">
        <v>7</v>
      </c>
      <c r="BJ536" t="s">
        <v>10626</v>
      </c>
      <c r="BK536" t="s">
        <v>1819</v>
      </c>
      <c r="BL536" t="s">
        <v>263</v>
      </c>
      <c r="BM536" t="s">
        <v>10627</v>
      </c>
      <c r="BN536" t="s">
        <v>74</v>
      </c>
      <c r="BO536" t="s">
        <v>3248</v>
      </c>
      <c r="BP536" t="s">
        <v>74</v>
      </c>
      <c r="BQ536" t="s">
        <v>74</v>
      </c>
      <c r="BR536" t="s">
        <v>102</v>
      </c>
      <c r="BS536" t="s">
        <v>10628</v>
      </c>
      <c r="BT536" t="str">
        <f>HYPERLINK("https%3A%2F%2Fwww.webofscience.com%2Fwos%2Fwoscc%2Ffull-record%2FWOS:001023317900001","View Full Record in Web of Science")</f>
        <v>View Full Record in Web of Science</v>
      </c>
    </row>
    <row r="537" spans="1:72" x14ac:dyDescent="0.15">
      <c r="A537" t="s">
        <v>72</v>
      </c>
      <c r="B537" t="s">
        <v>10629</v>
      </c>
      <c r="C537" t="s">
        <v>74</v>
      </c>
      <c r="D537" t="s">
        <v>74</v>
      </c>
      <c r="E537" t="s">
        <v>74</v>
      </c>
      <c r="F537" t="s">
        <v>10630</v>
      </c>
      <c r="G537" t="s">
        <v>74</v>
      </c>
      <c r="H537" t="s">
        <v>74</v>
      </c>
      <c r="I537" t="s">
        <v>10631</v>
      </c>
      <c r="J537" t="s">
        <v>10632</v>
      </c>
      <c r="K537" t="s">
        <v>74</v>
      </c>
      <c r="L537" t="s">
        <v>74</v>
      </c>
      <c r="M537" t="s">
        <v>78</v>
      </c>
      <c r="N537" t="s">
        <v>79</v>
      </c>
      <c r="O537" t="s">
        <v>74</v>
      </c>
      <c r="P537" t="s">
        <v>74</v>
      </c>
      <c r="Q537" t="s">
        <v>74</v>
      </c>
      <c r="R537" t="s">
        <v>74</v>
      </c>
      <c r="S537" t="s">
        <v>74</v>
      </c>
      <c r="T537" t="s">
        <v>10633</v>
      </c>
      <c r="U537" t="s">
        <v>10634</v>
      </c>
      <c r="V537" t="s">
        <v>10635</v>
      </c>
      <c r="W537" t="s">
        <v>10636</v>
      </c>
      <c r="X537" t="s">
        <v>10637</v>
      </c>
      <c r="Y537" t="s">
        <v>10638</v>
      </c>
      <c r="Z537" t="s">
        <v>10639</v>
      </c>
      <c r="AA537" t="s">
        <v>10640</v>
      </c>
      <c r="AB537" t="s">
        <v>10641</v>
      </c>
      <c r="AC537" t="s">
        <v>10642</v>
      </c>
      <c r="AD537" t="s">
        <v>10643</v>
      </c>
      <c r="AE537" t="s">
        <v>10644</v>
      </c>
      <c r="AF537" t="s">
        <v>74</v>
      </c>
      <c r="AG537">
        <v>73</v>
      </c>
      <c r="AH537">
        <v>6</v>
      </c>
      <c r="AI537">
        <v>6</v>
      </c>
      <c r="AJ537">
        <v>1</v>
      </c>
      <c r="AK537">
        <v>5</v>
      </c>
      <c r="AL537" t="s">
        <v>3526</v>
      </c>
      <c r="AM537" t="s">
        <v>650</v>
      </c>
      <c r="AN537" t="s">
        <v>3527</v>
      </c>
      <c r="AO537" t="s">
        <v>10645</v>
      </c>
      <c r="AP537" t="s">
        <v>10646</v>
      </c>
      <c r="AQ537" t="s">
        <v>74</v>
      </c>
      <c r="AR537" t="s">
        <v>10647</v>
      </c>
      <c r="AS537" t="s">
        <v>10648</v>
      </c>
      <c r="AT537" t="s">
        <v>2387</v>
      </c>
      <c r="AU537">
        <v>2021</v>
      </c>
      <c r="AV537">
        <v>263</v>
      </c>
      <c r="AW537" t="s">
        <v>74</v>
      </c>
      <c r="AX537" t="s">
        <v>74</v>
      </c>
      <c r="AY537" t="s">
        <v>74</v>
      </c>
      <c r="AZ537" t="s">
        <v>74</v>
      </c>
      <c r="BA537" t="s">
        <v>74</v>
      </c>
      <c r="BB537" t="s">
        <v>74</v>
      </c>
      <c r="BC537" t="s">
        <v>74</v>
      </c>
      <c r="BD537">
        <v>112534</v>
      </c>
      <c r="BE537" t="s">
        <v>10649</v>
      </c>
      <c r="BF537" t="str">
        <f>HYPERLINK("http://dx.doi.org/10.1016/j.rse.2021.112534","http://dx.doi.org/10.1016/j.rse.2021.112534")</f>
        <v>http://dx.doi.org/10.1016/j.rse.2021.112534</v>
      </c>
      <c r="BG537" t="s">
        <v>74</v>
      </c>
      <c r="BH537" t="s">
        <v>8134</v>
      </c>
      <c r="BI537">
        <v>21</v>
      </c>
      <c r="BJ537" t="s">
        <v>10650</v>
      </c>
      <c r="BK537" t="s">
        <v>128</v>
      </c>
      <c r="BL537" t="s">
        <v>10651</v>
      </c>
      <c r="BM537" t="s">
        <v>10652</v>
      </c>
      <c r="BN537" t="s">
        <v>74</v>
      </c>
      <c r="BO537" t="s">
        <v>1083</v>
      </c>
      <c r="BP537" t="s">
        <v>74</v>
      </c>
      <c r="BQ537" t="s">
        <v>74</v>
      </c>
      <c r="BR537" t="s">
        <v>102</v>
      </c>
      <c r="BS537" t="s">
        <v>10653</v>
      </c>
      <c r="BT537" t="str">
        <f>HYPERLINK("https%3A%2F%2Fwww.webofscience.com%2Fwos%2Fwoscc%2Ffull-record%2FWOS:000702872900005","View Full Record in Web of Science")</f>
        <v>View Full Record in Web of Science</v>
      </c>
    </row>
    <row r="538" spans="1:72" x14ac:dyDescent="0.15">
      <c r="A538" t="s">
        <v>72</v>
      </c>
      <c r="B538" t="s">
        <v>10654</v>
      </c>
      <c r="C538" t="s">
        <v>74</v>
      </c>
      <c r="D538" t="s">
        <v>74</v>
      </c>
      <c r="E538" t="s">
        <v>74</v>
      </c>
      <c r="F538" t="s">
        <v>10655</v>
      </c>
      <c r="G538" t="s">
        <v>74</v>
      </c>
      <c r="H538" t="s">
        <v>74</v>
      </c>
      <c r="I538" t="s">
        <v>10656</v>
      </c>
      <c r="J538" t="s">
        <v>9722</v>
      </c>
      <c r="K538" t="s">
        <v>74</v>
      </c>
      <c r="L538" t="s">
        <v>74</v>
      </c>
      <c r="M538" t="s">
        <v>78</v>
      </c>
      <c r="N538" t="s">
        <v>79</v>
      </c>
      <c r="O538" t="s">
        <v>74</v>
      </c>
      <c r="P538" t="s">
        <v>74</v>
      </c>
      <c r="Q538" t="s">
        <v>74</v>
      </c>
      <c r="R538" t="s">
        <v>74</v>
      </c>
      <c r="S538" t="s">
        <v>74</v>
      </c>
      <c r="T538" t="s">
        <v>9723</v>
      </c>
      <c r="U538" t="s">
        <v>10657</v>
      </c>
      <c r="V538" t="s">
        <v>10658</v>
      </c>
      <c r="W538" t="s">
        <v>9726</v>
      </c>
      <c r="X538" t="s">
        <v>6875</v>
      </c>
      <c r="Y538" t="s">
        <v>9727</v>
      </c>
      <c r="Z538" t="s">
        <v>10659</v>
      </c>
      <c r="AA538" t="s">
        <v>74</v>
      </c>
      <c r="AB538" t="s">
        <v>10660</v>
      </c>
      <c r="AC538" t="s">
        <v>10661</v>
      </c>
      <c r="AD538" t="s">
        <v>3009</v>
      </c>
      <c r="AE538" t="s">
        <v>10662</v>
      </c>
      <c r="AF538" t="s">
        <v>74</v>
      </c>
      <c r="AG538">
        <v>31</v>
      </c>
      <c r="AH538">
        <v>5</v>
      </c>
      <c r="AI538">
        <v>5</v>
      </c>
      <c r="AJ538">
        <v>0</v>
      </c>
      <c r="AK538">
        <v>6</v>
      </c>
      <c r="AL538" t="s">
        <v>89</v>
      </c>
      <c r="AM538" t="s">
        <v>90</v>
      </c>
      <c r="AN538" t="s">
        <v>91</v>
      </c>
      <c r="AO538" t="s">
        <v>9733</v>
      </c>
      <c r="AP538" t="s">
        <v>74</v>
      </c>
      <c r="AQ538" t="s">
        <v>74</v>
      </c>
      <c r="AR538" t="s">
        <v>9734</v>
      </c>
      <c r="AS538" t="s">
        <v>9735</v>
      </c>
      <c r="AT538" t="s">
        <v>535</v>
      </c>
      <c r="AU538">
        <v>2021</v>
      </c>
      <c r="AV538">
        <v>23</v>
      </c>
      <c r="AW538" t="s">
        <v>74</v>
      </c>
      <c r="AX538" t="s">
        <v>74</v>
      </c>
      <c r="AY538" t="s">
        <v>74</v>
      </c>
      <c r="AZ538" t="s">
        <v>74</v>
      </c>
      <c r="BA538" t="s">
        <v>74</v>
      </c>
      <c r="BB538" t="s">
        <v>74</v>
      </c>
      <c r="BC538" t="s">
        <v>74</v>
      </c>
      <c r="BD538">
        <v>100545</v>
      </c>
      <c r="BE538" t="s">
        <v>10663</v>
      </c>
      <c r="BF538" t="str">
        <f>HYPERLINK("http://dx.doi.org/10.1016/j.rsase.2021.100545","http://dx.doi.org/10.1016/j.rsase.2021.100545")</f>
        <v>http://dx.doi.org/10.1016/j.rsase.2021.100545</v>
      </c>
      <c r="BG538" t="s">
        <v>74</v>
      </c>
      <c r="BH538" t="s">
        <v>8134</v>
      </c>
      <c r="BI538">
        <v>16</v>
      </c>
      <c r="BJ538" t="s">
        <v>3853</v>
      </c>
      <c r="BK538" t="s">
        <v>1819</v>
      </c>
      <c r="BL538" t="s">
        <v>2654</v>
      </c>
      <c r="BM538" t="s">
        <v>10664</v>
      </c>
      <c r="BN538" t="s">
        <v>74</v>
      </c>
      <c r="BO538" t="s">
        <v>74</v>
      </c>
      <c r="BP538" t="s">
        <v>74</v>
      </c>
      <c r="BQ538" t="s">
        <v>74</v>
      </c>
      <c r="BR538" t="s">
        <v>102</v>
      </c>
      <c r="BS538" t="s">
        <v>10665</v>
      </c>
      <c r="BT538" t="str">
        <f>HYPERLINK("https%3A%2F%2Fwww.webofscience.com%2Fwos%2Fwoscc%2Ffull-record%2FWOS:000686759900003","View Full Record in Web of Science")</f>
        <v>View Full Record in Web of Science</v>
      </c>
    </row>
    <row r="539" spans="1:72" x14ac:dyDescent="0.15">
      <c r="A539" t="s">
        <v>72</v>
      </c>
      <c r="B539" t="s">
        <v>10666</v>
      </c>
      <c r="C539" t="s">
        <v>74</v>
      </c>
      <c r="D539" t="s">
        <v>74</v>
      </c>
      <c r="E539" t="s">
        <v>74</v>
      </c>
      <c r="F539" t="s">
        <v>10667</v>
      </c>
      <c r="G539" t="s">
        <v>74</v>
      </c>
      <c r="H539" t="s">
        <v>74</v>
      </c>
      <c r="I539" t="s">
        <v>10668</v>
      </c>
      <c r="J539" t="s">
        <v>9358</v>
      </c>
      <c r="K539" t="s">
        <v>74</v>
      </c>
      <c r="L539" t="s">
        <v>74</v>
      </c>
      <c r="M539" t="s">
        <v>78</v>
      </c>
      <c r="N539" t="s">
        <v>79</v>
      </c>
      <c r="O539" t="s">
        <v>74</v>
      </c>
      <c r="P539" t="s">
        <v>74</v>
      </c>
      <c r="Q539" t="s">
        <v>74</v>
      </c>
      <c r="R539" t="s">
        <v>74</v>
      </c>
      <c r="S539" t="s">
        <v>74</v>
      </c>
      <c r="T539" t="s">
        <v>10669</v>
      </c>
      <c r="U539" t="s">
        <v>10670</v>
      </c>
      <c r="V539" t="s">
        <v>10671</v>
      </c>
      <c r="W539" t="s">
        <v>10672</v>
      </c>
      <c r="X539" t="s">
        <v>10673</v>
      </c>
      <c r="Y539" t="s">
        <v>10674</v>
      </c>
      <c r="Z539" t="s">
        <v>10675</v>
      </c>
      <c r="AA539" t="s">
        <v>10676</v>
      </c>
      <c r="AB539" t="s">
        <v>10677</v>
      </c>
      <c r="AC539" t="s">
        <v>10678</v>
      </c>
      <c r="AD539" t="s">
        <v>10679</v>
      </c>
      <c r="AE539" t="s">
        <v>10680</v>
      </c>
      <c r="AF539" t="s">
        <v>74</v>
      </c>
      <c r="AG539">
        <v>49</v>
      </c>
      <c r="AH539">
        <v>4</v>
      </c>
      <c r="AI539">
        <v>5</v>
      </c>
      <c r="AJ539">
        <v>0</v>
      </c>
      <c r="AK539">
        <v>7</v>
      </c>
      <c r="AL539" t="s">
        <v>4522</v>
      </c>
      <c r="AM539" t="s">
        <v>368</v>
      </c>
      <c r="AN539" t="s">
        <v>4523</v>
      </c>
      <c r="AO539" t="s">
        <v>9370</v>
      </c>
      <c r="AP539" t="s">
        <v>9371</v>
      </c>
      <c r="AQ539" t="s">
        <v>74</v>
      </c>
      <c r="AR539" t="s">
        <v>9372</v>
      </c>
      <c r="AS539" t="s">
        <v>9373</v>
      </c>
      <c r="AT539" t="s">
        <v>10681</v>
      </c>
      <c r="AU539">
        <v>2021</v>
      </c>
      <c r="AV539">
        <v>258</v>
      </c>
      <c r="AW539" t="s">
        <v>74</v>
      </c>
      <c r="AX539" t="s">
        <v>74</v>
      </c>
      <c r="AY539" t="s">
        <v>74</v>
      </c>
      <c r="AZ539" t="s">
        <v>74</v>
      </c>
      <c r="BA539" t="s">
        <v>74</v>
      </c>
      <c r="BB539" t="s">
        <v>74</v>
      </c>
      <c r="BC539" t="s">
        <v>74</v>
      </c>
      <c r="BD539">
        <v>107443</v>
      </c>
      <c r="BE539" t="s">
        <v>10682</v>
      </c>
      <c r="BF539" t="str">
        <f>HYPERLINK("http://dx.doi.org/10.1016/j.ecss.2021.107443","http://dx.doi.org/10.1016/j.ecss.2021.107443")</f>
        <v>http://dx.doi.org/10.1016/j.ecss.2021.107443</v>
      </c>
      <c r="BG539" t="s">
        <v>74</v>
      </c>
      <c r="BH539" t="s">
        <v>8134</v>
      </c>
      <c r="BI539">
        <v>8</v>
      </c>
      <c r="BJ539" t="s">
        <v>3436</v>
      </c>
      <c r="BK539" t="s">
        <v>128</v>
      </c>
      <c r="BL539" t="s">
        <v>3436</v>
      </c>
      <c r="BM539" t="s">
        <v>10683</v>
      </c>
      <c r="BN539" t="s">
        <v>74</v>
      </c>
      <c r="BO539" t="s">
        <v>74</v>
      </c>
      <c r="BP539" t="s">
        <v>74</v>
      </c>
      <c r="BQ539" t="s">
        <v>74</v>
      </c>
      <c r="BR539" t="s">
        <v>102</v>
      </c>
      <c r="BS539" t="s">
        <v>10684</v>
      </c>
      <c r="BT539" t="str">
        <f>HYPERLINK("https%3A%2F%2Fwww.webofscience.com%2Fwos%2Fwoscc%2Ffull-record%2FWOS:000679383300001","View Full Record in Web of Science")</f>
        <v>View Full Record in Web of Science</v>
      </c>
    </row>
    <row r="540" spans="1:72" x14ac:dyDescent="0.15">
      <c r="A540" t="s">
        <v>72</v>
      </c>
      <c r="B540" t="s">
        <v>10685</v>
      </c>
      <c r="C540" t="s">
        <v>74</v>
      </c>
      <c r="D540" t="s">
        <v>74</v>
      </c>
      <c r="E540" t="s">
        <v>74</v>
      </c>
      <c r="F540" t="s">
        <v>10686</v>
      </c>
      <c r="G540" t="s">
        <v>74</v>
      </c>
      <c r="H540" t="s">
        <v>74</v>
      </c>
      <c r="I540" t="s">
        <v>10687</v>
      </c>
      <c r="J540" t="s">
        <v>3965</v>
      </c>
      <c r="K540" t="s">
        <v>74</v>
      </c>
      <c r="L540" t="s">
        <v>74</v>
      </c>
      <c r="M540" t="s">
        <v>78</v>
      </c>
      <c r="N540" t="s">
        <v>79</v>
      </c>
      <c r="O540" t="s">
        <v>74</v>
      </c>
      <c r="P540" t="s">
        <v>74</v>
      </c>
      <c r="Q540" t="s">
        <v>74</v>
      </c>
      <c r="R540" t="s">
        <v>74</v>
      </c>
      <c r="S540" t="s">
        <v>74</v>
      </c>
      <c r="T540" t="s">
        <v>10688</v>
      </c>
      <c r="U540" t="s">
        <v>10689</v>
      </c>
      <c r="V540" t="s">
        <v>10690</v>
      </c>
      <c r="W540" t="s">
        <v>10691</v>
      </c>
      <c r="X540" t="s">
        <v>10692</v>
      </c>
      <c r="Y540" t="s">
        <v>10693</v>
      </c>
      <c r="Z540" t="s">
        <v>10694</v>
      </c>
      <c r="AA540" t="s">
        <v>10695</v>
      </c>
      <c r="AB540" t="s">
        <v>10696</v>
      </c>
      <c r="AC540" t="s">
        <v>10697</v>
      </c>
      <c r="AD540" t="s">
        <v>10698</v>
      </c>
      <c r="AE540" t="s">
        <v>10699</v>
      </c>
      <c r="AF540" t="s">
        <v>74</v>
      </c>
      <c r="AG540">
        <v>56</v>
      </c>
      <c r="AH540">
        <v>5</v>
      </c>
      <c r="AI540">
        <v>5</v>
      </c>
      <c r="AJ540">
        <v>3</v>
      </c>
      <c r="AK540">
        <v>20</v>
      </c>
      <c r="AL540" t="s">
        <v>281</v>
      </c>
      <c r="AM540" t="s">
        <v>228</v>
      </c>
      <c r="AN540" t="s">
        <v>282</v>
      </c>
      <c r="AO540" t="s">
        <v>3978</v>
      </c>
      <c r="AP540" t="s">
        <v>3979</v>
      </c>
      <c r="AQ540" t="s">
        <v>74</v>
      </c>
      <c r="AR540" t="s">
        <v>3965</v>
      </c>
      <c r="AS540" t="s">
        <v>3980</v>
      </c>
      <c r="AT540" t="s">
        <v>96</v>
      </c>
      <c r="AU540">
        <v>2021</v>
      </c>
      <c r="AV540">
        <v>282</v>
      </c>
      <c r="AW540" t="s">
        <v>74</v>
      </c>
      <c r="AX540" t="s">
        <v>74</v>
      </c>
      <c r="AY540" t="s">
        <v>74</v>
      </c>
      <c r="AZ540" t="s">
        <v>74</v>
      </c>
      <c r="BA540" t="s">
        <v>74</v>
      </c>
      <c r="BB540" t="s">
        <v>74</v>
      </c>
      <c r="BC540" t="s">
        <v>74</v>
      </c>
      <c r="BD540">
        <v>131082</v>
      </c>
      <c r="BE540" t="s">
        <v>10700</v>
      </c>
      <c r="BF540" t="str">
        <f>HYPERLINK("http://dx.doi.org/10.1016/j.chemosphere.2021.131082","http://dx.doi.org/10.1016/j.chemosphere.2021.131082")</f>
        <v>http://dx.doi.org/10.1016/j.chemosphere.2021.131082</v>
      </c>
      <c r="BG540" t="s">
        <v>74</v>
      </c>
      <c r="BH540" t="s">
        <v>8134</v>
      </c>
      <c r="BI540">
        <v>9</v>
      </c>
      <c r="BJ540" t="s">
        <v>262</v>
      </c>
      <c r="BK540" t="s">
        <v>128</v>
      </c>
      <c r="BL540" t="s">
        <v>263</v>
      </c>
      <c r="BM540" t="s">
        <v>10701</v>
      </c>
      <c r="BN540">
        <v>34470154</v>
      </c>
      <c r="BO540" t="s">
        <v>74</v>
      </c>
      <c r="BP540" t="s">
        <v>74</v>
      </c>
      <c r="BQ540" t="s">
        <v>74</v>
      </c>
      <c r="BR540" t="s">
        <v>102</v>
      </c>
      <c r="BS540" t="s">
        <v>10702</v>
      </c>
      <c r="BT540" t="str">
        <f>HYPERLINK("https%3A%2F%2Fwww.webofscience.com%2Fwos%2Fwoscc%2Ffull-record%2FWOS:000679228400009","View Full Record in Web of Science")</f>
        <v>View Full Record in Web of Science</v>
      </c>
    </row>
    <row r="541" spans="1:72" x14ac:dyDescent="0.15">
      <c r="A541" t="s">
        <v>72</v>
      </c>
      <c r="B541" t="s">
        <v>10703</v>
      </c>
      <c r="C541" t="s">
        <v>74</v>
      </c>
      <c r="D541" t="s">
        <v>74</v>
      </c>
      <c r="E541" t="s">
        <v>74</v>
      </c>
      <c r="F541" t="s">
        <v>10704</v>
      </c>
      <c r="G541" t="s">
        <v>74</v>
      </c>
      <c r="H541" t="s">
        <v>74</v>
      </c>
      <c r="I541" t="s">
        <v>10705</v>
      </c>
      <c r="J541" t="s">
        <v>2862</v>
      </c>
      <c r="K541" t="s">
        <v>74</v>
      </c>
      <c r="L541" t="s">
        <v>74</v>
      </c>
      <c r="M541" t="s">
        <v>78</v>
      </c>
      <c r="N541" t="s">
        <v>79</v>
      </c>
      <c r="O541" t="s">
        <v>74</v>
      </c>
      <c r="P541" t="s">
        <v>74</v>
      </c>
      <c r="Q541" t="s">
        <v>74</v>
      </c>
      <c r="R541" t="s">
        <v>74</v>
      </c>
      <c r="S541" t="s">
        <v>74</v>
      </c>
      <c r="T541" t="s">
        <v>10706</v>
      </c>
      <c r="U541" t="s">
        <v>10707</v>
      </c>
      <c r="V541" t="s">
        <v>10708</v>
      </c>
      <c r="W541" t="s">
        <v>10709</v>
      </c>
      <c r="X541" t="s">
        <v>10710</v>
      </c>
      <c r="Y541" t="s">
        <v>10711</v>
      </c>
      <c r="Z541" t="s">
        <v>10712</v>
      </c>
      <c r="AA541" t="s">
        <v>74</v>
      </c>
      <c r="AB541" t="s">
        <v>74</v>
      </c>
      <c r="AC541" t="s">
        <v>10713</v>
      </c>
      <c r="AD541" t="s">
        <v>10714</v>
      </c>
      <c r="AE541" t="s">
        <v>10715</v>
      </c>
      <c r="AF541" t="s">
        <v>74</v>
      </c>
      <c r="AG541">
        <v>63</v>
      </c>
      <c r="AH541">
        <v>1</v>
      </c>
      <c r="AI541">
        <v>2</v>
      </c>
      <c r="AJ541">
        <v>2</v>
      </c>
      <c r="AK541">
        <v>15</v>
      </c>
      <c r="AL541" t="s">
        <v>450</v>
      </c>
      <c r="AM541" t="s">
        <v>650</v>
      </c>
      <c r="AN541" t="s">
        <v>1957</v>
      </c>
      <c r="AO541" t="s">
        <v>2874</v>
      </c>
      <c r="AP541" t="s">
        <v>2875</v>
      </c>
      <c r="AQ541" t="s">
        <v>74</v>
      </c>
      <c r="AR541" t="s">
        <v>2876</v>
      </c>
      <c r="AS541" t="s">
        <v>2877</v>
      </c>
      <c r="AT541" t="s">
        <v>430</v>
      </c>
      <c r="AU541">
        <v>2021</v>
      </c>
      <c r="AV541">
        <v>44</v>
      </c>
      <c r="AW541">
        <v>7</v>
      </c>
      <c r="AX541" t="s">
        <v>74</v>
      </c>
      <c r="AY541" t="s">
        <v>74</v>
      </c>
      <c r="AZ541" t="s">
        <v>74</v>
      </c>
      <c r="BA541" t="s">
        <v>74</v>
      </c>
      <c r="BB541">
        <v>1415</v>
      </c>
      <c r="BC541">
        <v>1425</v>
      </c>
      <c r="BD541" t="s">
        <v>74</v>
      </c>
      <c r="BE541" t="s">
        <v>10716</v>
      </c>
      <c r="BF541" t="str">
        <f>HYPERLINK("http://dx.doi.org/10.1007/s00300-021-02880-x","http://dx.doi.org/10.1007/s00300-021-02880-x")</f>
        <v>http://dx.doi.org/10.1007/s00300-021-02880-x</v>
      </c>
      <c r="BG541" t="s">
        <v>74</v>
      </c>
      <c r="BH541" t="s">
        <v>8134</v>
      </c>
      <c r="BI541">
        <v>11</v>
      </c>
      <c r="BJ541" t="s">
        <v>1883</v>
      </c>
      <c r="BK541" t="s">
        <v>128</v>
      </c>
      <c r="BL541" t="s">
        <v>207</v>
      </c>
      <c r="BM541" t="s">
        <v>10717</v>
      </c>
      <c r="BN541" t="s">
        <v>74</v>
      </c>
      <c r="BO541" t="s">
        <v>74</v>
      </c>
      <c r="BP541" t="s">
        <v>74</v>
      </c>
      <c r="BQ541" t="s">
        <v>74</v>
      </c>
      <c r="BR541" t="s">
        <v>102</v>
      </c>
      <c r="BS541" t="s">
        <v>10718</v>
      </c>
      <c r="BT541" t="str">
        <f>HYPERLINK("https%3A%2F%2Fwww.webofscience.com%2Fwos%2Fwoscc%2Ffull-record%2FWOS:000660800000001","View Full Record in Web of Science")</f>
        <v>View Full Record in Web of Science</v>
      </c>
    </row>
    <row r="542" spans="1:72" x14ac:dyDescent="0.15">
      <c r="A542" t="s">
        <v>72</v>
      </c>
      <c r="B542" t="s">
        <v>10719</v>
      </c>
      <c r="C542" t="s">
        <v>74</v>
      </c>
      <c r="D542" t="s">
        <v>74</v>
      </c>
      <c r="E542" t="s">
        <v>74</v>
      </c>
      <c r="F542" t="s">
        <v>10720</v>
      </c>
      <c r="G542" t="s">
        <v>74</v>
      </c>
      <c r="H542" t="s">
        <v>74</v>
      </c>
      <c r="I542" t="s">
        <v>10721</v>
      </c>
      <c r="J542" t="s">
        <v>10722</v>
      </c>
      <c r="K542" t="s">
        <v>74</v>
      </c>
      <c r="L542" t="s">
        <v>74</v>
      </c>
      <c r="M542" t="s">
        <v>78</v>
      </c>
      <c r="N542" t="s">
        <v>10723</v>
      </c>
      <c r="O542" t="s">
        <v>74</v>
      </c>
      <c r="P542" t="s">
        <v>74</v>
      </c>
      <c r="Q542" t="s">
        <v>74</v>
      </c>
      <c r="R542" t="s">
        <v>74</v>
      </c>
      <c r="S542" t="s">
        <v>74</v>
      </c>
      <c r="T542" t="s">
        <v>10724</v>
      </c>
      <c r="U542" t="s">
        <v>10725</v>
      </c>
      <c r="V542" t="s">
        <v>10726</v>
      </c>
      <c r="W542" t="s">
        <v>10727</v>
      </c>
      <c r="X542" t="s">
        <v>6589</v>
      </c>
      <c r="Y542" t="s">
        <v>10728</v>
      </c>
      <c r="Z542" t="s">
        <v>10729</v>
      </c>
      <c r="AA542" t="s">
        <v>10730</v>
      </c>
      <c r="AB542" t="s">
        <v>74</v>
      </c>
      <c r="AC542" t="s">
        <v>10731</v>
      </c>
      <c r="AD542" t="s">
        <v>10732</v>
      </c>
      <c r="AE542" t="s">
        <v>10733</v>
      </c>
      <c r="AF542" t="s">
        <v>74</v>
      </c>
      <c r="AG542">
        <v>4</v>
      </c>
      <c r="AH542">
        <v>2</v>
      </c>
      <c r="AI542">
        <v>2</v>
      </c>
      <c r="AJ542">
        <v>0</v>
      </c>
      <c r="AK542">
        <v>1</v>
      </c>
      <c r="AL542" t="s">
        <v>89</v>
      </c>
      <c r="AM542" t="s">
        <v>90</v>
      </c>
      <c r="AN542" t="s">
        <v>91</v>
      </c>
      <c r="AO542" t="s">
        <v>10734</v>
      </c>
      <c r="AP542" t="s">
        <v>74</v>
      </c>
      <c r="AQ542" t="s">
        <v>74</v>
      </c>
      <c r="AR542" t="s">
        <v>10735</v>
      </c>
      <c r="AS542" t="s">
        <v>10736</v>
      </c>
      <c r="AT542" t="s">
        <v>535</v>
      </c>
      <c r="AU542">
        <v>2021</v>
      </c>
      <c r="AV542">
        <v>37</v>
      </c>
      <c r="AW542" t="s">
        <v>74</v>
      </c>
      <c r="AX542" t="s">
        <v>74</v>
      </c>
      <c r="AY542" t="s">
        <v>74</v>
      </c>
      <c r="AZ542" t="s">
        <v>74</v>
      </c>
      <c r="BA542" t="s">
        <v>74</v>
      </c>
      <c r="BB542" t="s">
        <v>74</v>
      </c>
      <c r="BC542" t="s">
        <v>74</v>
      </c>
      <c r="BD542">
        <v>107211</v>
      </c>
      <c r="BE542" t="s">
        <v>10737</v>
      </c>
      <c r="BF542" t="str">
        <f>HYPERLINK("http://dx.doi.org/10.1016/j.dib.2021.107211","http://dx.doi.org/10.1016/j.dib.2021.107211")</f>
        <v>http://dx.doi.org/10.1016/j.dib.2021.107211</v>
      </c>
      <c r="BG542" t="s">
        <v>74</v>
      </c>
      <c r="BH542" t="s">
        <v>8134</v>
      </c>
      <c r="BI542">
        <v>6</v>
      </c>
      <c r="BJ542" t="s">
        <v>2609</v>
      </c>
      <c r="BK542" t="s">
        <v>1819</v>
      </c>
      <c r="BL542" t="s">
        <v>2610</v>
      </c>
      <c r="BM542" t="s">
        <v>10738</v>
      </c>
      <c r="BN542">
        <v>34169131</v>
      </c>
      <c r="BO542" t="s">
        <v>311</v>
      </c>
      <c r="BP542" t="s">
        <v>74</v>
      </c>
      <c r="BQ542" t="s">
        <v>74</v>
      </c>
      <c r="BR542" t="s">
        <v>102</v>
      </c>
      <c r="BS542" t="s">
        <v>10739</v>
      </c>
      <c r="BT542" t="str">
        <f>HYPERLINK("https%3A%2F%2Fwww.webofscience.com%2Fwos%2Fwoscc%2Ffull-record%2FWOS:000689359300029","View Full Record in Web of Science")</f>
        <v>View Full Record in Web of Science</v>
      </c>
    </row>
    <row r="543" spans="1:72" x14ac:dyDescent="0.15">
      <c r="A543" t="s">
        <v>72</v>
      </c>
      <c r="B543" t="s">
        <v>10740</v>
      </c>
      <c r="C543" t="s">
        <v>74</v>
      </c>
      <c r="D543" t="s">
        <v>74</v>
      </c>
      <c r="E543" t="s">
        <v>74</v>
      </c>
      <c r="F543" t="s">
        <v>10741</v>
      </c>
      <c r="G543" t="s">
        <v>74</v>
      </c>
      <c r="H543" t="s">
        <v>74</v>
      </c>
      <c r="I543" t="s">
        <v>10742</v>
      </c>
      <c r="J543" t="s">
        <v>243</v>
      </c>
      <c r="K543" t="s">
        <v>74</v>
      </c>
      <c r="L543" t="s">
        <v>74</v>
      </c>
      <c r="M543" t="s">
        <v>78</v>
      </c>
      <c r="N543" t="s">
        <v>700</v>
      </c>
      <c r="O543" t="s">
        <v>74</v>
      </c>
      <c r="P543" t="s">
        <v>74</v>
      </c>
      <c r="Q543" t="s">
        <v>74</v>
      </c>
      <c r="R543" t="s">
        <v>74</v>
      </c>
      <c r="S543" t="s">
        <v>74</v>
      </c>
      <c r="T543" t="s">
        <v>10743</v>
      </c>
      <c r="U543" t="s">
        <v>10744</v>
      </c>
      <c r="V543" t="s">
        <v>10745</v>
      </c>
      <c r="W543" t="s">
        <v>10746</v>
      </c>
      <c r="X543" t="s">
        <v>10747</v>
      </c>
      <c r="Y543" t="s">
        <v>10748</v>
      </c>
      <c r="Z543" t="s">
        <v>10749</v>
      </c>
      <c r="AA543" t="s">
        <v>10750</v>
      </c>
      <c r="AB543" t="s">
        <v>10751</v>
      </c>
      <c r="AC543" t="s">
        <v>10752</v>
      </c>
      <c r="AD543" t="s">
        <v>10753</v>
      </c>
      <c r="AE543" t="s">
        <v>10754</v>
      </c>
      <c r="AF543" t="s">
        <v>74</v>
      </c>
      <c r="AG543">
        <v>160</v>
      </c>
      <c r="AH543">
        <v>36</v>
      </c>
      <c r="AI543">
        <v>38</v>
      </c>
      <c r="AJ543">
        <v>39</v>
      </c>
      <c r="AK543">
        <v>248</v>
      </c>
      <c r="AL543" t="s">
        <v>89</v>
      </c>
      <c r="AM543" t="s">
        <v>90</v>
      </c>
      <c r="AN543" t="s">
        <v>91</v>
      </c>
      <c r="AO543" t="s">
        <v>256</v>
      </c>
      <c r="AP543" t="s">
        <v>257</v>
      </c>
      <c r="AQ543" t="s">
        <v>74</v>
      </c>
      <c r="AR543" t="s">
        <v>258</v>
      </c>
      <c r="AS543" t="s">
        <v>259</v>
      </c>
      <c r="AT543" t="s">
        <v>234</v>
      </c>
      <c r="AU543">
        <v>2021</v>
      </c>
      <c r="AV543">
        <v>791</v>
      </c>
      <c r="AW543" t="s">
        <v>74</v>
      </c>
      <c r="AX543" t="s">
        <v>74</v>
      </c>
      <c r="AY543" t="s">
        <v>74</v>
      </c>
      <c r="AZ543" t="s">
        <v>74</v>
      </c>
      <c r="BA543" t="s">
        <v>74</v>
      </c>
      <c r="BB543" t="s">
        <v>74</v>
      </c>
      <c r="BC543" t="s">
        <v>74</v>
      </c>
      <c r="BD543">
        <v>147905</v>
      </c>
      <c r="BE543" t="s">
        <v>10755</v>
      </c>
      <c r="BF543" t="str">
        <f>HYPERLINK("http://dx.doi.org/10.1016/j.scitotenv.2021.147905","http://dx.doi.org/10.1016/j.scitotenv.2021.147905")</f>
        <v>http://dx.doi.org/10.1016/j.scitotenv.2021.147905</v>
      </c>
      <c r="BG543" t="s">
        <v>74</v>
      </c>
      <c r="BH543" t="s">
        <v>8134</v>
      </c>
      <c r="BI543">
        <v>13</v>
      </c>
      <c r="BJ543" t="s">
        <v>262</v>
      </c>
      <c r="BK543" t="s">
        <v>128</v>
      </c>
      <c r="BL543" t="s">
        <v>263</v>
      </c>
      <c r="BM543" t="s">
        <v>10756</v>
      </c>
      <c r="BN543">
        <v>34126492</v>
      </c>
      <c r="BO543" t="s">
        <v>74</v>
      </c>
      <c r="BP543" t="s">
        <v>74</v>
      </c>
      <c r="BQ543" t="s">
        <v>74</v>
      </c>
      <c r="BR543" t="s">
        <v>102</v>
      </c>
      <c r="BS543" t="s">
        <v>10757</v>
      </c>
      <c r="BT543" t="str">
        <f>HYPERLINK("https%3A%2F%2Fwww.webofscience.com%2Fwos%2Fwoscc%2Ffull-record%2FWOS:000686012800013","View Full Record in Web of Science")</f>
        <v>View Full Record in Web of Science</v>
      </c>
    </row>
    <row r="544" spans="1:72" x14ac:dyDescent="0.15">
      <c r="A544" t="s">
        <v>72</v>
      </c>
      <c r="B544" t="s">
        <v>10758</v>
      </c>
      <c r="C544" t="s">
        <v>74</v>
      </c>
      <c r="D544" t="s">
        <v>74</v>
      </c>
      <c r="E544" t="s">
        <v>74</v>
      </c>
      <c r="F544" t="s">
        <v>10759</v>
      </c>
      <c r="G544" t="s">
        <v>74</v>
      </c>
      <c r="H544" t="s">
        <v>74</v>
      </c>
      <c r="I544" t="s">
        <v>10760</v>
      </c>
      <c r="J544" t="s">
        <v>3491</v>
      </c>
      <c r="K544" t="s">
        <v>74</v>
      </c>
      <c r="L544" t="s">
        <v>74</v>
      </c>
      <c r="M544" t="s">
        <v>78</v>
      </c>
      <c r="N544" t="s">
        <v>79</v>
      </c>
      <c r="O544" t="s">
        <v>74</v>
      </c>
      <c r="P544" t="s">
        <v>74</v>
      </c>
      <c r="Q544" t="s">
        <v>74</v>
      </c>
      <c r="R544" t="s">
        <v>74</v>
      </c>
      <c r="S544" t="s">
        <v>74</v>
      </c>
      <c r="T544" t="s">
        <v>10761</v>
      </c>
      <c r="U544" t="s">
        <v>10762</v>
      </c>
      <c r="V544" t="s">
        <v>10763</v>
      </c>
      <c r="W544" t="s">
        <v>10764</v>
      </c>
      <c r="X544" t="s">
        <v>10765</v>
      </c>
      <c r="Y544" t="s">
        <v>10766</v>
      </c>
      <c r="Z544" t="s">
        <v>10767</v>
      </c>
      <c r="AA544" t="s">
        <v>10768</v>
      </c>
      <c r="AB544" t="s">
        <v>10769</v>
      </c>
      <c r="AC544" t="s">
        <v>10770</v>
      </c>
      <c r="AD544" t="s">
        <v>10771</v>
      </c>
      <c r="AE544" t="s">
        <v>10772</v>
      </c>
      <c r="AF544" t="s">
        <v>74</v>
      </c>
      <c r="AG544">
        <v>92</v>
      </c>
      <c r="AH544">
        <v>4</v>
      </c>
      <c r="AI544">
        <v>5</v>
      </c>
      <c r="AJ544">
        <v>4</v>
      </c>
      <c r="AK544">
        <v>25</v>
      </c>
      <c r="AL544" t="s">
        <v>89</v>
      </c>
      <c r="AM544" t="s">
        <v>90</v>
      </c>
      <c r="AN544" t="s">
        <v>91</v>
      </c>
      <c r="AO544" t="s">
        <v>3504</v>
      </c>
      <c r="AP544" t="s">
        <v>3505</v>
      </c>
      <c r="AQ544" t="s">
        <v>74</v>
      </c>
      <c r="AR544" t="s">
        <v>3506</v>
      </c>
      <c r="AS544" t="s">
        <v>3507</v>
      </c>
      <c r="AT544" t="s">
        <v>3746</v>
      </c>
      <c r="AU544">
        <v>2021</v>
      </c>
      <c r="AV544">
        <v>576</v>
      </c>
      <c r="AW544" t="s">
        <v>74</v>
      </c>
      <c r="AX544" t="s">
        <v>74</v>
      </c>
      <c r="AY544" t="s">
        <v>74</v>
      </c>
      <c r="AZ544" t="s">
        <v>74</v>
      </c>
      <c r="BA544" t="s">
        <v>74</v>
      </c>
      <c r="BB544" t="s">
        <v>74</v>
      </c>
      <c r="BC544" t="s">
        <v>74</v>
      </c>
      <c r="BD544">
        <v>110511</v>
      </c>
      <c r="BE544" t="s">
        <v>10773</v>
      </c>
      <c r="BF544" t="str">
        <f>HYPERLINK("http://dx.doi.org/10.1016/j.palaeo.2021.110511","http://dx.doi.org/10.1016/j.palaeo.2021.110511")</f>
        <v>http://dx.doi.org/10.1016/j.palaeo.2021.110511</v>
      </c>
      <c r="BG544" t="s">
        <v>74</v>
      </c>
      <c r="BH544" t="s">
        <v>8134</v>
      </c>
      <c r="BI544">
        <v>14</v>
      </c>
      <c r="BJ544" t="s">
        <v>3509</v>
      </c>
      <c r="BK544" t="s">
        <v>128</v>
      </c>
      <c r="BL544" t="s">
        <v>3510</v>
      </c>
      <c r="BM544" t="s">
        <v>9754</v>
      </c>
      <c r="BN544" t="s">
        <v>74</v>
      </c>
      <c r="BO544" t="s">
        <v>74</v>
      </c>
      <c r="BP544" t="s">
        <v>74</v>
      </c>
      <c r="BQ544" t="s">
        <v>74</v>
      </c>
      <c r="BR544" t="s">
        <v>102</v>
      </c>
      <c r="BS544" t="s">
        <v>10774</v>
      </c>
      <c r="BT544" t="str">
        <f>HYPERLINK("https%3A%2F%2Fwww.webofscience.com%2Fwos%2Fwoscc%2Ffull-record%2FWOS:000668458200026","View Full Record in Web of Science")</f>
        <v>View Full Record in Web of Science</v>
      </c>
    </row>
    <row r="545" spans="1:72" x14ac:dyDescent="0.15">
      <c r="A545" t="s">
        <v>72</v>
      </c>
      <c r="B545" t="s">
        <v>10775</v>
      </c>
      <c r="C545" t="s">
        <v>74</v>
      </c>
      <c r="D545" t="s">
        <v>74</v>
      </c>
      <c r="E545" t="s">
        <v>74</v>
      </c>
      <c r="F545" t="s">
        <v>10776</v>
      </c>
      <c r="G545" t="s">
        <v>74</v>
      </c>
      <c r="H545" t="s">
        <v>74</v>
      </c>
      <c r="I545" t="s">
        <v>10777</v>
      </c>
      <c r="J545" t="s">
        <v>2660</v>
      </c>
      <c r="K545" t="s">
        <v>74</v>
      </c>
      <c r="L545" t="s">
        <v>74</v>
      </c>
      <c r="M545" t="s">
        <v>78</v>
      </c>
      <c r="N545" t="s">
        <v>79</v>
      </c>
      <c r="O545" t="s">
        <v>74</v>
      </c>
      <c r="P545" t="s">
        <v>74</v>
      </c>
      <c r="Q545" t="s">
        <v>74</v>
      </c>
      <c r="R545" t="s">
        <v>74</v>
      </c>
      <c r="S545" t="s">
        <v>74</v>
      </c>
      <c r="T545" t="s">
        <v>10778</v>
      </c>
      <c r="U545" t="s">
        <v>10779</v>
      </c>
      <c r="V545" t="s">
        <v>10780</v>
      </c>
      <c r="W545" t="s">
        <v>10781</v>
      </c>
      <c r="X545" t="s">
        <v>10782</v>
      </c>
      <c r="Y545" t="s">
        <v>10783</v>
      </c>
      <c r="Z545" t="s">
        <v>10784</v>
      </c>
      <c r="AA545" t="s">
        <v>10785</v>
      </c>
      <c r="AB545" t="s">
        <v>74</v>
      </c>
      <c r="AC545" t="s">
        <v>10786</v>
      </c>
      <c r="AD545" t="s">
        <v>10787</v>
      </c>
      <c r="AE545" t="s">
        <v>10788</v>
      </c>
      <c r="AF545" t="s">
        <v>74</v>
      </c>
      <c r="AG545">
        <v>89</v>
      </c>
      <c r="AH545">
        <v>3</v>
      </c>
      <c r="AI545">
        <v>3</v>
      </c>
      <c r="AJ545">
        <v>0</v>
      </c>
      <c r="AK545">
        <v>25</v>
      </c>
      <c r="AL545" t="s">
        <v>281</v>
      </c>
      <c r="AM545" t="s">
        <v>228</v>
      </c>
      <c r="AN545" t="s">
        <v>282</v>
      </c>
      <c r="AO545" t="s">
        <v>2669</v>
      </c>
      <c r="AP545" t="s">
        <v>2670</v>
      </c>
      <c r="AQ545" t="s">
        <v>74</v>
      </c>
      <c r="AR545" t="s">
        <v>2671</v>
      </c>
      <c r="AS545" t="s">
        <v>2672</v>
      </c>
      <c r="AT545" t="s">
        <v>2387</v>
      </c>
      <c r="AU545">
        <v>2021</v>
      </c>
      <c r="AV545">
        <v>221</v>
      </c>
      <c r="AW545" t="s">
        <v>74</v>
      </c>
      <c r="AX545" t="s">
        <v>74</v>
      </c>
      <c r="AY545" t="s">
        <v>74</v>
      </c>
      <c r="AZ545" t="s">
        <v>74</v>
      </c>
      <c r="BA545" t="s">
        <v>74</v>
      </c>
      <c r="BB545" t="s">
        <v>74</v>
      </c>
      <c r="BC545" t="s">
        <v>74</v>
      </c>
      <c r="BD545">
        <v>105690</v>
      </c>
      <c r="BE545" t="s">
        <v>10789</v>
      </c>
      <c r="BF545" t="str">
        <f>HYPERLINK("http://dx.doi.org/10.1016/j.jastp.2021.105690","http://dx.doi.org/10.1016/j.jastp.2021.105690")</f>
        <v>http://dx.doi.org/10.1016/j.jastp.2021.105690</v>
      </c>
      <c r="BG545" t="s">
        <v>74</v>
      </c>
      <c r="BH545" t="s">
        <v>8134</v>
      </c>
      <c r="BI545">
        <v>17</v>
      </c>
      <c r="BJ545" t="s">
        <v>2674</v>
      </c>
      <c r="BK545" t="s">
        <v>128</v>
      </c>
      <c r="BL545" t="s">
        <v>2674</v>
      </c>
      <c r="BM545" t="s">
        <v>10790</v>
      </c>
      <c r="BN545" t="s">
        <v>74</v>
      </c>
      <c r="BO545" t="s">
        <v>291</v>
      </c>
      <c r="BP545" t="s">
        <v>74</v>
      </c>
      <c r="BQ545" t="s">
        <v>74</v>
      </c>
      <c r="BR545" t="s">
        <v>102</v>
      </c>
      <c r="BS545" t="s">
        <v>10791</v>
      </c>
      <c r="BT545" t="str">
        <f>HYPERLINK("https%3A%2F%2Fwww.webofscience.com%2Fwos%2Fwoscc%2Ffull-record%2FWOS:000672812300001","View Full Record in Web of Science")</f>
        <v>View Full Record in Web of Science</v>
      </c>
    </row>
    <row r="546" spans="1:72" x14ac:dyDescent="0.15">
      <c r="A546" t="s">
        <v>72</v>
      </c>
      <c r="B546" t="s">
        <v>10792</v>
      </c>
      <c r="C546" t="s">
        <v>74</v>
      </c>
      <c r="D546" t="s">
        <v>74</v>
      </c>
      <c r="E546" t="s">
        <v>74</v>
      </c>
      <c r="F546" t="s">
        <v>10793</v>
      </c>
      <c r="G546" t="s">
        <v>74</v>
      </c>
      <c r="H546" t="s">
        <v>74</v>
      </c>
      <c r="I546" t="s">
        <v>10794</v>
      </c>
      <c r="J546" t="s">
        <v>10288</v>
      </c>
      <c r="K546" t="s">
        <v>74</v>
      </c>
      <c r="L546" t="s">
        <v>74</v>
      </c>
      <c r="M546" t="s">
        <v>78</v>
      </c>
      <c r="N546" t="s">
        <v>79</v>
      </c>
      <c r="O546" t="s">
        <v>74</v>
      </c>
      <c r="P546" t="s">
        <v>74</v>
      </c>
      <c r="Q546" t="s">
        <v>74</v>
      </c>
      <c r="R546" t="s">
        <v>74</v>
      </c>
      <c r="S546" t="s">
        <v>74</v>
      </c>
      <c r="T546" t="s">
        <v>10795</v>
      </c>
      <c r="U546" t="s">
        <v>10796</v>
      </c>
      <c r="V546" t="s">
        <v>10797</v>
      </c>
      <c r="W546" t="s">
        <v>10798</v>
      </c>
      <c r="X546" t="s">
        <v>10799</v>
      </c>
      <c r="Y546" t="s">
        <v>10800</v>
      </c>
      <c r="Z546" t="s">
        <v>10801</v>
      </c>
      <c r="AA546" t="s">
        <v>10802</v>
      </c>
      <c r="AB546" t="s">
        <v>10803</v>
      </c>
      <c r="AC546" t="s">
        <v>10804</v>
      </c>
      <c r="AD546" t="s">
        <v>10805</v>
      </c>
      <c r="AE546" t="s">
        <v>10806</v>
      </c>
      <c r="AF546" t="s">
        <v>74</v>
      </c>
      <c r="AG546">
        <v>60</v>
      </c>
      <c r="AH546">
        <v>5</v>
      </c>
      <c r="AI546">
        <v>5</v>
      </c>
      <c r="AJ546">
        <v>1</v>
      </c>
      <c r="AK546">
        <v>14</v>
      </c>
      <c r="AL546" t="s">
        <v>89</v>
      </c>
      <c r="AM546" t="s">
        <v>90</v>
      </c>
      <c r="AN546" t="s">
        <v>91</v>
      </c>
      <c r="AO546" t="s">
        <v>10299</v>
      </c>
      <c r="AP546" t="s">
        <v>10300</v>
      </c>
      <c r="AQ546" t="s">
        <v>74</v>
      </c>
      <c r="AR546" t="s">
        <v>10301</v>
      </c>
      <c r="AS546" t="s">
        <v>10302</v>
      </c>
      <c r="AT546" t="s">
        <v>3746</v>
      </c>
      <c r="AU546">
        <v>2021</v>
      </c>
      <c r="AV546">
        <v>568</v>
      </c>
      <c r="AW546" t="s">
        <v>74</v>
      </c>
      <c r="AX546" t="s">
        <v>74</v>
      </c>
      <c r="AY546" t="s">
        <v>74</v>
      </c>
      <c r="AZ546" t="s">
        <v>74</v>
      </c>
      <c r="BA546" t="s">
        <v>74</v>
      </c>
      <c r="BB546" t="s">
        <v>74</v>
      </c>
      <c r="BC546" t="s">
        <v>74</v>
      </c>
      <c r="BD546">
        <v>117033</v>
      </c>
      <c r="BE546" t="s">
        <v>10807</v>
      </c>
      <c r="BF546" t="str">
        <f>HYPERLINK("http://dx.doi.org/10.1016/j.epsl.2021.117033","http://dx.doi.org/10.1016/j.epsl.2021.117033")</f>
        <v>http://dx.doi.org/10.1016/j.epsl.2021.117033</v>
      </c>
      <c r="BG546" t="s">
        <v>74</v>
      </c>
      <c r="BH546" t="s">
        <v>8134</v>
      </c>
      <c r="BI546">
        <v>11</v>
      </c>
      <c r="BJ546" t="s">
        <v>289</v>
      </c>
      <c r="BK546" t="s">
        <v>128</v>
      </c>
      <c r="BL546" t="s">
        <v>289</v>
      </c>
      <c r="BM546" t="s">
        <v>10304</v>
      </c>
      <c r="BN546" t="s">
        <v>74</v>
      </c>
      <c r="BO546" t="s">
        <v>8570</v>
      </c>
      <c r="BP546" t="s">
        <v>74</v>
      </c>
      <c r="BQ546" t="s">
        <v>74</v>
      </c>
      <c r="BR546" t="s">
        <v>102</v>
      </c>
      <c r="BS546" t="s">
        <v>10808</v>
      </c>
      <c r="BT546" t="str">
        <f>HYPERLINK("https%3A%2F%2Fwww.webofscience.com%2Fwos%2Fwoscc%2Ffull-record%2FWOS:000667964800016","View Full Record in Web of Science")</f>
        <v>View Full Record in Web of Science</v>
      </c>
    </row>
    <row r="547" spans="1:72" x14ac:dyDescent="0.15">
      <c r="A547" t="s">
        <v>72</v>
      </c>
      <c r="B547" t="s">
        <v>10809</v>
      </c>
      <c r="C547" t="s">
        <v>74</v>
      </c>
      <c r="D547" t="s">
        <v>74</v>
      </c>
      <c r="E547" t="s">
        <v>74</v>
      </c>
      <c r="F547" t="s">
        <v>10810</v>
      </c>
      <c r="G547" t="s">
        <v>74</v>
      </c>
      <c r="H547" t="s">
        <v>74</v>
      </c>
      <c r="I547" t="s">
        <v>10811</v>
      </c>
      <c r="J547" t="s">
        <v>4399</v>
      </c>
      <c r="K547" t="s">
        <v>74</v>
      </c>
      <c r="L547" t="s">
        <v>74</v>
      </c>
      <c r="M547" t="s">
        <v>78</v>
      </c>
      <c r="N547" t="s">
        <v>79</v>
      </c>
      <c r="O547" t="s">
        <v>74</v>
      </c>
      <c r="P547" t="s">
        <v>74</v>
      </c>
      <c r="Q547" t="s">
        <v>74</v>
      </c>
      <c r="R547" t="s">
        <v>74</v>
      </c>
      <c r="S547" t="s">
        <v>74</v>
      </c>
      <c r="T547" t="s">
        <v>10812</v>
      </c>
      <c r="U547" t="s">
        <v>10813</v>
      </c>
      <c r="V547" t="s">
        <v>10814</v>
      </c>
      <c r="W547" t="s">
        <v>10815</v>
      </c>
      <c r="X547" t="s">
        <v>10816</v>
      </c>
      <c r="Y547" t="s">
        <v>10817</v>
      </c>
      <c r="Z547" t="s">
        <v>10818</v>
      </c>
      <c r="AA547" t="s">
        <v>10819</v>
      </c>
      <c r="AB547" t="s">
        <v>10820</v>
      </c>
      <c r="AC547" t="s">
        <v>10821</v>
      </c>
      <c r="AD547" t="s">
        <v>10822</v>
      </c>
      <c r="AE547" t="s">
        <v>10823</v>
      </c>
      <c r="AF547" t="s">
        <v>74</v>
      </c>
      <c r="AG547">
        <v>53</v>
      </c>
      <c r="AH547">
        <v>7</v>
      </c>
      <c r="AI547">
        <v>7</v>
      </c>
      <c r="AJ547">
        <v>3</v>
      </c>
      <c r="AK547">
        <v>46</v>
      </c>
      <c r="AL547" t="s">
        <v>119</v>
      </c>
      <c r="AM547" t="s">
        <v>120</v>
      </c>
      <c r="AN547" t="s">
        <v>121</v>
      </c>
      <c r="AO547" t="s">
        <v>4412</v>
      </c>
      <c r="AP547" t="s">
        <v>74</v>
      </c>
      <c r="AQ547" t="s">
        <v>74</v>
      </c>
      <c r="AR547" t="s">
        <v>4413</v>
      </c>
      <c r="AS547" t="s">
        <v>4414</v>
      </c>
      <c r="AT547" t="s">
        <v>10824</v>
      </c>
      <c r="AU547">
        <v>2021</v>
      </c>
      <c r="AV547">
        <v>12</v>
      </c>
      <c r="AW547" t="s">
        <v>74</v>
      </c>
      <c r="AX547" t="s">
        <v>74</v>
      </c>
      <c r="AY547" t="s">
        <v>74</v>
      </c>
      <c r="AZ547" t="s">
        <v>74</v>
      </c>
      <c r="BA547" t="s">
        <v>74</v>
      </c>
      <c r="BB547" t="s">
        <v>74</v>
      </c>
      <c r="BC547" t="s">
        <v>74</v>
      </c>
      <c r="BD547">
        <v>688202</v>
      </c>
      <c r="BE547" t="s">
        <v>10825</v>
      </c>
      <c r="BF547" t="str">
        <f>HYPERLINK("http://dx.doi.org/10.3389/fmicb.2021.688202","http://dx.doi.org/10.3389/fmicb.2021.688202")</f>
        <v>http://dx.doi.org/10.3389/fmicb.2021.688202</v>
      </c>
      <c r="BG547" t="s">
        <v>74</v>
      </c>
      <c r="BH547" t="s">
        <v>74</v>
      </c>
      <c r="BI547">
        <v>12</v>
      </c>
      <c r="BJ547" t="s">
        <v>1499</v>
      </c>
      <c r="BK547" t="s">
        <v>128</v>
      </c>
      <c r="BL547" t="s">
        <v>1499</v>
      </c>
      <c r="BM547" t="s">
        <v>10826</v>
      </c>
      <c r="BN547">
        <v>34177873</v>
      </c>
      <c r="BO547" t="s">
        <v>311</v>
      </c>
      <c r="BP547" t="s">
        <v>74</v>
      </c>
      <c r="BQ547" t="s">
        <v>74</v>
      </c>
      <c r="BR547" t="s">
        <v>102</v>
      </c>
      <c r="BS547" t="s">
        <v>10827</v>
      </c>
      <c r="BT547" t="str">
        <f>HYPERLINK("https%3A%2F%2Fwww.webofscience.com%2Fwos%2Fwoscc%2Ffull-record%2FWOS:000665736400001","View Full Record in Web of Science")</f>
        <v>View Full Record in Web of Science</v>
      </c>
    </row>
    <row r="548" spans="1:72" x14ac:dyDescent="0.15">
      <c r="A548" t="s">
        <v>72</v>
      </c>
      <c r="B548" t="s">
        <v>10828</v>
      </c>
      <c r="C548" t="s">
        <v>74</v>
      </c>
      <c r="D548" t="s">
        <v>74</v>
      </c>
      <c r="E548" t="s">
        <v>74</v>
      </c>
      <c r="F548" t="s">
        <v>10829</v>
      </c>
      <c r="G548" t="s">
        <v>74</v>
      </c>
      <c r="H548" t="s">
        <v>74</v>
      </c>
      <c r="I548" t="s">
        <v>10830</v>
      </c>
      <c r="J548" t="s">
        <v>3310</v>
      </c>
      <c r="K548" t="s">
        <v>74</v>
      </c>
      <c r="L548" t="s">
        <v>74</v>
      </c>
      <c r="M548" t="s">
        <v>78</v>
      </c>
      <c r="N548" t="s">
        <v>79</v>
      </c>
      <c r="O548" t="s">
        <v>74</v>
      </c>
      <c r="P548" t="s">
        <v>74</v>
      </c>
      <c r="Q548" t="s">
        <v>74</v>
      </c>
      <c r="R548" t="s">
        <v>74</v>
      </c>
      <c r="S548" t="s">
        <v>74</v>
      </c>
      <c r="T548" t="s">
        <v>74</v>
      </c>
      <c r="U548" t="s">
        <v>10831</v>
      </c>
      <c r="V548" t="s">
        <v>10832</v>
      </c>
      <c r="W548" t="s">
        <v>10833</v>
      </c>
      <c r="X548" t="s">
        <v>10834</v>
      </c>
      <c r="Y548" t="s">
        <v>10835</v>
      </c>
      <c r="Z548" t="s">
        <v>10836</v>
      </c>
      <c r="AA548" t="s">
        <v>10837</v>
      </c>
      <c r="AB548" t="s">
        <v>10838</v>
      </c>
      <c r="AC548" t="s">
        <v>10839</v>
      </c>
      <c r="AD548" t="s">
        <v>10840</v>
      </c>
      <c r="AE548" t="s">
        <v>10841</v>
      </c>
      <c r="AF548" t="s">
        <v>74</v>
      </c>
      <c r="AG548">
        <v>140</v>
      </c>
      <c r="AH548">
        <v>6</v>
      </c>
      <c r="AI548">
        <v>6</v>
      </c>
      <c r="AJ548">
        <v>4</v>
      </c>
      <c r="AK548">
        <v>26</v>
      </c>
      <c r="AL548" t="s">
        <v>143</v>
      </c>
      <c r="AM548" t="s">
        <v>144</v>
      </c>
      <c r="AN548" t="s">
        <v>145</v>
      </c>
      <c r="AO548" t="s">
        <v>3322</v>
      </c>
      <c r="AP548" t="s">
        <v>3323</v>
      </c>
      <c r="AQ548" t="s">
        <v>74</v>
      </c>
      <c r="AR548" t="s">
        <v>3310</v>
      </c>
      <c r="AS548" t="s">
        <v>3324</v>
      </c>
      <c r="AT548" t="s">
        <v>10824</v>
      </c>
      <c r="AU548">
        <v>2021</v>
      </c>
      <c r="AV548">
        <v>18</v>
      </c>
      <c r="AW548">
        <v>11</v>
      </c>
      <c r="AX548" t="s">
        <v>74</v>
      </c>
      <c r="AY548" t="s">
        <v>74</v>
      </c>
      <c r="AZ548" t="s">
        <v>74</v>
      </c>
      <c r="BA548" t="s">
        <v>74</v>
      </c>
      <c r="BB548">
        <v>3485</v>
      </c>
      <c r="BC548">
        <v>3504</v>
      </c>
      <c r="BD548" t="s">
        <v>74</v>
      </c>
      <c r="BE548" t="s">
        <v>10842</v>
      </c>
      <c r="BF548" t="str">
        <f>HYPERLINK("http://dx.doi.org/10.5194/bg-18-3485-2021","http://dx.doi.org/10.5194/bg-18-3485-2021")</f>
        <v>http://dx.doi.org/10.5194/bg-18-3485-2021</v>
      </c>
      <c r="BG548" t="s">
        <v>74</v>
      </c>
      <c r="BH548" t="s">
        <v>74</v>
      </c>
      <c r="BI548">
        <v>20</v>
      </c>
      <c r="BJ548" t="s">
        <v>3326</v>
      </c>
      <c r="BK548" t="s">
        <v>128</v>
      </c>
      <c r="BL548" t="s">
        <v>3327</v>
      </c>
      <c r="BM548" t="s">
        <v>10843</v>
      </c>
      <c r="BN548" t="s">
        <v>74</v>
      </c>
      <c r="BO548" t="s">
        <v>10844</v>
      </c>
      <c r="BP548" t="s">
        <v>74</v>
      </c>
      <c r="BQ548" t="s">
        <v>74</v>
      </c>
      <c r="BR548" t="s">
        <v>102</v>
      </c>
      <c r="BS548" t="s">
        <v>10845</v>
      </c>
      <c r="BT548" t="str">
        <f>HYPERLINK("https%3A%2F%2Fwww.webofscience.com%2Fwos%2Fwoscc%2Ffull-record%2FWOS:000662106800001","View Full Record in Web of Science")</f>
        <v>View Full Record in Web of Science</v>
      </c>
    </row>
    <row r="549" spans="1:72" x14ac:dyDescent="0.15">
      <c r="A549" t="s">
        <v>72</v>
      </c>
      <c r="B549" t="s">
        <v>10846</v>
      </c>
      <c r="C549" t="s">
        <v>74</v>
      </c>
      <c r="D549" t="s">
        <v>74</v>
      </c>
      <c r="E549" t="s">
        <v>74</v>
      </c>
      <c r="F549" t="s">
        <v>10847</v>
      </c>
      <c r="G549" t="s">
        <v>74</v>
      </c>
      <c r="H549" t="s">
        <v>74</v>
      </c>
      <c r="I549" t="s">
        <v>10848</v>
      </c>
      <c r="J549" t="s">
        <v>107</v>
      </c>
      <c r="K549" t="s">
        <v>74</v>
      </c>
      <c r="L549" t="s">
        <v>74</v>
      </c>
      <c r="M549" t="s">
        <v>78</v>
      </c>
      <c r="N549" t="s">
        <v>79</v>
      </c>
      <c r="O549" t="s">
        <v>74</v>
      </c>
      <c r="P549" t="s">
        <v>74</v>
      </c>
      <c r="Q549" t="s">
        <v>74</v>
      </c>
      <c r="R549" t="s">
        <v>74</v>
      </c>
      <c r="S549" t="s">
        <v>74</v>
      </c>
      <c r="T549" t="s">
        <v>10849</v>
      </c>
      <c r="U549" t="s">
        <v>10850</v>
      </c>
      <c r="V549" t="s">
        <v>10851</v>
      </c>
      <c r="W549" t="s">
        <v>10852</v>
      </c>
      <c r="X549" t="s">
        <v>10853</v>
      </c>
      <c r="Y549" t="s">
        <v>10854</v>
      </c>
      <c r="Z549" t="s">
        <v>10855</v>
      </c>
      <c r="AA549" t="s">
        <v>10856</v>
      </c>
      <c r="AB549" t="s">
        <v>10857</v>
      </c>
      <c r="AC549" t="s">
        <v>10858</v>
      </c>
      <c r="AD549" t="s">
        <v>10859</v>
      </c>
      <c r="AE549" t="s">
        <v>10860</v>
      </c>
      <c r="AF549" t="s">
        <v>74</v>
      </c>
      <c r="AG549">
        <v>48</v>
      </c>
      <c r="AH549">
        <v>5</v>
      </c>
      <c r="AI549">
        <v>7</v>
      </c>
      <c r="AJ549">
        <v>3</v>
      </c>
      <c r="AK549">
        <v>39</v>
      </c>
      <c r="AL549" t="s">
        <v>119</v>
      </c>
      <c r="AM549" t="s">
        <v>120</v>
      </c>
      <c r="AN549" t="s">
        <v>121</v>
      </c>
      <c r="AO549" t="s">
        <v>74</v>
      </c>
      <c r="AP549" t="s">
        <v>122</v>
      </c>
      <c r="AQ549" t="s">
        <v>74</v>
      </c>
      <c r="AR549" t="s">
        <v>123</v>
      </c>
      <c r="AS549" t="s">
        <v>124</v>
      </c>
      <c r="AT549" t="s">
        <v>10824</v>
      </c>
      <c r="AU549">
        <v>2021</v>
      </c>
      <c r="AV549">
        <v>8</v>
      </c>
      <c r="AW549" t="s">
        <v>74</v>
      </c>
      <c r="AX549" t="s">
        <v>74</v>
      </c>
      <c r="AY549" t="s">
        <v>74</v>
      </c>
      <c r="AZ549" t="s">
        <v>74</v>
      </c>
      <c r="BA549" t="s">
        <v>74</v>
      </c>
      <c r="BB549" t="s">
        <v>74</v>
      </c>
      <c r="BC549" t="s">
        <v>74</v>
      </c>
      <c r="BD549">
        <v>666482</v>
      </c>
      <c r="BE549" t="s">
        <v>10861</v>
      </c>
      <c r="BF549" t="str">
        <f>HYPERLINK("http://dx.doi.org/10.3389/fmars.2021.666482","http://dx.doi.org/10.3389/fmars.2021.666482")</f>
        <v>http://dx.doi.org/10.3389/fmars.2021.666482</v>
      </c>
      <c r="BG549" t="s">
        <v>74</v>
      </c>
      <c r="BH549" t="s">
        <v>74</v>
      </c>
      <c r="BI549">
        <v>13</v>
      </c>
      <c r="BJ549" t="s">
        <v>127</v>
      </c>
      <c r="BK549" t="s">
        <v>128</v>
      </c>
      <c r="BL549" t="s">
        <v>129</v>
      </c>
      <c r="BM549" t="s">
        <v>10862</v>
      </c>
      <c r="BN549" t="s">
        <v>74</v>
      </c>
      <c r="BO549" t="s">
        <v>486</v>
      </c>
      <c r="BP549" t="s">
        <v>74</v>
      </c>
      <c r="BQ549" t="s">
        <v>74</v>
      </c>
      <c r="BR549" t="s">
        <v>102</v>
      </c>
      <c r="BS549" t="s">
        <v>10863</v>
      </c>
      <c r="BT549" t="str">
        <f>HYPERLINK("https%3A%2F%2Fwww.webofscience.com%2Fwos%2Fwoscc%2Ffull-record%2FWOS:000663423600001","View Full Record in Web of Science")</f>
        <v>View Full Record in Web of Science</v>
      </c>
    </row>
    <row r="550" spans="1:72" x14ac:dyDescent="0.15">
      <c r="A550" t="s">
        <v>72</v>
      </c>
      <c r="B550" t="s">
        <v>10864</v>
      </c>
      <c r="C550" t="s">
        <v>74</v>
      </c>
      <c r="D550" t="s">
        <v>74</v>
      </c>
      <c r="E550" t="s">
        <v>74</v>
      </c>
      <c r="F550" t="s">
        <v>10865</v>
      </c>
      <c r="G550" t="s">
        <v>74</v>
      </c>
      <c r="H550" t="s">
        <v>74</v>
      </c>
      <c r="I550" t="s">
        <v>10866</v>
      </c>
      <c r="J550" t="s">
        <v>937</v>
      </c>
      <c r="K550" t="s">
        <v>74</v>
      </c>
      <c r="L550" t="s">
        <v>74</v>
      </c>
      <c r="M550" t="s">
        <v>78</v>
      </c>
      <c r="N550" t="s">
        <v>79</v>
      </c>
      <c r="O550" t="s">
        <v>74</v>
      </c>
      <c r="P550" t="s">
        <v>74</v>
      </c>
      <c r="Q550" t="s">
        <v>74</v>
      </c>
      <c r="R550" t="s">
        <v>74</v>
      </c>
      <c r="S550" t="s">
        <v>74</v>
      </c>
      <c r="T550" t="s">
        <v>74</v>
      </c>
      <c r="U550" t="s">
        <v>10867</v>
      </c>
      <c r="V550" t="s">
        <v>10868</v>
      </c>
      <c r="W550" t="s">
        <v>10869</v>
      </c>
      <c r="X550" t="s">
        <v>10870</v>
      </c>
      <c r="Y550" t="s">
        <v>10871</v>
      </c>
      <c r="Z550" t="s">
        <v>10872</v>
      </c>
      <c r="AA550" t="s">
        <v>10873</v>
      </c>
      <c r="AB550" t="s">
        <v>10874</v>
      </c>
      <c r="AC550" t="s">
        <v>10875</v>
      </c>
      <c r="AD550" t="s">
        <v>10876</v>
      </c>
      <c r="AE550" t="s">
        <v>10877</v>
      </c>
      <c r="AF550" t="s">
        <v>74</v>
      </c>
      <c r="AG550">
        <v>48</v>
      </c>
      <c r="AH550">
        <v>4</v>
      </c>
      <c r="AI550">
        <v>4</v>
      </c>
      <c r="AJ550">
        <v>0</v>
      </c>
      <c r="AK550">
        <v>11</v>
      </c>
      <c r="AL550" t="s">
        <v>197</v>
      </c>
      <c r="AM550" t="s">
        <v>198</v>
      </c>
      <c r="AN550" t="s">
        <v>199</v>
      </c>
      <c r="AO550" t="s">
        <v>945</v>
      </c>
      <c r="AP550" t="s">
        <v>946</v>
      </c>
      <c r="AQ550" t="s">
        <v>74</v>
      </c>
      <c r="AR550" t="s">
        <v>947</v>
      </c>
      <c r="AS550" t="s">
        <v>948</v>
      </c>
      <c r="AT550" t="s">
        <v>10878</v>
      </c>
      <c r="AU550">
        <v>2021</v>
      </c>
      <c r="AV550">
        <v>56</v>
      </c>
      <c r="AW550">
        <v>5</v>
      </c>
      <c r="AX550" t="s">
        <v>74</v>
      </c>
      <c r="AY550" t="s">
        <v>74</v>
      </c>
      <c r="AZ550" t="s">
        <v>74</v>
      </c>
      <c r="BA550" t="s">
        <v>74</v>
      </c>
      <c r="BB550">
        <v>1005</v>
      </c>
      <c r="BC550">
        <v>1023</v>
      </c>
      <c r="BD550" t="s">
        <v>74</v>
      </c>
      <c r="BE550" t="s">
        <v>10879</v>
      </c>
      <c r="BF550" t="str">
        <f>HYPERLINK("http://dx.doi.org/10.1111/maps.13661","http://dx.doi.org/10.1111/maps.13661")</f>
        <v>http://dx.doi.org/10.1111/maps.13661</v>
      </c>
      <c r="BG550" t="s">
        <v>74</v>
      </c>
      <c r="BH550" t="s">
        <v>8134</v>
      </c>
      <c r="BI550">
        <v>19</v>
      </c>
      <c r="BJ550" t="s">
        <v>289</v>
      </c>
      <c r="BK550" t="s">
        <v>128</v>
      </c>
      <c r="BL550" t="s">
        <v>289</v>
      </c>
      <c r="BM550" t="s">
        <v>10880</v>
      </c>
      <c r="BN550" t="s">
        <v>74</v>
      </c>
      <c r="BO550" t="s">
        <v>661</v>
      </c>
      <c r="BP550" t="s">
        <v>74</v>
      </c>
      <c r="BQ550" t="s">
        <v>74</v>
      </c>
      <c r="BR550" t="s">
        <v>102</v>
      </c>
      <c r="BS550" t="s">
        <v>10881</v>
      </c>
      <c r="BT550" t="str">
        <f>HYPERLINK("https%3A%2F%2Fwww.webofscience.com%2Fwos%2Fwoscc%2Ffull-record%2FWOS:000659949100001","View Full Record in Web of Science")</f>
        <v>View Full Record in Web of Science</v>
      </c>
    </row>
    <row r="551" spans="1:72" x14ac:dyDescent="0.15">
      <c r="A551" t="s">
        <v>72</v>
      </c>
      <c r="B551" t="s">
        <v>10882</v>
      </c>
      <c r="C551" t="s">
        <v>74</v>
      </c>
      <c r="D551" t="s">
        <v>74</v>
      </c>
      <c r="E551" t="s">
        <v>74</v>
      </c>
      <c r="F551" t="s">
        <v>10883</v>
      </c>
      <c r="G551" t="s">
        <v>74</v>
      </c>
      <c r="H551" t="s">
        <v>74</v>
      </c>
      <c r="I551" t="s">
        <v>10884</v>
      </c>
      <c r="J551" t="s">
        <v>10885</v>
      </c>
      <c r="K551" t="s">
        <v>74</v>
      </c>
      <c r="L551" t="s">
        <v>74</v>
      </c>
      <c r="M551" t="s">
        <v>78</v>
      </c>
      <c r="N551" t="s">
        <v>79</v>
      </c>
      <c r="O551" t="s">
        <v>74</v>
      </c>
      <c r="P551" t="s">
        <v>74</v>
      </c>
      <c r="Q551" t="s">
        <v>74</v>
      </c>
      <c r="R551" t="s">
        <v>74</v>
      </c>
      <c r="S551" t="s">
        <v>74</v>
      </c>
      <c r="T551" t="s">
        <v>10886</v>
      </c>
      <c r="U551" t="s">
        <v>10887</v>
      </c>
      <c r="V551" t="s">
        <v>10888</v>
      </c>
      <c r="W551" t="s">
        <v>10889</v>
      </c>
      <c r="X551" t="s">
        <v>10890</v>
      </c>
      <c r="Y551" t="s">
        <v>10891</v>
      </c>
      <c r="Z551" t="s">
        <v>10892</v>
      </c>
      <c r="AA551" t="s">
        <v>10893</v>
      </c>
      <c r="AB551" t="s">
        <v>10894</v>
      </c>
      <c r="AC551" t="s">
        <v>10895</v>
      </c>
      <c r="AD551" t="s">
        <v>10896</v>
      </c>
      <c r="AE551" t="s">
        <v>10897</v>
      </c>
      <c r="AF551" t="s">
        <v>74</v>
      </c>
      <c r="AG551">
        <v>137</v>
      </c>
      <c r="AH551">
        <v>13</v>
      </c>
      <c r="AI551">
        <v>13</v>
      </c>
      <c r="AJ551">
        <v>2</v>
      </c>
      <c r="AK551">
        <v>12</v>
      </c>
      <c r="AL551" t="s">
        <v>10075</v>
      </c>
      <c r="AM551" t="s">
        <v>10076</v>
      </c>
      <c r="AN551" t="s">
        <v>10077</v>
      </c>
      <c r="AO551" t="s">
        <v>10898</v>
      </c>
      <c r="AP551" t="s">
        <v>10899</v>
      </c>
      <c r="AQ551" t="s">
        <v>74</v>
      </c>
      <c r="AR551" t="s">
        <v>10885</v>
      </c>
      <c r="AS551" t="s">
        <v>10900</v>
      </c>
      <c r="AT551" t="s">
        <v>430</v>
      </c>
      <c r="AU551">
        <v>2021</v>
      </c>
      <c r="AV551">
        <v>25</v>
      </c>
      <c r="AW551">
        <v>4</v>
      </c>
      <c r="AX551" t="s">
        <v>74</v>
      </c>
      <c r="AY551" t="s">
        <v>74</v>
      </c>
      <c r="AZ551" t="s">
        <v>74</v>
      </c>
      <c r="BA551" t="s">
        <v>74</v>
      </c>
      <c r="BB551">
        <v>369</v>
      </c>
      <c r="BC551">
        <v>384</v>
      </c>
      <c r="BD551" t="s">
        <v>74</v>
      </c>
      <c r="BE551" t="s">
        <v>10901</v>
      </c>
      <c r="BF551" t="str">
        <f>HYPERLINK("http://dx.doi.org/10.1007/s00792-021-01235-y","http://dx.doi.org/10.1007/s00792-021-01235-y")</f>
        <v>http://dx.doi.org/10.1007/s00792-021-01235-y</v>
      </c>
      <c r="BG551" t="s">
        <v>74</v>
      </c>
      <c r="BH551" t="s">
        <v>8134</v>
      </c>
      <c r="BI551">
        <v>16</v>
      </c>
      <c r="BJ551" t="s">
        <v>10902</v>
      </c>
      <c r="BK551" t="s">
        <v>128</v>
      </c>
      <c r="BL551" t="s">
        <v>10902</v>
      </c>
      <c r="BM551" t="s">
        <v>10903</v>
      </c>
      <c r="BN551">
        <v>34117569</v>
      </c>
      <c r="BO551" t="s">
        <v>74</v>
      </c>
      <c r="BP551" t="s">
        <v>74</v>
      </c>
      <c r="BQ551" t="s">
        <v>74</v>
      </c>
      <c r="BR551" t="s">
        <v>102</v>
      </c>
      <c r="BS551" t="s">
        <v>10904</v>
      </c>
      <c r="BT551" t="str">
        <f>HYPERLINK("https%3A%2F%2Fwww.webofscience.com%2Fwos%2Fwoscc%2Ffull-record%2FWOS:000660467900001","View Full Record in Web of Science")</f>
        <v>View Full Record in Web of Science</v>
      </c>
    </row>
    <row r="552" spans="1:72" x14ac:dyDescent="0.15">
      <c r="A552" t="s">
        <v>72</v>
      </c>
      <c r="B552" t="s">
        <v>10905</v>
      </c>
      <c r="C552" t="s">
        <v>74</v>
      </c>
      <c r="D552" t="s">
        <v>74</v>
      </c>
      <c r="E552" t="s">
        <v>74</v>
      </c>
      <c r="F552" t="s">
        <v>10906</v>
      </c>
      <c r="G552" t="s">
        <v>74</v>
      </c>
      <c r="H552" t="s">
        <v>74</v>
      </c>
      <c r="I552" t="s">
        <v>10907</v>
      </c>
      <c r="J552" t="s">
        <v>5403</v>
      </c>
      <c r="K552" t="s">
        <v>74</v>
      </c>
      <c r="L552" t="s">
        <v>74</v>
      </c>
      <c r="M552" t="s">
        <v>78</v>
      </c>
      <c r="N552" t="s">
        <v>79</v>
      </c>
      <c r="O552" t="s">
        <v>74</v>
      </c>
      <c r="P552" t="s">
        <v>74</v>
      </c>
      <c r="Q552" t="s">
        <v>74</v>
      </c>
      <c r="R552" t="s">
        <v>74</v>
      </c>
      <c r="S552" t="s">
        <v>74</v>
      </c>
      <c r="T552" t="s">
        <v>10908</v>
      </c>
      <c r="U552" t="s">
        <v>10909</v>
      </c>
      <c r="V552" t="s">
        <v>10910</v>
      </c>
      <c r="W552" t="s">
        <v>10911</v>
      </c>
      <c r="X552" t="s">
        <v>7116</v>
      </c>
      <c r="Y552" t="s">
        <v>10912</v>
      </c>
      <c r="Z552" t="s">
        <v>10913</v>
      </c>
      <c r="AA552" t="s">
        <v>10914</v>
      </c>
      <c r="AB552" t="s">
        <v>10915</v>
      </c>
      <c r="AC552" t="s">
        <v>10916</v>
      </c>
      <c r="AD552" t="s">
        <v>10917</v>
      </c>
      <c r="AE552" t="s">
        <v>10918</v>
      </c>
      <c r="AF552" t="s">
        <v>74</v>
      </c>
      <c r="AG552">
        <v>91</v>
      </c>
      <c r="AH552">
        <v>21</v>
      </c>
      <c r="AI552">
        <v>21</v>
      </c>
      <c r="AJ552">
        <v>2</v>
      </c>
      <c r="AK552">
        <v>11</v>
      </c>
      <c r="AL552" t="s">
        <v>2190</v>
      </c>
      <c r="AM552" t="s">
        <v>228</v>
      </c>
      <c r="AN552" t="s">
        <v>2191</v>
      </c>
      <c r="AO552" t="s">
        <v>5416</v>
      </c>
      <c r="AP552" t="s">
        <v>5417</v>
      </c>
      <c r="AQ552" t="s">
        <v>74</v>
      </c>
      <c r="AR552" t="s">
        <v>5418</v>
      </c>
      <c r="AS552" t="s">
        <v>5419</v>
      </c>
      <c r="AT552" t="s">
        <v>402</v>
      </c>
      <c r="AU552">
        <v>2021</v>
      </c>
      <c r="AV552">
        <v>78</v>
      </c>
      <c r="AW552">
        <v>6</v>
      </c>
      <c r="AX552" t="s">
        <v>74</v>
      </c>
      <c r="AY552" t="s">
        <v>74</v>
      </c>
      <c r="AZ552" t="s">
        <v>74</v>
      </c>
      <c r="BA552" t="s">
        <v>74</v>
      </c>
      <c r="BB552">
        <v>2065</v>
      </c>
      <c r="BC552">
        <v>2081</v>
      </c>
      <c r="BD552" t="s">
        <v>74</v>
      </c>
      <c r="BE552" t="s">
        <v>10919</v>
      </c>
      <c r="BF552" t="str">
        <f>HYPERLINK("http://dx.doi.org/10.1093/icesjms/fsab092","http://dx.doi.org/10.1093/icesjms/fsab092")</f>
        <v>http://dx.doi.org/10.1093/icesjms/fsab092</v>
      </c>
      <c r="BG552" t="s">
        <v>74</v>
      </c>
      <c r="BH552" t="s">
        <v>8134</v>
      </c>
      <c r="BI552">
        <v>17</v>
      </c>
      <c r="BJ552" t="s">
        <v>2856</v>
      </c>
      <c r="BK552" t="s">
        <v>128</v>
      </c>
      <c r="BL552" t="s">
        <v>2856</v>
      </c>
      <c r="BM552" t="s">
        <v>9717</v>
      </c>
      <c r="BN552" t="s">
        <v>74</v>
      </c>
      <c r="BO552" t="s">
        <v>8570</v>
      </c>
      <c r="BP552" t="s">
        <v>74</v>
      </c>
      <c r="BQ552" t="s">
        <v>74</v>
      </c>
      <c r="BR552" t="s">
        <v>102</v>
      </c>
      <c r="BS552" t="s">
        <v>10920</v>
      </c>
      <c r="BT552" t="str">
        <f>HYPERLINK("https%3A%2F%2Fwww.webofscience.com%2Fwos%2Fwoscc%2Ffull-record%2FWOS:000705457300011","View Full Record in Web of Science")</f>
        <v>View Full Record in Web of Science</v>
      </c>
    </row>
    <row r="553" spans="1:72" x14ac:dyDescent="0.15">
      <c r="A553" t="s">
        <v>72</v>
      </c>
      <c r="B553" t="s">
        <v>10921</v>
      </c>
      <c r="C553" t="s">
        <v>74</v>
      </c>
      <c r="D553" t="s">
        <v>74</v>
      </c>
      <c r="E553" t="s">
        <v>74</v>
      </c>
      <c r="F553" t="s">
        <v>10922</v>
      </c>
      <c r="G553" t="s">
        <v>74</v>
      </c>
      <c r="H553" t="s">
        <v>74</v>
      </c>
      <c r="I553" t="s">
        <v>10923</v>
      </c>
      <c r="J553" t="s">
        <v>5154</v>
      </c>
      <c r="K553" t="s">
        <v>74</v>
      </c>
      <c r="L553" t="s">
        <v>74</v>
      </c>
      <c r="M553" t="s">
        <v>78</v>
      </c>
      <c r="N553" t="s">
        <v>79</v>
      </c>
      <c r="O553" t="s">
        <v>74</v>
      </c>
      <c r="P553" t="s">
        <v>74</v>
      </c>
      <c r="Q553" t="s">
        <v>74</v>
      </c>
      <c r="R553" t="s">
        <v>74</v>
      </c>
      <c r="S553" t="s">
        <v>74</v>
      </c>
      <c r="T553" t="s">
        <v>10924</v>
      </c>
      <c r="U553" t="s">
        <v>10925</v>
      </c>
      <c r="V553" t="s">
        <v>10926</v>
      </c>
      <c r="W553" t="s">
        <v>10927</v>
      </c>
      <c r="X553" t="s">
        <v>10928</v>
      </c>
      <c r="Y553" t="s">
        <v>10929</v>
      </c>
      <c r="Z553" t="s">
        <v>10930</v>
      </c>
      <c r="AA553" t="s">
        <v>10931</v>
      </c>
      <c r="AB553" t="s">
        <v>10932</v>
      </c>
      <c r="AC553" t="s">
        <v>74</v>
      </c>
      <c r="AD553" t="s">
        <v>74</v>
      </c>
      <c r="AE553" t="s">
        <v>74</v>
      </c>
      <c r="AF553" t="s">
        <v>74</v>
      </c>
      <c r="AG553">
        <v>79</v>
      </c>
      <c r="AH553">
        <v>0</v>
      </c>
      <c r="AI553">
        <v>0</v>
      </c>
      <c r="AJ553">
        <v>0</v>
      </c>
      <c r="AK553">
        <v>8</v>
      </c>
      <c r="AL553" t="s">
        <v>5166</v>
      </c>
      <c r="AM553" t="s">
        <v>5167</v>
      </c>
      <c r="AN553" t="s">
        <v>5168</v>
      </c>
      <c r="AO553" t="s">
        <v>5169</v>
      </c>
      <c r="AP553" t="s">
        <v>5170</v>
      </c>
      <c r="AQ553" t="s">
        <v>74</v>
      </c>
      <c r="AR553" t="s">
        <v>5171</v>
      </c>
      <c r="AS553" t="s">
        <v>5172</v>
      </c>
      <c r="AT553" t="s">
        <v>10933</v>
      </c>
      <c r="AU553">
        <v>2021</v>
      </c>
      <c r="AV553">
        <v>667</v>
      </c>
      <c r="AW553" t="s">
        <v>74</v>
      </c>
      <c r="AX553" t="s">
        <v>74</v>
      </c>
      <c r="AY553" t="s">
        <v>74</v>
      </c>
      <c r="AZ553" t="s">
        <v>74</v>
      </c>
      <c r="BA553" t="s">
        <v>74</v>
      </c>
      <c r="BB553">
        <v>161</v>
      </c>
      <c r="BC553">
        <v>175</v>
      </c>
      <c r="BD553" t="s">
        <v>74</v>
      </c>
      <c r="BE553" t="s">
        <v>10934</v>
      </c>
      <c r="BF553" t="str">
        <f>HYPERLINK("http://dx.doi.org/10.3354/meps13666","http://dx.doi.org/10.3354/meps13666")</f>
        <v>http://dx.doi.org/10.3354/meps13666</v>
      </c>
      <c r="BG553" t="s">
        <v>74</v>
      </c>
      <c r="BH553" t="s">
        <v>74</v>
      </c>
      <c r="BI553">
        <v>15</v>
      </c>
      <c r="BJ553" t="s">
        <v>5174</v>
      </c>
      <c r="BK553" t="s">
        <v>128</v>
      </c>
      <c r="BL553" t="s">
        <v>5175</v>
      </c>
      <c r="BM553" t="s">
        <v>10935</v>
      </c>
      <c r="BN553" t="s">
        <v>74</v>
      </c>
      <c r="BO553" t="s">
        <v>74</v>
      </c>
      <c r="BP553" t="s">
        <v>74</v>
      </c>
      <c r="BQ553" t="s">
        <v>74</v>
      </c>
      <c r="BR553" t="s">
        <v>102</v>
      </c>
      <c r="BS553" t="s">
        <v>10936</v>
      </c>
      <c r="BT553" t="str">
        <f>HYPERLINK("https%3A%2F%2Fwww.webofscience.com%2Fwos%2Fwoscc%2Ffull-record%2FWOS:000665462100011","View Full Record in Web of Science")</f>
        <v>View Full Record in Web of Science</v>
      </c>
    </row>
    <row r="554" spans="1:72" x14ac:dyDescent="0.15">
      <c r="A554" t="s">
        <v>72</v>
      </c>
      <c r="B554" t="s">
        <v>10937</v>
      </c>
      <c r="C554" t="s">
        <v>74</v>
      </c>
      <c r="D554" t="s">
        <v>74</v>
      </c>
      <c r="E554" t="s">
        <v>74</v>
      </c>
      <c r="F554" t="s">
        <v>10938</v>
      </c>
      <c r="G554" t="s">
        <v>74</v>
      </c>
      <c r="H554" t="s">
        <v>74</v>
      </c>
      <c r="I554" t="s">
        <v>10939</v>
      </c>
      <c r="J554" t="s">
        <v>4399</v>
      </c>
      <c r="K554" t="s">
        <v>74</v>
      </c>
      <c r="L554" t="s">
        <v>74</v>
      </c>
      <c r="M554" t="s">
        <v>78</v>
      </c>
      <c r="N554" t="s">
        <v>79</v>
      </c>
      <c r="O554" t="s">
        <v>74</v>
      </c>
      <c r="P554" t="s">
        <v>74</v>
      </c>
      <c r="Q554" t="s">
        <v>74</v>
      </c>
      <c r="R554" t="s">
        <v>74</v>
      </c>
      <c r="S554" t="s">
        <v>74</v>
      </c>
      <c r="T554" t="s">
        <v>10940</v>
      </c>
      <c r="U554" t="s">
        <v>10941</v>
      </c>
      <c r="V554" t="s">
        <v>10942</v>
      </c>
      <c r="W554" t="s">
        <v>10943</v>
      </c>
      <c r="X554" t="s">
        <v>10944</v>
      </c>
      <c r="Y554" t="s">
        <v>10945</v>
      </c>
      <c r="Z554" t="s">
        <v>10946</v>
      </c>
      <c r="AA554" t="s">
        <v>10947</v>
      </c>
      <c r="AB554" t="s">
        <v>10948</v>
      </c>
      <c r="AC554" t="s">
        <v>10949</v>
      </c>
      <c r="AD554" t="s">
        <v>10950</v>
      </c>
      <c r="AE554" t="s">
        <v>10951</v>
      </c>
      <c r="AF554" t="s">
        <v>74</v>
      </c>
      <c r="AG554">
        <v>86</v>
      </c>
      <c r="AH554">
        <v>4</v>
      </c>
      <c r="AI554">
        <v>4</v>
      </c>
      <c r="AJ554">
        <v>5</v>
      </c>
      <c r="AK554">
        <v>24</v>
      </c>
      <c r="AL554" t="s">
        <v>119</v>
      </c>
      <c r="AM554" t="s">
        <v>120</v>
      </c>
      <c r="AN554" t="s">
        <v>121</v>
      </c>
      <c r="AO554" t="s">
        <v>4412</v>
      </c>
      <c r="AP554" t="s">
        <v>74</v>
      </c>
      <c r="AQ554" t="s">
        <v>74</v>
      </c>
      <c r="AR554" t="s">
        <v>4413</v>
      </c>
      <c r="AS554" t="s">
        <v>4414</v>
      </c>
      <c r="AT554" t="s">
        <v>10933</v>
      </c>
      <c r="AU554">
        <v>2021</v>
      </c>
      <c r="AV554">
        <v>12</v>
      </c>
      <c r="AW554" t="s">
        <v>74</v>
      </c>
      <c r="AX554" t="s">
        <v>74</v>
      </c>
      <c r="AY554" t="s">
        <v>74</v>
      </c>
      <c r="AZ554" t="s">
        <v>74</v>
      </c>
      <c r="BA554" t="s">
        <v>74</v>
      </c>
      <c r="BB554" t="s">
        <v>74</v>
      </c>
      <c r="BC554" t="s">
        <v>74</v>
      </c>
      <c r="BD554">
        <v>660779</v>
      </c>
      <c r="BE554" t="s">
        <v>10952</v>
      </c>
      <c r="BF554" t="str">
        <f>HYPERLINK("http://dx.doi.org/10.3389/fmicb.2021.660779","http://dx.doi.org/10.3389/fmicb.2021.660779")</f>
        <v>http://dx.doi.org/10.3389/fmicb.2021.660779</v>
      </c>
      <c r="BG554" t="s">
        <v>74</v>
      </c>
      <c r="BH554" t="s">
        <v>74</v>
      </c>
      <c r="BI554">
        <v>12</v>
      </c>
      <c r="BJ554" t="s">
        <v>1499</v>
      </c>
      <c r="BK554" t="s">
        <v>128</v>
      </c>
      <c r="BL554" t="s">
        <v>1499</v>
      </c>
      <c r="BM554" t="s">
        <v>10953</v>
      </c>
      <c r="BN554">
        <v>34177840</v>
      </c>
      <c r="BO554" t="s">
        <v>1377</v>
      </c>
      <c r="BP554" t="s">
        <v>74</v>
      </c>
      <c r="BQ554" t="s">
        <v>74</v>
      </c>
      <c r="BR554" t="s">
        <v>102</v>
      </c>
      <c r="BS554" t="s">
        <v>10954</v>
      </c>
      <c r="BT554" t="str">
        <f>HYPERLINK("https%3A%2F%2Fwww.webofscience.com%2Fwos%2Fwoscc%2Ffull-record%2FWOS:000664975400001","View Full Record in Web of Science")</f>
        <v>View Full Record in Web of Science</v>
      </c>
    </row>
    <row r="555" spans="1:72" x14ac:dyDescent="0.15">
      <c r="A555" t="s">
        <v>72</v>
      </c>
      <c r="B555" t="s">
        <v>10955</v>
      </c>
      <c r="C555" t="s">
        <v>74</v>
      </c>
      <c r="D555" t="s">
        <v>74</v>
      </c>
      <c r="E555" t="s">
        <v>74</v>
      </c>
      <c r="F555" t="s">
        <v>10956</v>
      </c>
      <c r="G555" t="s">
        <v>74</v>
      </c>
      <c r="H555" t="s">
        <v>74</v>
      </c>
      <c r="I555" t="s">
        <v>10957</v>
      </c>
      <c r="J555" t="s">
        <v>2862</v>
      </c>
      <c r="K555" t="s">
        <v>74</v>
      </c>
      <c r="L555" t="s">
        <v>74</v>
      </c>
      <c r="M555" t="s">
        <v>78</v>
      </c>
      <c r="N555" t="s">
        <v>79</v>
      </c>
      <c r="O555" t="s">
        <v>74</v>
      </c>
      <c r="P555" t="s">
        <v>74</v>
      </c>
      <c r="Q555" t="s">
        <v>74</v>
      </c>
      <c r="R555" t="s">
        <v>74</v>
      </c>
      <c r="S555" t="s">
        <v>74</v>
      </c>
      <c r="T555" t="s">
        <v>10958</v>
      </c>
      <c r="U555" t="s">
        <v>10959</v>
      </c>
      <c r="V555" t="s">
        <v>10960</v>
      </c>
      <c r="W555" t="s">
        <v>10961</v>
      </c>
      <c r="X555" t="s">
        <v>10962</v>
      </c>
      <c r="Y555" t="s">
        <v>10963</v>
      </c>
      <c r="Z555" t="s">
        <v>8768</v>
      </c>
      <c r="AA555" t="s">
        <v>10964</v>
      </c>
      <c r="AB555" t="s">
        <v>10965</v>
      </c>
      <c r="AC555" t="s">
        <v>10966</v>
      </c>
      <c r="AD555" t="s">
        <v>10967</v>
      </c>
      <c r="AE555" t="s">
        <v>10968</v>
      </c>
      <c r="AF555" t="s">
        <v>74</v>
      </c>
      <c r="AG555">
        <v>63</v>
      </c>
      <c r="AH555">
        <v>4</v>
      </c>
      <c r="AI555">
        <v>4</v>
      </c>
      <c r="AJ555">
        <v>5</v>
      </c>
      <c r="AK555">
        <v>20</v>
      </c>
      <c r="AL555" t="s">
        <v>450</v>
      </c>
      <c r="AM555" t="s">
        <v>650</v>
      </c>
      <c r="AN555" t="s">
        <v>1957</v>
      </c>
      <c r="AO555" t="s">
        <v>2874</v>
      </c>
      <c r="AP555" t="s">
        <v>2875</v>
      </c>
      <c r="AQ555" t="s">
        <v>74</v>
      </c>
      <c r="AR555" t="s">
        <v>2876</v>
      </c>
      <c r="AS555" t="s">
        <v>2877</v>
      </c>
      <c r="AT555" t="s">
        <v>430</v>
      </c>
      <c r="AU555">
        <v>2021</v>
      </c>
      <c r="AV555">
        <v>44</v>
      </c>
      <c r="AW555">
        <v>7</v>
      </c>
      <c r="AX555" t="s">
        <v>74</v>
      </c>
      <c r="AY555" t="s">
        <v>74</v>
      </c>
      <c r="AZ555" t="s">
        <v>74</v>
      </c>
      <c r="BA555" t="s">
        <v>74</v>
      </c>
      <c r="BB555">
        <v>1391</v>
      </c>
      <c r="BC555">
        <v>1399</v>
      </c>
      <c r="BD555" t="s">
        <v>74</v>
      </c>
      <c r="BE555" t="s">
        <v>10969</v>
      </c>
      <c r="BF555" t="str">
        <f>HYPERLINK("http://dx.doi.org/10.1007/s00300-021-02892-7","http://dx.doi.org/10.1007/s00300-021-02892-7")</f>
        <v>http://dx.doi.org/10.1007/s00300-021-02892-7</v>
      </c>
      <c r="BG555" t="s">
        <v>74</v>
      </c>
      <c r="BH555" t="s">
        <v>8134</v>
      </c>
      <c r="BI555">
        <v>9</v>
      </c>
      <c r="BJ555" t="s">
        <v>1883</v>
      </c>
      <c r="BK555" t="s">
        <v>128</v>
      </c>
      <c r="BL555" t="s">
        <v>207</v>
      </c>
      <c r="BM555" t="s">
        <v>10717</v>
      </c>
      <c r="BN555" t="s">
        <v>74</v>
      </c>
      <c r="BO555" t="s">
        <v>1154</v>
      </c>
      <c r="BP555" t="s">
        <v>74</v>
      </c>
      <c r="BQ555" t="s">
        <v>74</v>
      </c>
      <c r="BR555" t="s">
        <v>102</v>
      </c>
      <c r="BS555" t="s">
        <v>10970</v>
      </c>
      <c r="BT555" t="str">
        <f>HYPERLINK("https%3A%2F%2Fwww.webofscience.com%2Fwos%2Fwoscc%2Ffull-record%2FWOS:000659770600001","View Full Record in Web of Science")</f>
        <v>View Full Record in Web of Science</v>
      </c>
    </row>
    <row r="556" spans="1:72" x14ac:dyDescent="0.15">
      <c r="A556" t="s">
        <v>72</v>
      </c>
      <c r="B556" t="s">
        <v>10971</v>
      </c>
      <c r="C556" t="s">
        <v>74</v>
      </c>
      <c r="D556" t="s">
        <v>74</v>
      </c>
      <c r="E556" t="s">
        <v>74</v>
      </c>
      <c r="F556" t="s">
        <v>10972</v>
      </c>
      <c r="G556" t="s">
        <v>74</v>
      </c>
      <c r="H556" t="s">
        <v>74</v>
      </c>
      <c r="I556" t="s">
        <v>10973</v>
      </c>
      <c r="J556" t="s">
        <v>10974</v>
      </c>
      <c r="K556" t="s">
        <v>74</v>
      </c>
      <c r="L556" t="s">
        <v>74</v>
      </c>
      <c r="M556" t="s">
        <v>78</v>
      </c>
      <c r="N556" t="s">
        <v>79</v>
      </c>
      <c r="O556" t="s">
        <v>74</v>
      </c>
      <c r="P556" t="s">
        <v>74</v>
      </c>
      <c r="Q556" t="s">
        <v>74</v>
      </c>
      <c r="R556" t="s">
        <v>74</v>
      </c>
      <c r="S556" t="s">
        <v>74</v>
      </c>
      <c r="T556" t="s">
        <v>10975</v>
      </c>
      <c r="U556" t="s">
        <v>10976</v>
      </c>
      <c r="V556" t="s">
        <v>10977</v>
      </c>
      <c r="W556" t="s">
        <v>10978</v>
      </c>
      <c r="X556" t="s">
        <v>10979</v>
      </c>
      <c r="Y556" t="s">
        <v>10980</v>
      </c>
      <c r="Z556" t="s">
        <v>6098</v>
      </c>
      <c r="AA556" t="s">
        <v>10981</v>
      </c>
      <c r="AB556" t="s">
        <v>10982</v>
      </c>
      <c r="AC556" t="s">
        <v>10983</v>
      </c>
      <c r="AD556" t="s">
        <v>10984</v>
      </c>
      <c r="AE556" t="s">
        <v>10985</v>
      </c>
      <c r="AF556" t="s">
        <v>74</v>
      </c>
      <c r="AG556">
        <v>84</v>
      </c>
      <c r="AH556">
        <v>12</v>
      </c>
      <c r="AI556">
        <v>18</v>
      </c>
      <c r="AJ556">
        <v>8</v>
      </c>
      <c r="AK556">
        <v>48</v>
      </c>
      <c r="AL556" t="s">
        <v>10986</v>
      </c>
      <c r="AM556" t="s">
        <v>368</v>
      </c>
      <c r="AN556" t="s">
        <v>10987</v>
      </c>
      <c r="AO556" t="s">
        <v>10988</v>
      </c>
      <c r="AP556" t="s">
        <v>74</v>
      </c>
      <c r="AQ556" t="s">
        <v>74</v>
      </c>
      <c r="AR556" t="s">
        <v>10974</v>
      </c>
      <c r="AS556" t="s">
        <v>10989</v>
      </c>
      <c r="AT556" t="s">
        <v>10933</v>
      </c>
      <c r="AU556">
        <v>2021</v>
      </c>
      <c r="AV556">
        <v>22</v>
      </c>
      <c r="AW556">
        <v>1</v>
      </c>
      <c r="AX556" t="s">
        <v>74</v>
      </c>
      <c r="AY556" t="s">
        <v>74</v>
      </c>
      <c r="AZ556" t="s">
        <v>74</v>
      </c>
      <c r="BA556" t="s">
        <v>74</v>
      </c>
      <c r="BB556" t="s">
        <v>74</v>
      </c>
      <c r="BC556" t="s">
        <v>74</v>
      </c>
      <c r="BD556">
        <v>437</v>
      </c>
      <c r="BE556" t="s">
        <v>10990</v>
      </c>
      <c r="BF556" t="str">
        <f>HYPERLINK("http://dx.doi.org/10.1186/s12864-021-07751-7","http://dx.doi.org/10.1186/s12864-021-07751-7")</f>
        <v>http://dx.doi.org/10.1186/s12864-021-07751-7</v>
      </c>
      <c r="BG556" t="s">
        <v>74</v>
      </c>
      <c r="BH556" t="s">
        <v>74</v>
      </c>
      <c r="BI556">
        <v>14</v>
      </c>
      <c r="BJ556" t="s">
        <v>10991</v>
      </c>
      <c r="BK556" t="s">
        <v>128</v>
      </c>
      <c r="BL556" t="s">
        <v>10991</v>
      </c>
      <c r="BM556" t="s">
        <v>10992</v>
      </c>
      <c r="BN556">
        <v>34112105</v>
      </c>
      <c r="BO556" t="s">
        <v>8094</v>
      </c>
      <c r="BP556" t="s">
        <v>74</v>
      </c>
      <c r="BQ556" t="s">
        <v>74</v>
      </c>
      <c r="BR556" t="s">
        <v>102</v>
      </c>
      <c r="BS556" t="s">
        <v>10993</v>
      </c>
      <c r="BT556" t="str">
        <f>HYPERLINK("https%3A%2F%2Fwww.webofscience.com%2Fwos%2Fwoscc%2Ffull-record%2FWOS:000660035700001","View Full Record in Web of Science")</f>
        <v>View Full Record in Web of Science</v>
      </c>
    </row>
    <row r="557" spans="1:72" x14ac:dyDescent="0.15">
      <c r="A557" t="s">
        <v>72</v>
      </c>
      <c r="B557" t="s">
        <v>10994</v>
      </c>
      <c r="C557" t="s">
        <v>74</v>
      </c>
      <c r="D557" t="s">
        <v>74</v>
      </c>
      <c r="E557" t="s">
        <v>74</v>
      </c>
      <c r="F557" t="s">
        <v>10995</v>
      </c>
      <c r="G557" t="s">
        <v>74</v>
      </c>
      <c r="H557" t="s">
        <v>74</v>
      </c>
      <c r="I557" t="s">
        <v>10996</v>
      </c>
      <c r="J557" t="s">
        <v>10997</v>
      </c>
      <c r="K557" t="s">
        <v>74</v>
      </c>
      <c r="L557" t="s">
        <v>74</v>
      </c>
      <c r="M557" t="s">
        <v>78</v>
      </c>
      <c r="N557" t="s">
        <v>79</v>
      </c>
      <c r="O557" t="s">
        <v>74</v>
      </c>
      <c r="P557" t="s">
        <v>74</v>
      </c>
      <c r="Q557" t="s">
        <v>74</v>
      </c>
      <c r="R557" t="s">
        <v>74</v>
      </c>
      <c r="S557" t="s">
        <v>74</v>
      </c>
      <c r="T557" t="s">
        <v>74</v>
      </c>
      <c r="U557" t="s">
        <v>10998</v>
      </c>
      <c r="V557" t="s">
        <v>10999</v>
      </c>
      <c r="W557" t="s">
        <v>11000</v>
      </c>
      <c r="X557" t="s">
        <v>11001</v>
      </c>
      <c r="Y557" t="s">
        <v>11002</v>
      </c>
      <c r="Z557" t="s">
        <v>11003</v>
      </c>
      <c r="AA557" t="s">
        <v>74</v>
      </c>
      <c r="AB557" t="s">
        <v>11004</v>
      </c>
      <c r="AC557" t="s">
        <v>11005</v>
      </c>
      <c r="AD557" t="s">
        <v>11006</v>
      </c>
      <c r="AE557" t="s">
        <v>11007</v>
      </c>
      <c r="AF557" t="s">
        <v>74</v>
      </c>
      <c r="AG557">
        <v>79</v>
      </c>
      <c r="AH557">
        <v>9</v>
      </c>
      <c r="AI557">
        <v>9</v>
      </c>
      <c r="AJ557">
        <v>1</v>
      </c>
      <c r="AK557">
        <v>6</v>
      </c>
      <c r="AL557" t="s">
        <v>143</v>
      </c>
      <c r="AM557" t="s">
        <v>144</v>
      </c>
      <c r="AN557" t="s">
        <v>145</v>
      </c>
      <c r="AO557" t="s">
        <v>11008</v>
      </c>
      <c r="AP557" t="s">
        <v>11009</v>
      </c>
      <c r="AQ557" t="s">
        <v>74</v>
      </c>
      <c r="AR557" t="s">
        <v>11010</v>
      </c>
      <c r="AS557" t="s">
        <v>11011</v>
      </c>
      <c r="AT557" t="s">
        <v>10933</v>
      </c>
      <c r="AU557">
        <v>2021</v>
      </c>
      <c r="AV557">
        <v>39</v>
      </c>
      <c r="AW557">
        <v>3</v>
      </c>
      <c r="AX557" t="s">
        <v>74</v>
      </c>
      <c r="AY557" t="s">
        <v>74</v>
      </c>
      <c r="AZ557" t="s">
        <v>74</v>
      </c>
      <c r="BA557" t="s">
        <v>74</v>
      </c>
      <c r="BB557">
        <v>487</v>
      </c>
      <c r="BC557">
        <v>514</v>
      </c>
      <c r="BD557" t="s">
        <v>74</v>
      </c>
      <c r="BE557" t="s">
        <v>11012</v>
      </c>
      <c r="BF557" t="str">
        <f>HYPERLINK("http://dx.doi.org/10.5194/angeo-39-487-2021","http://dx.doi.org/10.5194/angeo-39-487-2021")</f>
        <v>http://dx.doi.org/10.5194/angeo-39-487-2021</v>
      </c>
      <c r="BG557" t="s">
        <v>74</v>
      </c>
      <c r="BH557" t="s">
        <v>74</v>
      </c>
      <c r="BI557">
        <v>28</v>
      </c>
      <c r="BJ557" t="s">
        <v>11013</v>
      </c>
      <c r="BK557" t="s">
        <v>128</v>
      </c>
      <c r="BL557" t="s">
        <v>11014</v>
      </c>
      <c r="BM557" t="s">
        <v>11015</v>
      </c>
      <c r="BN557" t="s">
        <v>74</v>
      </c>
      <c r="BO557" t="s">
        <v>3619</v>
      </c>
      <c r="BP557" t="s">
        <v>74</v>
      </c>
      <c r="BQ557" t="s">
        <v>74</v>
      </c>
      <c r="BR557" t="s">
        <v>102</v>
      </c>
      <c r="BS557" t="s">
        <v>11016</v>
      </c>
      <c r="BT557" t="str">
        <f>HYPERLINK("https%3A%2F%2Fwww.webofscience.com%2Fwos%2Fwoscc%2Ffull-record%2FWOS:000662094700001","View Full Record in Web of Science")</f>
        <v>View Full Record in Web of Science</v>
      </c>
    </row>
    <row r="558" spans="1:72" x14ac:dyDescent="0.15">
      <c r="A558" t="s">
        <v>72</v>
      </c>
      <c r="B558" t="s">
        <v>11017</v>
      </c>
      <c r="C558" t="s">
        <v>74</v>
      </c>
      <c r="D558" t="s">
        <v>74</v>
      </c>
      <c r="E558" t="s">
        <v>74</v>
      </c>
      <c r="F558" t="s">
        <v>11018</v>
      </c>
      <c r="G558" t="s">
        <v>74</v>
      </c>
      <c r="H558" t="s">
        <v>74</v>
      </c>
      <c r="I558" t="s">
        <v>11019</v>
      </c>
      <c r="J558" t="s">
        <v>11020</v>
      </c>
      <c r="K558" t="s">
        <v>74</v>
      </c>
      <c r="L558" t="s">
        <v>74</v>
      </c>
      <c r="M558" t="s">
        <v>78</v>
      </c>
      <c r="N558" t="s">
        <v>79</v>
      </c>
      <c r="O558" t="s">
        <v>74</v>
      </c>
      <c r="P558" t="s">
        <v>74</v>
      </c>
      <c r="Q558" t="s">
        <v>74</v>
      </c>
      <c r="R558" t="s">
        <v>74</v>
      </c>
      <c r="S558" t="s">
        <v>74</v>
      </c>
      <c r="T558" t="s">
        <v>11021</v>
      </c>
      <c r="U558" t="s">
        <v>11022</v>
      </c>
      <c r="V558" t="s">
        <v>11023</v>
      </c>
      <c r="W558" t="s">
        <v>11024</v>
      </c>
      <c r="X558" t="s">
        <v>11025</v>
      </c>
      <c r="Y558" t="s">
        <v>11026</v>
      </c>
      <c r="Z558" t="s">
        <v>11027</v>
      </c>
      <c r="AA558" t="s">
        <v>11028</v>
      </c>
      <c r="AB558" t="s">
        <v>11029</v>
      </c>
      <c r="AC558" t="s">
        <v>11030</v>
      </c>
      <c r="AD558" t="s">
        <v>11031</v>
      </c>
      <c r="AE558" t="s">
        <v>11032</v>
      </c>
      <c r="AF558" t="s">
        <v>74</v>
      </c>
      <c r="AG558">
        <v>115</v>
      </c>
      <c r="AH558">
        <v>2</v>
      </c>
      <c r="AI558">
        <v>2</v>
      </c>
      <c r="AJ558">
        <v>0</v>
      </c>
      <c r="AK558">
        <v>9</v>
      </c>
      <c r="AL558" t="s">
        <v>281</v>
      </c>
      <c r="AM558" t="s">
        <v>228</v>
      </c>
      <c r="AN558" t="s">
        <v>282</v>
      </c>
      <c r="AO558" t="s">
        <v>11033</v>
      </c>
      <c r="AP558" t="s">
        <v>11034</v>
      </c>
      <c r="AQ558" t="s">
        <v>74</v>
      </c>
      <c r="AR558" t="s">
        <v>11035</v>
      </c>
      <c r="AS558" t="s">
        <v>11036</v>
      </c>
      <c r="AT558" t="s">
        <v>10878</v>
      </c>
      <c r="AU558">
        <v>2021</v>
      </c>
      <c r="AV558">
        <v>186</v>
      </c>
      <c r="AW558" t="s">
        <v>74</v>
      </c>
      <c r="AX558" t="s">
        <v>74</v>
      </c>
      <c r="AY558" t="s">
        <v>74</v>
      </c>
      <c r="AZ558" t="s">
        <v>74</v>
      </c>
      <c r="BA558" t="s">
        <v>74</v>
      </c>
      <c r="BB558" t="s">
        <v>74</v>
      </c>
      <c r="BC558" t="s">
        <v>74</v>
      </c>
      <c r="BD558">
        <v>104936</v>
      </c>
      <c r="BE558" t="s">
        <v>11037</v>
      </c>
      <c r="BF558" t="str">
        <f>HYPERLINK("http://dx.doi.org/10.1016/j.dsr2.2021.104936","http://dx.doi.org/10.1016/j.dsr2.2021.104936")</f>
        <v>http://dx.doi.org/10.1016/j.dsr2.2021.104936</v>
      </c>
      <c r="BG558" t="s">
        <v>74</v>
      </c>
      <c r="BH558" t="s">
        <v>8134</v>
      </c>
      <c r="BI558">
        <v>22</v>
      </c>
      <c r="BJ558" t="s">
        <v>1134</v>
      </c>
      <c r="BK558" t="s">
        <v>128</v>
      </c>
      <c r="BL558" t="s">
        <v>1134</v>
      </c>
      <c r="BM558" t="s">
        <v>11038</v>
      </c>
      <c r="BN558" t="s">
        <v>74</v>
      </c>
      <c r="BO558" t="s">
        <v>11039</v>
      </c>
      <c r="BP558" t="s">
        <v>74</v>
      </c>
      <c r="BQ558" t="s">
        <v>74</v>
      </c>
      <c r="BR558" t="s">
        <v>102</v>
      </c>
      <c r="BS558" t="s">
        <v>11040</v>
      </c>
      <c r="BT558" t="str">
        <f>HYPERLINK("https%3A%2F%2Fwww.webofscience.com%2Fwos%2Fwoscc%2Ffull-record%2FWOS:000660425400001","View Full Record in Web of Science")</f>
        <v>View Full Record in Web of Science</v>
      </c>
    </row>
    <row r="559" spans="1:72" x14ac:dyDescent="0.15">
      <c r="A559" t="s">
        <v>72</v>
      </c>
      <c r="B559" t="s">
        <v>11041</v>
      </c>
      <c r="C559" t="s">
        <v>74</v>
      </c>
      <c r="D559" t="s">
        <v>74</v>
      </c>
      <c r="E559" t="s">
        <v>74</v>
      </c>
      <c r="F559" t="s">
        <v>11042</v>
      </c>
      <c r="G559" t="s">
        <v>74</v>
      </c>
      <c r="H559" t="s">
        <v>74</v>
      </c>
      <c r="I559" t="s">
        <v>11043</v>
      </c>
      <c r="J559" t="s">
        <v>2106</v>
      </c>
      <c r="K559" t="s">
        <v>74</v>
      </c>
      <c r="L559" t="s">
        <v>74</v>
      </c>
      <c r="M559" t="s">
        <v>78</v>
      </c>
      <c r="N559" t="s">
        <v>79</v>
      </c>
      <c r="O559" t="s">
        <v>74</v>
      </c>
      <c r="P559" t="s">
        <v>74</v>
      </c>
      <c r="Q559" t="s">
        <v>74</v>
      </c>
      <c r="R559" t="s">
        <v>74</v>
      </c>
      <c r="S559" t="s">
        <v>74</v>
      </c>
      <c r="T559" t="s">
        <v>11044</v>
      </c>
      <c r="U559" t="s">
        <v>11045</v>
      </c>
      <c r="V559" t="s">
        <v>11046</v>
      </c>
      <c r="W559" t="s">
        <v>11047</v>
      </c>
      <c r="X559" t="s">
        <v>11048</v>
      </c>
      <c r="Y559" t="s">
        <v>11049</v>
      </c>
      <c r="Z559" t="s">
        <v>11050</v>
      </c>
      <c r="AA559" t="s">
        <v>11051</v>
      </c>
      <c r="AB559" t="s">
        <v>11052</v>
      </c>
      <c r="AC559" t="s">
        <v>11053</v>
      </c>
      <c r="AD559" t="s">
        <v>11054</v>
      </c>
      <c r="AE559" t="s">
        <v>11055</v>
      </c>
      <c r="AF559" t="s">
        <v>74</v>
      </c>
      <c r="AG559">
        <v>107</v>
      </c>
      <c r="AH559">
        <v>9</v>
      </c>
      <c r="AI559">
        <v>9</v>
      </c>
      <c r="AJ559">
        <v>1</v>
      </c>
      <c r="AK559">
        <v>6</v>
      </c>
      <c r="AL559" t="s">
        <v>281</v>
      </c>
      <c r="AM559" t="s">
        <v>228</v>
      </c>
      <c r="AN559" t="s">
        <v>282</v>
      </c>
      <c r="AO559" t="s">
        <v>2119</v>
      </c>
      <c r="AP559" t="s">
        <v>2120</v>
      </c>
      <c r="AQ559" t="s">
        <v>74</v>
      </c>
      <c r="AR559" t="s">
        <v>2121</v>
      </c>
      <c r="AS559" t="s">
        <v>2122</v>
      </c>
      <c r="AT559" t="s">
        <v>535</v>
      </c>
      <c r="AU559">
        <v>2021</v>
      </c>
      <c r="AV559">
        <v>174</v>
      </c>
      <c r="AW559" t="s">
        <v>74</v>
      </c>
      <c r="AX559" t="s">
        <v>74</v>
      </c>
      <c r="AY559" t="s">
        <v>74</v>
      </c>
      <c r="AZ559" t="s">
        <v>74</v>
      </c>
      <c r="BA559" t="s">
        <v>74</v>
      </c>
      <c r="BB559" t="s">
        <v>74</v>
      </c>
      <c r="BC559" t="s">
        <v>74</v>
      </c>
      <c r="BD559">
        <v>103571</v>
      </c>
      <c r="BE559" t="s">
        <v>11056</v>
      </c>
      <c r="BF559" t="str">
        <f>HYPERLINK("http://dx.doi.org/10.1016/j.dsr.2021.103571","http://dx.doi.org/10.1016/j.dsr.2021.103571")</f>
        <v>http://dx.doi.org/10.1016/j.dsr.2021.103571</v>
      </c>
      <c r="BG559" t="s">
        <v>74</v>
      </c>
      <c r="BH559" t="s">
        <v>8134</v>
      </c>
      <c r="BI559">
        <v>10</v>
      </c>
      <c r="BJ559" t="s">
        <v>1134</v>
      </c>
      <c r="BK559" t="s">
        <v>128</v>
      </c>
      <c r="BL559" t="s">
        <v>1134</v>
      </c>
      <c r="BM559" t="s">
        <v>11057</v>
      </c>
      <c r="BN559" t="s">
        <v>74</v>
      </c>
      <c r="BO559" t="s">
        <v>238</v>
      </c>
      <c r="BP559" t="s">
        <v>74</v>
      </c>
      <c r="BQ559" t="s">
        <v>74</v>
      </c>
      <c r="BR559" t="s">
        <v>102</v>
      </c>
      <c r="BS559" t="s">
        <v>11058</v>
      </c>
      <c r="BT559" t="str">
        <f>HYPERLINK("https%3A%2F%2Fwww.webofscience.com%2Fwos%2Fwoscc%2Ffull-record%2FWOS:000726984500001","View Full Record in Web of Science")</f>
        <v>View Full Record in Web of Science</v>
      </c>
    </row>
    <row r="560" spans="1:72" x14ac:dyDescent="0.15">
      <c r="A560" t="s">
        <v>72</v>
      </c>
      <c r="B560" t="s">
        <v>11059</v>
      </c>
      <c r="C560" t="s">
        <v>74</v>
      </c>
      <c r="D560" t="s">
        <v>74</v>
      </c>
      <c r="E560" t="s">
        <v>74</v>
      </c>
      <c r="F560" t="s">
        <v>11060</v>
      </c>
      <c r="G560" t="s">
        <v>74</v>
      </c>
      <c r="H560" t="s">
        <v>74</v>
      </c>
      <c r="I560" t="s">
        <v>11061</v>
      </c>
      <c r="J560" t="s">
        <v>2680</v>
      </c>
      <c r="K560" t="s">
        <v>74</v>
      </c>
      <c r="L560" t="s">
        <v>74</v>
      </c>
      <c r="M560" t="s">
        <v>78</v>
      </c>
      <c r="N560" t="s">
        <v>79</v>
      </c>
      <c r="O560" t="s">
        <v>74</v>
      </c>
      <c r="P560" t="s">
        <v>74</v>
      </c>
      <c r="Q560" t="s">
        <v>74</v>
      </c>
      <c r="R560" t="s">
        <v>74</v>
      </c>
      <c r="S560" t="s">
        <v>74</v>
      </c>
      <c r="T560" t="s">
        <v>11062</v>
      </c>
      <c r="U560" t="s">
        <v>11063</v>
      </c>
      <c r="V560" t="s">
        <v>11064</v>
      </c>
      <c r="W560" t="s">
        <v>11065</v>
      </c>
      <c r="X560" t="s">
        <v>11066</v>
      </c>
      <c r="Y560" t="s">
        <v>11067</v>
      </c>
      <c r="Z560" t="s">
        <v>11068</v>
      </c>
      <c r="AA560" t="s">
        <v>11069</v>
      </c>
      <c r="AB560" t="s">
        <v>11070</v>
      </c>
      <c r="AC560" t="s">
        <v>11071</v>
      </c>
      <c r="AD560" t="s">
        <v>11072</v>
      </c>
      <c r="AE560" t="s">
        <v>11073</v>
      </c>
      <c r="AF560" t="s">
        <v>74</v>
      </c>
      <c r="AG560">
        <v>53</v>
      </c>
      <c r="AH560">
        <v>2</v>
      </c>
      <c r="AI560">
        <v>2</v>
      </c>
      <c r="AJ560">
        <v>0</v>
      </c>
      <c r="AK560">
        <v>7</v>
      </c>
      <c r="AL560" t="s">
        <v>197</v>
      </c>
      <c r="AM560" t="s">
        <v>198</v>
      </c>
      <c r="AN560" t="s">
        <v>199</v>
      </c>
      <c r="AO560" t="s">
        <v>2692</v>
      </c>
      <c r="AP560" t="s">
        <v>74</v>
      </c>
      <c r="AQ560" t="s">
        <v>74</v>
      </c>
      <c r="AR560" t="s">
        <v>2693</v>
      </c>
      <c r="AS560" t="s">
        <v>2694</v>
      </c>
      <c r="AT560" t="s">
        <v>430</v>
      </c>
      <c r="AU560">
        <v>2021</v>
      </c>
      <c r="AV560">
        <v>11</v>
      </c>
      <c r="AW560">
        <v>14</v>
      </c>
      <c r="AX560" t="s">
        <v>74</v>
      </c>
      <c r="AY560" t="s">
        <v>74</v>
      </c>
      <c r="AZ560" t="s">
        <v>74</v>
      </c>
      <c r="BA560" t="s">
        <v>74</v>
      </c>
      <c r="BB560">
        <v>9191</v>
      </c>
      <c r="BC560">
        <v>9197</v>
      </c>
      <c r="BD560" t="s">
        <v>74</v>
      </c>
      <c r="BE560" t="s">
        <v>11074</v>
      </c>
      <c r="BF560" t="str">
        <f>HYPERLINK("http://dx.doi.org/10.1002/ece3.7725","http://dx.doi.org/10.1002/ece3.7725")</f>
        <v>http://dx.doi.org/10.1002/ece3.7725</v>
      </c>
      <c r="BG560" t="s">
        <v>74</v>
      </c>
      <c r="BH560" t="s">
        <v>8134</v>
      </c>
      <c r="BI560">
        <v>7</v>
      </c>
      <c r="BJ560" t="s">
        <v>2696</v>
      </c>
      <c r="BK560" t="s">
        <v>128</v>
      </c>
      <c r="BL560" t="s">
        <v>2697</v>
      </c>
      <c r="BM560" t="s">
        <v>11075</v>
      </c>
      <c r="BN560">
        <v>34306615</v>
      </c>
      <c r="BO560" t="s">
        <v>238</v>
      </c>
      <c r="BP560" t="s">
        <v>74</v>
      </c>
      <c r="BQ560" t="s">
        <v>74</v>
      </c>
      <c r="BR560" t="s">
        <v>102</v>
      </c>
      <c r="BS560" t="s">
        <v>11076</v>
      </c>
      <c r="BT560" t="str">
        <f>HYPERLINK("https%3A%2F%2Fwww.webofscience.com%2Fwos%2Fwoscc%2Ffull-record%2FWOS:000659710400001","View Full Record in Web of Science")</f>
        <v>View Full Record in Web of Science</v>
      </c>
    </row>
    <row r="561" spans="1:72" x14ac:dyDescent="0.15">
      <c r="A561" t="s">
        <v>72</v>
      </c>
      <c r="B561" t="s">
        <v>11077</v>
      </c>
      <c r="C561" t="s">
        <v>74</v>
      </c>
      <c r="D561" t="s">
        <v>74</v>
      </c>
      <c r="E561" t="s">
        <v>74</v>
      </c>
      <c r="F561" t="s">
        <v>11078</v>
      </c>
      <c r="G561" t="s">
        <v>74</v>
      </c>
      <c r="H561" t="s">
        <v>74</v>
      </c>
      <c r="I561" t="s">
        <v>11079</v>
      </c>
      <c r="J561" t="s">
        <v>3491</v>
      </c>
      <c r="K561" t="s">
        <v>74</v>
      </c>
      <c r="L561" t="s">
        <v>74</v>
      </c>
      <c r="M561" t="s">
        <v>78</v>
      </c>
      <c r="N561" t="s">
        <v>79</v>
      </c>
      <c r="O561" t="s">
        <v>74</v>
      </c>
      <c r="P561" t="s">
        <v>74</v>
      </c>
      <c r="Q561" t="s">
        <v>74</v>
      </c>
      <c r="R561" t="s">
        <v>74</v>
      </c>
      <c r="S561" t="s">
        <v>74</v>
      </c>
      <c r="T561" t="s">
        <v>11080</v>
      </c>
      <c r="U561" t="s">
        <v>11081</v>
      </c>
      <c r="V561" t="s">
        <v>11082</v>
      </c>
      <c r="W561" t="s">
        <v>11083</v>
      </c>
      <c r="X561" t="s">
        <v>11084</v>
      </c>
      <c r="Y561" t="s">
        <v>11085</v>
      </c>
      <c r="Z561" t="s">
        <v>11086</v>
      </c>
      <c r="AA561" t="s">
        <v>11087</v>
      </c>
      <c r="AB561" t="s">
        <v>74</v>
      </c>
      <c r="AC561" t="s">
        <v>11088</v>
      </c>
      <c r="AD561" t="s">
        <v>11089</v>
      </c>
      <c r="AE561" t="s">
        <v>11090</v>
      </c>
      <c r="AF561" t="s">
        <v>74</v>
      </c>
      <c r="AG561">
        <v>65</v>
      </c>
      <c r="AH561">
        <v>6</v>
      </c>
      <c r="AI561">
        <v>7</v>
      </c>
      <c r="AJ561">
        <v>7</v>
      </c>
      <c r="AK561">
        <v>32</v>
      </c>
      <c r="AL561" t="s">
        <v>89</v>
      </c>
      <c r="AM561" t="s">
        <v>90</v>
      </c>
      <c r="AN561" t="s">
        <v>91</v>
      </c>
      <c r="AO561" t="s">
        <v>3504</v>
      </c>
      <c r="AP561" t="s">
        <v>3505</v>
      </c>
      <c r="AQ561" t="s">
        <v>74</v>
      </c>
      <c r="AR561" t="s">
        <v>3506</v>
      </c>
      <c r="AS561" t="s">
        <v>3507</v>
      </c>
      <c r="AT561" t="s">
        <v>3746</v>
      </c>
      <c r="AU561">
        <v>2021</v>
      </c>
      <c r="AV561">
        <v>576</v>
      </c>
      <c r="AW561" t="s">
        <v>74</v>
      </c>
      <c r="AX561" t="s">
        <v>74</v>
      </c>
      <c r="AY561" t="s">
        <v>74</v>
      </c>
      <c r="AZ561" t="s">
        <v>74</v>
      </c>
      <c r="BA561" t="s">
        <v>74</v>
      </c>
      <c r="BB561" t="s">
        <v>74</v>
      </c>
      <c r="BC561" t="s">
        <v>74</v>
      </c>
      <c r="BD561">
        <v>110497</v>
      </c>
      <c r="BE561" t="s">
        <v>11091</v>
      </c>
      <c r="BF561" t="str">
        <f>HYPERLINK("http://dx.doi.org/10.1016/j.palaeo.2021.110497","http://dx.doi.org/10.1016/j.palaeo.2021.110497")</f>
        <v>http://dx.doi.org/10.1016/j.palaeo.2021.110497</v>
      </c>
      <c r="BG561" t="s">
        <v>74</v>
      </c>
      <c r="BH561" t="s">
        <v>8134</v>
      </c>
      <c r="BI561">
        <v>10</v>
      </c>
      <c r="BJ561" t="s">
        <v>3509</v>
      </c>
      <c r="BK561" t="s">
        <v>128</v>
      </c>
      <c r="BL561" t="s">
        <v>3510</v>
      </c>
      <c r="BM561" t="s">
        <v>9754</v>
      </c>
      <c r="BN561" t="s">
        <v>74</v>
      </c>
      <c r="BO561" t="s">
        <v>291</v>
      </c>
      <c r="BP561" t="s">
        <v>74</v>
      </c>
      <c r="BQ561" t="s">
        <v>74</v>
      </c>
      <c r="BR561" t="s">
        <v>102</v>
      </c>
      <c r="BS561" t="s">
        <v>11092</v>
      </c>
      <c r="BT561" t="str">
        <f>HYPERLINK("https%3A%2F%2Fwww.webofscience.com%2Fwos%2Fwoscc%2Ffull-record%2FWOS:000668458200004","View Full Record in Web of Science")</f>
        <v>View Full Record in Web of Science</v>
      </c>
    </row>
    <row r="562" spans="1:72" x14ac:dyDescent="0.15">
      <c r="A562" t="s">
        <v>72</v>
      </c>
      <c r="B562" t="s">
        <v>11093</v>
      </c>
      <c r="C562" t="s">
        <v>74</v>
      </c>
      <c r="D562" t="s">
        <v>74</v>
      </c>
      <c r="E562" t="s">
        <v>74</v>
      </c>
      <c r="F562" t="s">
        <v>11094</v>
      </c>
      <c r="G562" t="s">
        <v>74</v>
      </c>
      <c r="H562" t="s">
        <v>74</v>
      </c>
      <c r="I562" t="s">
        <v>11095</v>
      </c>
      <c r="J562" t="s">
        <v>11096</v>
      </c>
      <c r="K562" t="s">
        <v>74</v>
      </c>
      <c r="L562" t="s">
        <v>74</v>
      </c>
      <c r="M562" t="s">
        <v>78</v>
      </c>
      <c r="N562" t="s">
        <v>79</v>
      </c>
      <c r="O562" t="s">
        <v>74</v>
      </c>
      <c r="P562" t="s">
        <v>74</v>
      </c>
      <c r="Q562" t="s">
        <v>74</v>
      </c>
      <c r="R562" t="s">
        <v>74</v>
      </c>
      <c r="S562" t="s">
        <v>74</v>
      </c>
      <c r="T562" t="s">
        <v>11097</v>
      </c>
      <c r="U562" t="s">
        <v>11098</v>
      </c>
      <c r="V562" t="s">
        <v>11099</v>
      </c>
      <c r="W562" t="s">
        <v>11100</v>
      </c>
      <c r="X562" t="s">
        <v>11101</v>
      </c>
      <c r="Y562" t="s">
        <v>11102</v>
      </c>
      <c r="Z562" t="s">
        <v>11103</v>
      </c>
      <c r="AA562" t="s">
        <v>11104</v>
      </c>
      <c r="AB562" t="s">
        <v>11105</v>
      </c>
      <c r="AC562" t="s">
        <v>11106</v>
      </c>
      <c r="AD562" t="s">
        <v>11107</v>
      </c>
      <c r="AE562" t="s">
        <v>11108</v>
      </c>
      <c r="AF562" t="s">
        <v>74</v>
      </c>
      <c r="AG562">
        <v>82</v>
      </c>
      <c r="AH562">
        <v>4</v>
      </c>
      <c r="AI562">
        <v>5</v>
      </c>
      <c r="AJ562">
        <v>3</v>
      </c>
      <c r="AK562">
        <v>21</v>
      </c>
      <c r="AL562" t="s">
        <v>4522</v>
      </c>
      <c r="AM562" t="s">
        <v>368</v>
      </c>
      <c r="AN562" t="s">
        <v>4523</v>
      </c>
      <c r="AO562" t="s">
        <v>11109</v>
      </c>
      <c r="AP562" t="s">
        <v>11110</v>
      </c>
      <c r="AQ562" t="s">
        <v>74</v>
      </c>
      <c r="AR562" t="s">
        <v>11111</v>
      </c>
      <c r="AS562" t="s">
        <v>11112</v>
      </c>
      <c r="AT562" t="s">
        <v>430</v>
      </c>
      <c r="AU562">
        <v>2021</v>
      </c>
      <c r="AV562">
        <v>177</v>
      </c>
      <c r="AW562" t="s">
        <v>74</v>
      </c>
      <c r="AX562" t="s">
        <v>74</v>
      </c>
      <c r="AY562" t="s">
        <v>74</v>
      </c>
      <c r="AZ562" t="s">
        <v>74</v>
      </c>
      <c r="BA562" t="s">
        <v>74</v>
      </c>
      <c r="BB562">
        <v>223</v>
      </c>
      <c r="BC562">
        <v>230</v>
      </c>
      <c r="BD562" t="s">
        <v>74</v>
      </c>
      <c r="BE562" t="s">
        <v>11113</v>
      </c>
      <c r="BF562" t="str">
        <f>HYPERLINK("http://dx.doi.org/10.1016/j.anbehav.2021.05.007","http://dx.doi.org/10.1016/j.anbehav.2021.05.007")</f>
        <v>http://dx.doi.org/10.1016/j.anbehav.2021.05.007</v>
      </c>
      <c r="BG562" t="s">
        <v>74</v>
      </c>
      <c r="BH562" t="s">
        <v>8134</v>
      </c>
      <c r="BI562">
        <v>8</v>
      </c>
      <c r="BJ562" t="s">
        <v>11114</v>
      </c>
      <c r="BK562" t="s">
        <v>128</v>
      </c>
      <c r="BL562" t="s">
        <v>11114</v>
      </c>
      <c r="BM562" t="s">
        <v>11115</v>
      </c>
      <c r="BN562" t="s">
        <v>74</v>
      </c>
      <c r="BO562" t="s">
        <v>2152</v>
      </c>
      <c r="BP562" t="s">
        <v>74</v>
      </c>
      <c r="BQ562" t="s">
        <v>74</v>
      </c>
      <c r="BR562" t="s">
        <v>102</v>
      </c>
      <c r="BS562" t="s">
        <v>11116</v>
      </c>
      <c r="BT562" t="str">
        <f>HYPERLINK("https%3A%2F%2Fwww.webofscience.com%2Fwos%2Fwoscc%2Ffull-record%2FWOS:000669227900023","View Full Record in Web of Science")</f>
        <v>View Full Record in Web of Science</v>
      </c>
    </row>
    <row r="563" spans="1:72" x14ac:dyDescent="0.15">
      <c r="A563" t="s">
        <v>72</v>
      </c>
      <c r="B563" t="s">
        <v>11117</v>
      </c>
      <c r="C563" t="s">
        <v>74</v>
      </c>
      <c r="D563" t="s">
        <v>74</v>
      </c>
      <c r="E563" t="s">
        <v>74</v>
      </c>
      <c r="F563" t="s">
        <v>11118</v>
      </c>
      <c r="G563" t="s">
        <v>74</v>
      </c>
      <c r="H563" t="s">
        <v>74</v>
      </c>
      <c r="I563" t="s">
        <v>11119</v>
      </c>
      <c r="J563" t="s">
        <v>11120</v>
      </c>
      <c r="K563" t="s">
        <v>74</v>
      </c>
      <c r="L563" t="s">
        <v>74</v>
      </c>
      <c r="M563" t="s">
        <v>78</v>
      </c>
      <c r="N563" t="s">
        <v>79</v>
      </c>
      <c r="O563" t="s">
        <v>74</v>
      </c>
      <c r="P563" t="s">
        <v>74</v>
      </c>
      <c r="Q563" t="s">
        <v>74</v>
      </c>
      <c r="R563" t="s">
        <v>74</v>
      </c>
      <c r="S563" t="s">
        <v>74</v>
      </c>
      <c r="T563" t="s">
        <v>11121</v>
      </c>
      <c r="U563" t="s">
        <v>11122</v>
      </c>
      <c r="V563" t="s">
        <v>11123</v>
      </c>
      <c r="W563" t="s">
        <v>11124</v>
      </c>
      <c r="X563" t="s">
        <v>11125</v>
      </c>
      <c r="Y563" t="s">
        <v>11126</v>
      </c>
      <c r="Z563" t="s">
        <v>11127</v>
      </c>
      <c r="AA563" t="s">
        <v>74</v>
      </c>
      <c r="AB563" t="s">
        <v>11128</v>
      </c>
      <c r="AC563" t="s">
        <v>11129</v>
      </c>
      <c r="AD563" t="s">
        <v>11129</v>
      </c>
      <c r="AE563" t="s">
        <v>11130</v>
      </c>
      <c r="AF563" t="s">
        <v>74</v>
      </c>
      <c r="AG563">
        <v>116</v>
      </c>
      <c r="AH563">
        <v>2</v>
      </c>
      <c r="AI563">
        <v>2</v>
      </c>
      <c r="AJ563">
        <v>5</v>
      </c>
      <c r="AK563">
        <v>19</v>
      </c>
      <c r="AL563" t="s">
        <v>3135</v>
      </c>
      <c r="AM563" t="s">
        <v>3136</v>
      </c>
      <c r="AN563" t="s">
        <v>3137</v>
      </c>
      <c r="AO563" t="s">
        <v>11131</v>
      </c>
      <c r="AP563" t="s">
        <v>11132</v>
      </c>
      <c r="AQ563" t="s">
        <v>74</v>
      </c>
      <c r="AR563" t="s">
        <v>11133</v>
      </c>
      <c r="AS563" t="s">
        <v>11134</v>
      </c>
      <c r="AT563" t="s">
        <v>9016</v>
      </c>
      <c r="AU563">
        <v>2023</v>
      </c>
      <c r="AV563">
        <v>24</v>
      </c>
      <c r="AW563" t="s">
        <v>4114</v>
      </c>
      <c r="AX563" t="s">
        <v>74</v>
      </c>
      <c r="AY563" t="s">
        <v>74</v>
      </c>
      <c r="AZ563" t="s">
        <v>74</v>
      </c>
      <c r="BA563" t="s">
        <v>74</v>
      </c>
      <c r="BB563">
        <v>28</v>
      </c>
      <c r="BC563">
        <v>43</v>
      </c>
      <c r="BD563" t="s">
        <v>74</v>
      </c>
      <c r="BE563" t="s">
        <v>11135</v>
      </c>
      <c r="BF563" t="str">
        <f>HYPERLINK("http://dx.doi.org/10.1080/15275922.2021.1940383","http://dx.doi.org/10.1080/15275922.2021.1940383")</f>
        <v>http://dx.doi.org/10.1080/15275922.2021.1940383</v>
      </c>
      <c r="BG563" t="s">
        <v>74</v>
      </c>
      <c r="BH563" t="s">
        <v>8134</v>
      </c>
      <c r="BI563">
        <v>16</v>
      </c>
      <c r="BJ563" t="s">
        <v>262</v>
      </c>
      <c r="BK563" t="s">
        <v>128</v>
      </c>
      <c r="BL563" t="s">
        <v>263</v>
      </c>
      <c r="BM563" t="s">
        <v>11136</v>
      </c>
      <c r="BN563" t="s">
        <v>74</v>
      </c>
      <c r="BO563" t="s">
        <v>74</v>
      </c>
      <c r="BP563" t="s">
        <v>74</v>
      </c>
      <c r="BQ563" t="s">
        <v>74</v>
      </c>
      <c r="BR563" t="s">
        <v>102</v>
      </c>
      <c r="BS563" t="s">
        <v>11137</v>
      </c>
      <c r="BT563" t="str">
        <f>HYPERLINK("https%3A%2F%2Fwww.webofscience.com%2Fwos%2Fwoscc%2Ffull-record%2FWOS:000670472300001","View Full Record in Web of Science")</f>
        <v>View Full Record in Web of Science</v>
      </c>
    </row>
    <row r="564" spans="1:72" x14ac:dyDescent="0.15">
      <c r="A564" t="s">
        <v>72</v>
      </c>
      <c r="B564" t="s">
        <v>11138</v>
      </c>
      <c r="C564" t="s">
        <v>74</v>
      </c>
      <c r="D564" t="s">
        <v>74</v>
      </c>
      <c r="E564" t="s">
        <v>74</v>
      </c>
      <c r="F564" t="s">
        <v>11139</v>
      </c>
      <c r="G564" t="s">
        <v>74</v>
      </c>
      <c r="H564" t="s">
        <v>74</v>
      </c>
      <c r="I564" t="s">
        <v>11140</v>
      </c>
      <c r="J564" t="s">
        <v>2594</v>
      </c>
      <c r="K564" t="s">
        <v>74</v>
      </c>
      <c r="L564" t="s">
        <v>74</v>
      </c>
      <c r="M564" t="s">
        <v>78</v>
      </c>
      <c r="N564" t="s">
        <v>79</v>
      </c>
      <c r="O564" t="s">
        <v>74</v>
      </c>
      <c r="P564" t="s">
        <v>74</v>
      </c>
      <c r="Q564" t="s">
        <v>74</v>
      </c>
      <c r="R564" t="s">
        <v>74</v>
      </c>
      <c r="S564" t="s">
        <v>74</v>
      </c>
      <c r="T564" t="s">
        <v>74</v>
      </c>
      <c r="U564" t="s">
        <v>11141</v>
      </c>
      <c r="V564" t="s">
        <v>11142</v>
      </c>
      <c r="W564" t="s">
        <v>11143</v>
      </c>
      <c r="X564" t="s">
        <v>11144</v>
      </c>
      <c r="Y564" t="s">
        <v>11145</v>
      </c>
      <c r="Z564" t="s">
        <v>1200</v>
      </c>
      <c r="AA564" t="s">
        <v>11146</v>
      </c>
      <c r="AB564" t="s">
        <v>11147</v>
      </c>
      <c r="AC564" t="s">
        <v>1203</v>
      </c>
      <c r="AD564" t="s">
        <v>1204</v>
      </c>
      <c r="AE564" t="s">
        <v>11148</v>
      </c>
      <c r="AF564" t="s">
        <v>74</v>
      </c>
      <c r="AG564">
        <v>43</v>
      </c>
      <c r="AH564">
        <v>9</v>
      </c>
      <c r="AI564">
        <v>9</v>
      </c>
      <c r="AJ564">
        <v>0</v>
      </c>
      <c r="AK564">
        <v>15</v>
      </c>
      <c r="AL564" t="s">
        <v>395</v>
      </c>
      <c r="AM564" t="s">
        <v>396</v>
      </c>
      <c r="AN564" t="s">
        <v>397</v>
      </c>
      <c r="AO564" t="s">
        <v>2605</v>
      </c>
      <c r="AP564" t="s">
        <v>74</v>
      </c>
      <c r="AQ564" t="s">
        <v>74</v>
      </c>
      <c r="AR564" t="s">
        <v>2606</v>
      </c>
      <c r="AS564" t="s">
        <v>2607</v>
      </c>
      <c r="AT564" t="s">
        <v>11149</v>
      </c>
      <c r="AU564">
        <v>2021</v>
      </c>
      <c r="AV564">
        <v>11</v>
      </c>
      <c r="AW564">
        <v>1</v>
      </c>
      <c r="AX564" t="s">
        <v>74</v>
      </c>
      <c r="AY564" t="s">
        <v>74</v>
      </c>
      <c r="AZ564" t="s">
        <v>74</v>
      </c>
      <c r="BA564" t="s">
        <v>74</v>
      </c>
      <c r="BB564" t="s">
        <v>74</v>
      </c>
      <c r="BC564" t="s">
        <v>74</v>
      </c>
      <c r="BD564">
        <v>11475</v>
      </c>
      <c r="BE564" t="s">
        <v>11150</v>
      </c>
      <c r="BF564" t="str">
        <f>HYPERLINK("http://dx.doi.org/10.1038/s41598-021-91042-4","http://dx.doi.org/10.1038/s41598-021-91042-4")</f>
        <v>http://dx.doi.org/10.1038/s41598-021-91042-4</v>
      </c>
      <c r="BG564" t="s">
        <v>74</v>
      </c>
      <c r="BH564" t="s">
        <v>74</v>
      </c>
      <c r="BI564">
        <v>13</v>
      </c>
      <c r="BJ564" t="s">
        <v>2609</v>
      </c>
      <c r="BK564" t="s">
        <v>128</v>
      </c>
      <c r="BL564" t="s">
        <v>2610</v>
      </c>
      <c r="BM564" t="s">
        <v>11151</v>
      </c>
      <c r="BN564">
        <v>34108493</v>
      </c>
      <c r="BO564" t="s">
        <v>1377</v>
      </c>
      <c r="BP564" t="s">
        <v>74</v>
      </c>
      <c r="BQ564" t="s">
        <v>74</v>
      </c>
      <c r="BR564" t="s">
        <v>102</v>
      </c>
      <c r="BS564" t="s">
        <v>11152</v>
      </c>
      <c r="BT564" t="str">
        <f>HYPERLINK("https%3A%2F%2Fwww.webofscience.com%2Fwos%2Fwoscc%2Ffull-record%2FWOS:000663769100001","View Full Record in Web of Science")</f>
        <v>View Full Record in Web of Science</v>
      </c>
    </row>
    <row r="565" spans="1:72" x14ac:dyDescent="0.15">
      <c r="A565" t="s">
        <v>72</v>
      </c>
      <c r="B565" t="s">
        <v>11153</v>
      </c>
      <c r="C565" t="s">
        <v>74</v>
      </c>
      <c r="D565" t="s">
        <v>74</v>
      </c>
      <c r="E565" t="s">
        <v>74</v>
      </c>
      <c r="F565" t="s">
        <v>11154</v>
      </c>
      <c r="G565" t="s">
        <v>74</v>
      </c>
      <c r="H565" t="s">
        <v>74</v>
      </c>
      <c r="I565" t="s">
        <v>11155</v>
      </c>
      <c r="J565" t="s">
        <v>107</v>
      </c>
      <c r="K565" t="s">
        <v>74</v>
      </c>
      <c r="L565" t="s">
        <v>74</v>
      </c>
      <c r="M565" t="s">
        <v>78</v>
      </c>
      <c r="N565" t="s">
        <v>79</v>
      </c>
      <c r="O565" t="s">
        <v>74</v>
      </c>
      <c r="P565" t="s">
        <v>74</v>
      </c>
      <c r="Q565" t="s">
        <v>74</v>
      </c>
      <c r="R565" t="s">
        <v>74</v>
      </c>
      <c r="S565" t="s">
        <v>74</v>
      </c>
      <c r="T565" t="s">
        <v>11156</v>
      </c>
      <c r="U565" t="s">
        <v>11157</v>
      </c>
      <c r="V565" t="s">
        <v>11158</v>
      </c>
      <c r="W565" t="s">
        <v>11159</v>
      </c>
      <c r="X565" t="s">
        <v>11160</v>
      </c>
      <c r="Y565" t="s">
        <v>11161</v>
      </c>
      <c r="Z565" t="s">
        <v>11162</v>
      </c>
      <c r="AA565" t="s">
        <v>11163</v>
      </c>
      <c r="AB565" t="s">
        <v>11164</v>
      </c>
      <c r="AC565" t="s">
        <v>11165</v>
      </c>
      <c r="AD565" t="s">
        <v>11166</v>
      </c>
      <c r="AE565" t="s">
        <v>11167</v>
      </c>
      <c r="AF565" t="s">
        <v>74</v>
      </c>
      <c r="AG565">
        <v>255</v>
      </c>
      <c r="AH565">
        <v>16</v>
      </c>
      <c r="AI565">
        <v>17</v>
      </c>
      <c r="AJ565">
        <v>3</v>
      </c>
      <c r="AK565">
        <v>19</v>
      </c>
      <c r="AL565" t="s">
        <v>119</v>
      </c>
      <c r="AM565" t="s">
        <v>120</v>
      </c>
      <c r="AN565" t="s">
        <v>121</v>
      </c>
      <c r="AO565" t="s">
        <v>74</v>
      </c>
      <c r="AP565" t="s">
        <v>122</v>
      </c>
      <c r="AQ565" t="s">
        <v>74</v>
      </c>
      <c r="AR565" t="s">
        <v>123</v>
      </c>
      <c r="AS565" t="s">
        <v>124</v>
      </c>
      <c r="AT565" t="s">
        <v>11149</v>
      </c>
      <c r="AU565">
        <v>2021</v>
      </c>
      <c r="AV565">
        <v>8</v>
      </c>
      <c r="AW565" t="s">
        <v>74</v>
      </c>
      <c r="AX565" t="s">
        <v>74</v>
      </c>
      <c r="AY565" t="s">
        <v>74</v>
      </c>
      <c r="AZ565" t="s">
        <v>74</v>
      </c>
      <c r="BA565" t="s">
        <v>74</v>
      </c>
      <c r="BB565" t="s">
        <v>74</v>
      </c>
      <c r="BC565" t="s">
        <v>74</v>
      </c>
      <c r="BD565">
        <v>671837</v>
      </c>
      <c r="BE565" t="s">
        <v>11168</v>
      </c>
      <c r="BF565" t="str">
        <f>HYPERLINK("http://dx.doi.org/10.3389/fmars.2021.671837","http://dx.doi.org/10.3389/fmars.2021.671837")</f>
        <v>http://dx.doi.org/10.3389/fmars.2021.671837</v>
      </c>
      <c r="BG565" t="s">
        <v>74</v>
      </c>
      <c r="BH565" t="s">
        <v>74</v>
      </c>
      <c r="BI565">
        <v>22</v>
      </c>
      <c r="BJ565" t="s">
        <v>127</v>
      </c>
      <c r="BK565" t="s">
        <v>100</v>
      </c>
      <c r="BL565" t="s">
        <v>129</v>
      </c>
      <c r="BM565" t="s">
        <v>11169</v>
      </c>
      <c r="BN565" t="s">
        <v>74</v>
      </c>
      <c r="BO565" t="s">
        <v>311</v>
      </c>
      <c r="BP565" t="s">
        <v>74</v>
      </c>
      <c r="BQ565" t="s">
        <v>74</v>
      </c>
      <c r="BR565" t="s">
        <v>102</v>
      </c>
      <c r="BS565" t="s">
        <v>11170</v>
      </c>
      <c r="BT565" t="str">
        <f>HYPERLINK("https%3A%2F%2Fwww.webofscience.com%2Fwos%2Fwoscc%2Ffull-record%2FWOS:000663423100001","View Full Record in Web of Science")</f>
        <v>View Full Record in Web of Science</v>
      </c>
    </row>
    <row r="566" spans="1:72" x14ac:dyDescent="0.15">
      <c r="A566" t="s">
        <v>72</v>
      </c>
      <c r="B566" t="s">
        <v>11171</v>
      </c>
      <c r="C566" t="s">
        <v>74</v>
      </c>
      <c r="D566" t="s">
        <v>74</v>
      </c>
      <c r="E566" t="s">
        <v>74</v>
      </c>
      <c r="F566" t="s">
        <v>11172</v>
      </c>
      <c r="G566" t="s">
        <v>74</v>
      </c>
      <c r="H566" t="s">
        <v>74</v>
      </c>
      <c r="I566" t="s">
        <v>11173</v>
      </c>
      <c r="J566" t="s">
        <v>2372</v>
      </c>
      <c r="K566" t="s">
        <v>74</v>
      </c>
      <c r="L566" t="s">
        <v>74</v>
      </c>
      <c r="M566" t="s">
        <v>78</v>
      </c>
      <c r="N566" t="s">
        <v>79</v>
      </c>
      <c r="O566" t="s">
        <v>74</v>
      </c>
      <c r="P566" t="s">
        <v>74</v>
      </c>
      <c r="Q566" t="s">
        <v>74</v>
      </c>
      <c r="R566" t="s">
        <v>74</v>
      </c>
      <c r="S566" t="s">
        <v>74</v>
      </c>
      <c r="T566" t="s">
        <v>11174</v>
      </c>
      <c r="U566" t="s">
        <v>11175</v>
      </c>
      <c r="V566" t="s">
        <v>11176</v>
      </c>
      <c r="W566" t="s">
        <v>11177</v>
      </c>
      <c r="X566" t="s">
        <v>11178</v>
      </c>
      <c r="Y566" t="s">
        <v>11179</v>
      </c>
      <c r="Z566" t="s">
        <v>11180</v>
      </c>
      <c r="AA566" t="s">
        <v>11181</v>
      </c>
      <c r="AB566" t="s">
        <v>11182</v>
      </c>
      <c r="AC566" t="s">
        <v>11183</v>
      </c>
      <c r="AD566" t="s">
        <v>11184</v>
      </c>
      <c r="AE566" t="s">
        <v>11185</v>
      </c>
      <c r="AF566" t="s">
        <v>74</v>
      </c>
      <c r="AG566">
        <v>38</v>
      </c>
      <c r="AH566">
        <v>14</v>
      </c>
      <c r="AI566">
        <v>14</v>
      </c>
      <c r="AJ566">
        <v>1</v>
      </c>
      <c r="AK566">
        <v>11</v>
      </c>
      <c r="AL566" t="s">
        <v>227</v>
      </c>
      <c r="AM566" t="s">
        <v>228</v>
      </c>
      <c r="AN566" t="s">
        <v>229</v>
      </c>
      <c r="AO566" t="s">
        <v>2383</v>
      </c>
      <c r="AP566" t="s">
        <v>2384</v>
      </c>
      <c r="AQ566" t="s">
        <v>74</v>
      </c>
      <c r="AR566" t="s">
        <v>2385</v>
      </c>
      <c r="AS566" t="s">
        <v>2386</v>
      </c>
      <c r="AT566" t="s">
        <v>4241</v>
      </c>
      <c r="AU566">
        <v>2021</v>
      </c>
      <c r="AV566">
        <v>68</v>
      </c>
      <c r="AW566">
        <v>2</v>
      </c>
      <c r="AX566" t="s">
        <v>74</v>
      </c>
      <c r="AY566" t="s">
        <v>74</v>
      </c>
      <c r="AZ566" t="s">
        <v>74</v>
      </c>
      <c r="BA566" t="s">
        <v>74</v>
      </c>
      <c r="BB566">
        <v>724</v>
      </c>
      <c r="BC566">
        <v>731</v>
      </c>
      <c r="BD566" t="s">
        <v>74</v>
      </c>
      <c r="BE566" t="s">
        <v>11186</v>
      </c>
      <c r="BF566" t="str">
        <f>HYPERLINK("http://dx.doi.org/10.1016/j.asr.2020.05.030","http://dx.doi.org/10.1016/j.asr.2020.05.030")</f>
        <v>http://dx.doi.org/10.1016/j.asr.2020.05.030</v>
      </c>
      <c r="BG566" t="s">
        <v>74</v>
      </c>
      <c r="BH566" t="s">
        <v>8134</v>
      </c>
      <c r="BI566">
        <v>8</v>
      </c>
      <c r="BJ566" t="s">
        <v>2389</v>
      </c>
      <c r="BK566" t="s">
        <v>128</v>
      </c>
      <c r="BL566" t="s">
        <v>2390</v>
      </c>
      <c r="BM566" t="s">
        <v>11187</v>
      </c>
      <c r="BN566" t="s">
        <v>74</v>
      </c>
      <c r="BO566" t="s">
        <v>2514</v>
      </c>
      <c r="BP566" t="s">
        <v>74</v>
      </c>
      <c r="BQ566" t="s">
        <v>74</v>
      </c>
      <c r="BR566" t="s">
        <v>102</v>
      </c>
      <c r="BS566" t="s">
        <v>11188</v>
      </c>
      <c r="BT566" t="str">
        <f>HYPERLINK("https%3A%2F%2Fwww.webofscience.com%2Fwos%2Fwoscc%2Ffull-record%2FWOS:000659787700010","View Full Record in Web of Science")</f>
        <v>View Full Record in Web of Science</v>
      </c>
    </row>
    <row r="567" spans="1:72" x14ac:dyDescent="0.15">
      <c r="A567" t="s">
        <v>72</v>
      </c>
      <c r="B567" t="s">
        <v>11189</v>
      </c>
      <c r="C567" t="s">
        <v>74</v>
      </c>
      <c r="D567" t="s">
        <v>74</v>
      </c>
      <c r="E567" t="s">
        <v>74</v>
      </c>
      <c r="F567" t="s">
        <v>11190</v>
      </c>
      <c r="G567" t="s">
        <v>74</v>
      </c>
      <c r="H567" t="s">
        <v>74</v>
      </c>
      <c r="I567" t="s">
        <v>11191</v>
      </c>
      <c r="J567" t="s">
        <v>2372</v>
      </c>
      <c r="K567" t="s">
        <v>74</v>
      </c>
      <c r="L567" t="s">
        <v>74</v>
      </c>
      <c r="M567" t="s">
        <v>78</v>
      </c>
      <c r="N567" t="s">
        <v>79</v>
      </c>
      <c r="O567" t="s">
        <v>74</v>
      </c>
      <c r="P567" t="s">
        <v>74</v>
      </c>
      <c r="Q567" t="s">
        <v>74</v>
      </c>
      <c r="R567" t="s">
        <v>74</v>
      </c>
      <c r="S567" t="s">
        <v>74</v>
      </c>
      <c r="T567" t="s">
        <v>11192</v>
      </c>
      <c r="U567" t="s">
        <v>11193</v>
      </c>
      <c r="V567" t="s">
        <v>11194</v>
      </c>
      <c r="W567" t="s">
        <v>11195</v>
      </c>
      <c r="X567" t="s">
        <v>11196</v>
      </c>
      <c r="Y567" t="s">
        <v>11197</v>
      </c>
      <c r="Z567" t="s">
        <v>11198</v>
      </c>
      <c r="AA567" t="s">
        <v>11199</v>
      </c>
      <c r="AB567" t="s">
        <v>11200</v>
      </c>
      <c r="AC567" t="s">
        <v>74</v>
      </c>
      <c r="AD567" t="s">
        <v>74</v>
      </c>
      <c r="AE567" t="s">
        <v>74</v>
      </c>
      <c r="AF567" t="s">
        <v>74</v>
      </c>
      <c r="AG567">
        <v>44</v>
      </c>
      <c r="AH567">
        <v>21</v>
      </c>
      <c r="AI567">
        <v>22</v>
      </c>
      <c r="AJ567">
        <v>2</v>
      </c>
      <c r="AK567">
        <v>7</v>
      </c>
      <c r="AL567" t="s">
        <v>227</v>
      </c>
      <c r="AM567" t="s">
        <v>228</v>
      </c>
      <c r="AN567" t="s">
        <v>229</v>
      </c>
      <c r="AO567" t="s">
        <v>2383</v>
      </c>
      <c r="AP567" t="s">
        <v>2384</v>
      </c>
      <c r="AQ567" t="s">
        <v>74</v>
      </c>
      <c r="AR567" t="s">
        <v>2385</v>
      </c>
      <c r="AS567" t="s">
        <v>2386</v>
      </c>
      <c r="AT567" t="s">
        <v>4241</v>
      </c>
      <c r="AU567">
        <v>2021</v>
      </c>
      <c r="AV567">
        <v>68</v>
      </c>
      <c r="AW567">
        <v>2</v>
      </c>
      <c r="AX567" t="s">
        <v>74</v>
      </c>
      <c r="AY567" t="s">
        <v>74</v>
      </c>
      <c r="AZ567" t="s">
        <v>74</v>
      </c>
      <c r="BA567" t="s">
        <v>74</v>
      </c>
      <c r="BB567">
        <v>447</v>
      </c>
      <c r="BC567">
        <v>466</v>
      </c>
      <c r="BD567" t="s">
        <v>74</v>
      </c>
      <c r="BE567" t="s">
        <v>11201</v>
      </c>
      <c r="BF567" t="str">
        <f>HYPERLINK("http://dx.doi.org/10.1016/j.asr.2019.11.033","http://dx.doi.org/10.1016/j.asr.2019.11.033")</f>
        <v>http://dx.doi.org/10.1016/j.asr.2019.11.033</v>
      </c>
      <c r="BG567" t="s">
        <v>74</v>
      </c>
      <c r="BH567" t="s">
        <v>8134</v>
      </c>
      <c r="BI567">
        <v>20</v>
      </c>
      <c r="BJ567" t="s">
        <v>2389</v>
      </c>
      <c r="BK567" t="s">
        <v>128</v>
      </c>
      <c r="BL567" t="s">
        <v>2390</v>
      </c>
      <c r="BM567" t="s">
        <v>11202</v>
      </c>
      <c r="BN567" t="s">
        <v>74</v>
      </c>
      <c r="BO567" t="s">
        <v>1083</v>
      </c>
      <c r="BP567" t="s">
        <v>74</v>
      </c>
      <c r="BQ567" t="s">
        <v>74</v>
      </c>
      <c r="BR567" t="s">
        <v>102</v>
      </c>
      <c r="BS567" t="s">
        <v>11203</v>
      </c>
      <c r="BT567" t="str">
        <f>HYPERLINK("https%3A%2F%2Fwww.webofscience.com%2Fwos%2Fwoscc%2Ffull-record%2FWOS:000659886500001","View Full Record in Web of Science")</f>
        <v>View Full Record in Web of Science</v>
      </c>
    </row>
    <row r="568" spans="1:72" x14ac:dyDescent="0.15">
      <c r="A568" t="s">
        <v>72</v>
      </c>
      <c r="B568" t="s">
        <v>11204</v>
      </c>
      <c r="C568" t="s">
        <v>74</v>
      </c>
      <c r="D568" t="s">
        <v>74</v>
      </c>
      <c r="E568" t="s">
        <v>74</v>
      </c>
      <c r="F568" t="s">
        <v>11205</v>
      </c>
      <c r="G568" t="s">
        <v>74</v>
      </c>
      <c r="H568" t="s">
        <v>74</v>
      </c>
      <c r="I568" t="s">
        <v>11206</v>
      </c>
      <c r="J568" t="s">
        <v>4671</v>
      </c>
      <c r="K568" t="s">
        <v>74</v>
      </c>
      <c r="L568" t="s">
        <v>74</v>
      </c>
      <c r="M568" t="s">
        <v>78</v>
      </c>
      <c r="N568" t="s">
        <v>79</v>
      </c>
      <c r="O568" t="s">
        <v>74</v>
      </c>
      <c r="P568" t="s">
        <v>74</v>
      </c>
      <c r="Q568" t="s">
        <v>74</v>
      </c>
      <c r="R568" t="s">
        <v>74</v>
      </c>
      <c r="S568" t="s">
        <v>74</v>
      </c>
      <c r="T568" t="s">
        <v>74</v>
      </c>
      <c r="U568" t="s">
        <v>11207</v>
      </c>
      <c r="V568" t="s">
        <v>11208</v>
      </c>
      <c r="W568" t="s">
        <v>11209</v>
      </c>
      <c r="X568" t="s">
        <v>11210</v>
      </c>
      <c r="Y568" t="s">
        <v>11211</v>
      </c>
      <c r="Z568" t="s">
        <v>11212</v>
      </c>
      <c r="AA568" t="s">
        <v>11213</v>
      </c>
      <c r="AB568" t="s">
        <v>11214</v>
      </c>
      <c r="AC568" t="s">
        <v>11215</v>
      </c>
      <c r="AD568" t="s">
        <v>11216</v>
      </c>
      <c r="AE568" t="s">
        <v>11217</v>
      </c>
      <c r="AF568" t="s">
        <v>74</v>
      </c>
      <c r="AG568">
        <v>89</v>
      </c>
      <c r="AH568">
        <v>35</v>
      </c>
      <c r="AI568">
        <v>37</v>
      </c>
      <c r="AJ568">
        <v>1</v>
      </c>
      <c r="AK568">
        <v>9</v>
      </c>
      <c r="AL568" t="s">
        <v>143</v>
      </c>
      <c r="AM568" t="s">
        <v>144</v>
      </c>
      <c r="AN568" t="s">
        <v>145</v>
      </c>
      <c r="AO568" t="s">
        <v>4683</v>
      </c>
      <c r="AP568" t="s">
        <v>4684</v>
      </c>
      <c r="AQ568" t="s">
        <v>74</v>
      </c>
      <c r="AR568" t="s">
        <v>4685</v>
      </c>
      <c r="AS568" t="s">
        <v>4686</v>
      </c>
      <c r="AT568" t="s">
        <v>11149</v>
      </c>
      <c r="AU568">
        <v>2021</v>
      </c>
      <c r="AV568">
        <v>14</v>
      </c>
      <c r="AW568">
        <v>6</v>
      </c>
      <c r="AX568" t="s">
        <v>74</v>
      </c>
      <c r="AY568" t="s">
        <v>74</v>
      </c>
      <c r="AZ568" t="s">
        <v>74</v>
      </c>
      <c r="BA568" t="s">
        <v>74</v>
      </c>
      <c r="BB568">
        <v>3487</v>
      </c>
      <c r="BC568">
        <v>3510</v>
      </c>
      <c r="BD568" t="s">
        <v>74</v>
      </c>
      <c r="BE568" t="s">
        <v>11218</v>
      </c>
      <c r="BF568" t="str">
        <f>HYPERLINK("http://dx.doi.org/10.5194/gmd-14-3487-2021","http://dx.doi.org/10.5194/gmd-14-3487-2021")</f>
        <v>http://dx.doi.org/10.5194/gmd-14-3487-2021</v>
      </c>
      <c r="BG568" t="s">
        <v>74</v>
      </c>
      <c r="BH568" t="s">
        <v>74</v>
      </c>
      <c r="BI568">
        <v>24</v>
      </c>
      <c r="BJ568" t="s">
        <v>405</v>
      </c>
      <c r="BK568" t="s">
        <v>128</v>
      </c>
      <c r="BL568" t="s">
        <v>406</v>
      </c>
      <c r="BM568" t="s">
        <v>11219</v>
      </c>
      <c r="BN568" t="s">
        <v>74</v>
      </c>
      <c r="BO568" t="s">
        <v>154</v>
      </c>
      <c r="BP568" t="s">
        <v>74</v>
      </c>
      <c r="BQ568" t="s">
        <v>74</v>
      </c>
      <c r="BR568" t="s">
        <v>102</v>
      </c>
      <c r="BS568" t="s">
        <v>11220</v>
      </c>
      <c r="BT568" t="str">
        <f>HYPERLINK("https%3A%2F%2Fwww.webofscience.com%2Fwos%2Fwoscc%2Ffull-record%2FWOS:000661467700001","View Full Record in Web of Science")</f>
        <v>View Full Record in Web of Science</v>
      </c>
    </row>
    <row r="569" spans="1:72" x14ac:dyDescent="0.15">
      <c r="A569" t="s">
        <v>72</v>
      </c>
      <c r="B569" t="s">
        <v>11221</v>
      </c>
      <c r="C569" t="s">
        <v>74</v>
      </c>
      <c r="D569" t="s">
        <v>74</v>
      </c>
      <c r="E569" t="s">
        <v>74</v>
      </c>
      <c r="F569" t="s">
        <v>11222</v>
      </c>
      <c r="G569" t="s">
        <v>74</v>
      </c>
      <c r="H569" t="s">
        <v>74</v>
      </c>
      <c r="I569" t="s">
        <v>11223</v>
      </c>
      <c r="J569" t="s">
        <v>3061</v>
      </c>
      <c r="K569" t="s">
        <v>74</v>
      </c>
      <c r="L569" t="s">
        <v>74</v>
      </c>
      <c r="M569" t="s">
        <v>78</v>
      </c>
      <c r="N569" t="s">
        <v>79</v>
      </c>
      <c r="O569" t="s">
        <v>74</v>
      </c>
      <c r="P569" t="s">
        <v>74</v>
      </c>
      <c r="Q569" t="s">
        <v>74</v>
      </c>
      <c r="R569" t="s">
        <v>74</v>
      </c>
      <c r="S569" t="s">
        <v>74</v>
      </c>
      <c r="T569" t="s">
        <v>11224</v>
      </c>
      <c r="U569" t="s">
        <v>11225</v>
      </c>
      <c r="V569" t="s">
        <v>11226</v>
      </c>
      <c r="W569" t="s">
        <v>11227</v>
      </c>
      <c r="X569" t="s">
        <v>11228</v>
      </c>
      <c r="Y569" t="s">
        <v>11229</v>
      </c>
      <c r="Z569" t="s">
        <v>11230</v>
      </c>
      <c r="AA569" t="s">
        <v>74</v>
      </c>
      <c r="AB569" t="s">
        <v>74</v>
      </c>
      <c r="AC569" t="s">
        <v>11231</v>
      </c>
      <c r="AD569" t="s">
        <v>11232</v>
      </c>
      <c r="AE569" t="s">
        <v>11233</v>
      </c>
      <c r="AF569" t="s">
        <v>74</v>
      </c>
      <c r="AG569">
        <v>73</v>
      </c>
      <c r="AH569">
        <v>4</v>
      </c>
      <c r="AI569">
        <v>4</v>
      </c>
      <c r="AJ569">
        <v>1</v>
      </c>
      <c r="AK569">
        <v>9</v>
      </c>
      <c r="AL569" t="s">
        <v>450</v>
      </c>
      <c r="AM569" t="s">
        <v>650</v>
      </c>
      <c r="AN569" t="s">
        <v>1957</v>
      </c>
      <c r="AO569" t="s">
        <v>3074</v>
      </c>
      <c r="AP569" t="s">
        <v>3075</v>
      </c>
      <c r="AQ569" t="s">
        <v>74</v>
      </c>
      <c r="AR569" t="s">
        <v>3061</v>
      </c>
      <c r="AS569" t="s">
        <v>3076</v>
      </c>
      <c r="AT569" t="s">
        <v>430</v>
      </c>
      <c r="AU569">
        <v>2021</v>
      </c>
      <c r="AV569">
        <v>196</v>
      </c>
      <c r="AW569">
        <v>3</v>
      </c>
      <c r="AX569" t="s">
        <v>74</v>
      </c>
      <c r="AY569" t="s">
        <v>74</v>
      </c>
      <c r="AZ569" t="s">
        <v>74</v>
      </c>
      <c r="BA569" t="s">
        <v>74</v>
      </c>
      <c r="BB569">
        <v>693</v>
      </c>
      <c r="BC569">
        <v>705</v>
      </c>
      <c r="BD569" t="s">
        <v>74</v>
      </c>
      <c r="BE569" t="s">
        <v>11234</v>
      </c>
      <c r="BF569" t="str">
        <f>HYPERLINK("http://dx.doi.org/10.1007/s00442-021-04958-z","http://dx.doi.org/10.1007/s00442-021-04958-z")</f>
        <v>http://dx.doi.org/10.1007/s00442-021-04958-z</v>
      </c>
      <c r="BG569" t="s">
        <v>74</v>
      </c>
      <c r="BH569" t="s">
        <v>8134</v>
      </c>
      <c r="BI569">
        <v>13</v>
      </c>
      <c r="BJ569" t="s">
        <v>1462</v>
      </c>
      <c r="BK569" t="s">
        <v>128</v>
      </c>
      <c r="BL569" t="s">
        <v>263</v>
      </c>
      <c r="BM569" t="s">
        <v>8704</v>
      </c>
      <c r="BN569">
        <v>34109449</v>
      </c>
      <c r="BO569" t="s">
        <v>74</v>
      </c>
      <c r="BP569" t="s">
        <v>74</v>
      </c>
      <c r="BQ569" t="s">
        <v>74</v>
      </c>
      <c r="BR569" t="s">
        <v>102</v>
      </c>
      <c r="BS569" t="s">
        <v>11235</v>
      </c>
      <c r="BT569" t="str">
        <f>HYPERLINK("https%3A%2F%2Fwww.webofscience.com%2Fwos%2Fwoscc%2Ffull-record%2FWOS:000659401400001","View Full Record in Web of Science")</f>
        <v>View Full Record in Web of Science</v>
      </c>
    </row>
    <row r="570" spans="1:72" x14ac:dyDescent="0.15">
      <c r="A570" t="s">
        <v>72</v>
      </c>
      <c r="B570" t="s">
        <v>11236</v>
      </c>
      <c r="C570" t="s">
        <v>74</v>
      </c>
      <c r="D570" t="s">
        <v>74</v>
      </c>
      <c r="E570" t="s">
        <v>74</v>
      </c>
      <c r="F570" t="s">
        <v>11237</v>
      </c>
      <c r="G570" t="s">
        <v>74</v>
      </c>
      <c r="H570" t="s">
        <v>74</v>
      </c>
      <c r="I570" t="s">
        <v>11238</v>
      </c>
      <c r="J570" t="s">
        <v>10722</v>
      </c>
      <c r="K570" t="s">
        <v>74</v>
      </c>
      <c r="L570" t="s">
        <v>74</v>
      </c>
      <c r="M570" t="s">
        <v>78</v>
      </c>
      <c r="N570" t="s">
        <v>10723</v>
      </c>
      <c r="O570" t="s">
        <v>74</v>
      </c>
      <c r="P570" t="s">
        <v>74</v>
      </c>
      <c r="Q570" t="s">
        <v>74</v>
      </c>
      <c r="R570" t="s">
        <v>74</v>
      </c>
      <c r="S570" t="s">
        <v>74</v>
      </c>
      <c r="T570" t="s">
        <v>11239</v>
      </c>
      <c r="U570" t="s">
        <v>74</v>
      </c>
      <c r="V570" t="s">
        <v>11240</v>
      </c>
      <c r="W570" t="s">
        <v>11241</v>
      </c>
      <c r="X570" t="s">
        <v>11242</v>
      </c>
      <c r="Y570" t="s">
        <v>11243</v>
      </c>
      <c r="Z570" t="s">
        <v>11244</v>
      </c>
      <c r="AA570" t="s">
        <v>74</v>
      </c>
      <c r="AB570" t="s">
        <v>74</v>
      </c>
      <c r="AC570" t="s">
        <v>11245</v>
      </c>
      <c r="AD570" t="s">
        <v>11246</v>
      </c>
      <c r="AE570" t="s">
        <v>11247</v>
      </c>
      <c r="AF570" t="s">
        <v>74</v>
      </c>
      <c r="AG570">
        <v>4</v>
      </c>
      <c r="AH570">
        <v>2</v>
      </c>
      <c r="AI570">
        <v>2</v>
      </c>
      <c r="AJ570">
        <v>0</v>
      </c>
      <c r="AK570">
        <v>4</v>
      </c>
      <c r="AL570" t="s">
        <v>89</v>
      </c>
      <c r="AM570" t="s">
        <v>90</v>
      </c>
      <c r="AN570" t="s">
        <v>91</v>
      </c>
      <c r="AO570" t="s">
        <v>10734</v>
      </c>
      <c r="AP570" t="s">
        <v>74</v>
      </c>
      <c r="AQ570" t="s">
        <v>74</v>
      </c>
      <c r="AR570" t="s">
        <v>10735</v>
      </c>
      <c r="AS570" t="s">
        <v>10736</v>
      </c>
      <c r="AT570" t="s">
        <v>535</v>
      </c>
      <c r="AU570">
        <v>2021</v>
      </c>
      <c r="AV570">
        <v>37</v>
      </c>
      <c r="AW570" t="s">
        <v>74</v>
      </c>
      <c r="AX570" t="s">
        <v>74</v>
      </c>
      <c r="AY570" t="s">
        <v>74</v>
      </c>
      <c r="AZ570" t="s">
        <v>74</v>
      </c>
      <c r="BA570" t="s">
        <v>74</v>
      </c>
      <c r="BB570" t="s">
        <v>74</v>
      </c>
      <c r="BC570" t="s">
        <v>74</v>
      </c>
      <c r="BD570">
        <v>107198</v>
      </c>
      <c r="BE570" t="s">
        <v>11248</v>
      </c>
      <c r="BF570" t="str">
        <f>HYPERLINK("http://dx.doi.org/10.1016/j.dib.2021.107198","http://dx.doi.org/10.1016/j.dib.2021.107198")</f>
        <v>http://dx.doi.org/10.1016/j.dib.2021.107198</v>
      </c>
      <c r="BG570" t="s">
        <v>74</v>
      </c>
      <c r="BH570" t="s">
        <v>8134</v>
      </c>
      <c r="BI570">
        <v>5</v>
      </c>
      <c r="BJ570" t="s">
        <v>2609</v>
      </c>
      <c r="BK570" t="s">
        <v>1819</v>
      </c>
      <c r="BL570" t="s">
        <v>2610</v>
      </c>
      <c r="BM570" t="s">
        <v>10738</v>
      </c>
      <c r="BN570">
        <v>34150966</v>
      </c>
      <c r="BO570" t="s">
        <v>1377</v>
      </c>
      <c r="BP570" t="s">
        <v>74</v>
      </c>
      <c r="BQ570" t="s">
        <v>74</v>
      </c>
      <c r="BR570" t="s">
        <v>102</v>
      </c>
      <c r="BS570" t="s">
        <v>11249</v>
      </c>
      <c r="BT570" t="str">
        <f>HYPERLINK("https%3A%2F%2Fwww.webofscience.com%2Fwos%2Fwoscc%2Ffull-record%2FWOS:000689359300008","View Full Record in Web of Science")</f>
        <v>View Full Record in Web of Science</v>
      </c>
    </row>
    <row r="571" spans="1:72" x14ac:dyDescent="0.15">
      <c r="A571" t="s">
        <v>72</v>
      </c>
      <c r="B571" t="s">
        <v>11250</v>
      </c>
      <c r="C571" t="s">
        <v>74</v>
      </c>
      <c r="D571" t="s">
        <v>74</v>
      </c>
      <c r="E571" t="s">
        <v>74</v>
      </c>
      <c r="F571" t="s">
        <v>11251</v>
      </c>
      <c r="G571" t="s">
        <v>74</v>
      </c>
      <c r="H571" t="s">
        <v>74</v>
      </c>
      <c r="I571" t="s">
        <v>11252</v>
      </c>
      <c r="J571" t="s">
        <v>243</v>
      </c>
      <c r="K571" t="s">
        <v>74</v>
      </c>
      <c r="L571" t="s">
        <v>74</v>
      </c>
      <c r="M571" t="s">
        <v>78</v>
      </c>
      <c r="N571" t="s">
        <v>79</v>
      </c>
      <c r="O571" t="s">
        <v>74</v>
      </c>
      <c r="P571" t="s">
        <v>74</v>
      </c>
      <c r="Q571" t="s">
        <v>74</v>
      </c>
      <c r="R571" t="s">
        <v>74</v>
      </c>
      <c r="S571" t="s">
        <v>74</v>
      </c>
      <c r="T571" t="s">
        <v>11253</v>
      </c>
      <c r="U571" t="s">
        <v>11254</v>
      </c>
      <c r="V571" t="s">
        <v>11255</v>
      </c>
      <c r="W571" t="s">
        <v>11256</v>
      </c>
      <c r="X571" t="s">
        <v>11257</v>
      </c>
      <c r="Y571" t="s">
        <v>11258</v>
      </c>
      <c r="Z571" t="s">
        <v>11259</v>
      </c>
      <c r="AA571" t="s">
        <v>74</v>
      </c>
      <c r="AB571" t="s">
        <v>11260</v>
      </c>
      <c r="AC571" t="s">
        <v>11261</v>
      </c>
      <c r="AD571" t="s">
        <v>11262</v>
      </c>
      <c r="AE571" t="s">
        <v>11263</v>
      </c>
      <c r="AF571" t="s">
        <v>74</v>
      </c>
      <c r="AG571">
        <v>127</v>
      </c>
      <c r="AH571">
        <v>7</v>
      </c>
      <c r="AI571">
        <v>7</v>
      </c>
      <c r="AJ571">
        <v>5</v>
      </c>
      <c r="AK571">
        <v>62</v>
      </c>
      <c r="AL571" t="s">
        <v>89</v>
      </c>
      <c r="AM571" t="s">
        <v>90</v>
      </c>
      <c r="AN571" t="s">
        <v>91</v>
      </c>
      <c r="AO571" t="s">
        <v>256</v>
      </c>
      <c r="AP571" t="s">
        <v>257</v>
      </c>
      <c r="AQ571" t="s">
        <v>74</v>
      </c>
      <c r="AR571" t="s">
        <v>258</v>
      </c>
      <c r="AS571" t="s">
        <v>259</v>
      </c>
      <c r="AT571" t="s">
        <v>11264</v>
      </c>
      <c r="AU571">
        <v>2021</v>
      </c>
      <c r="AV571">
        <v>790</v>
      </c>
      <c r="AW571" t="s">
        <v>74</v>
      </c>
      <c r="AX571" t="s">
        <v>74</v>
      </c>
      <c r="AY571" t="s">
        <v>74</v>
      </c>
      <c r="AZ571" t="s">
        <v>74</v>
      </c>
      <c r="BA571" t="s">
        <v>74</v>
      </c>
      <c r="BB571" t="s">
        <v>74</v>
      </c>
      <c r="BC571" t="s">
        <v>74</v>
      </c>
      <c r="BD571">
        <v>147879</v>
      </c>
      <c r="BE571" t="s">
        <v>11265</v>
      </c>
      <c r="BF571" t="str">
        <f>HYPERLINK("http://dx.doi.org/10.1016/j.scitotenv.2021.147879","http://dx.doi.org/10.1016/j.scitotenv.2021.147879")</f>
        <v>http://dx.doi.org/10.1016/j.scitotenv.2021.147879</v>
      </c>
      <c r="BG571" t="s">
        <v>74</v>
      </c>
      <c r="BH571" t="s">
        <v>8134</v>
      </c>
      <c r="BI571">
        <v>16</v>
      </c>
      <c r="BJ571" t="s">
        <v>262</v>
      </c>
      <c r="BK571" t="s">
        <v>128</v>
      </c>
      <c r="BL571" t="s">
        <v>263</v>
      </c>
      <c r="BM571" t="s">
        <v>11266</v>
      </c>
      <c r="BN571">
        <v>34380283</v>
      </c>
      <c r="BO571" t="s">
        <v>238</v>
      </c>
      <c r="BP571" t="s">
        <v>74</v>
      </c>
      <c r="BQ571" t="s">
        <v>74</v>
      </c>
      <c r="BR571" t="s">
        <v>102</v>
      </c>
      <c r="BS571" t="s">
        <v>11267</v>
      </c>
      <c r="BT571" t="str">
        <f>HYPERLINK("https%3A%2F%2Fwww.webofscience.com%2Fwos%2Fwoscc%2Ffull-record%2FWOS:000685285400009","View Full Record in Web of Science")</f>
        <v>View Full Record in Web of Science</v>
      </c>
    </row>
    <row r="572" spans="1:72" x14ac:dyDescent="0.15">
      <c r="A572" t="s">
        <v>72</v>
      </c>
      <c r="B572" t="s">
        <v>11268</v>
      </c>
      <c r="C572" t="s">
        <v>74</v>
      </c>
      <c r="D572" t="s">
        <v>74</v>
      </c>
      <c r="E572" t="s">
        <v>74</v>
      </c>
      <c r="F572" t="s">
        <v>11269</v>
      </c>
      <c r="G572" t="s">
        <v>74</v>
      </c>
      <c r="H572" t="s">
        <v>74</v>
      </c>
      <c r="I572" t="s">
        <v>11270</v>
      </c>
      <c r="J572" t="s">
        <v>4769</v>
      </c>
      <c r="K572" t="s">
        <v>74</v>
      </c>
      <c r="L572" t="s">
        <v>74</v>
      </c>
      <c r="M572" t="s">
        <v>78</v>
      </c>
      <c r="N572" t="s">
        <v>79</v>
      </c>
      <c r="O572" t="s">
        <v>74</v>
      </c>
      <c r="P572" t="s">
        <v>74</v>
      </c>
      <c r="Q572" t="s">
        <v>74</v>
      </c>
      <c r="R572" t="s">
        <v>74</v>
      </c>
      <c r="S572" t="s">
        <v>74</v>
      </c>
      <c r="T572" t="s">
        <v>11271</v>
      </c>
      <c r="U572" t="s">
        <v>11272</v>
      </c>
      <c r="V572" t="s">
        <v>11273</v>
      </c>
      <c r="W572" t="s">
        <v>11274</v>
      </c>
      <c r="X572" t="s">
        <v>11275</v>
      </c>
      <c r="Y572" t="s">
        <v>11276</v>
      </c>
      <c r="Z572" t="s">
        <v>74</v>
      </c>
      <c r="AA572" t="s">
        <v>11277</v>
      </c>
      <c r="AB572" t="s">
        <v>11278</v>
      </c>
      <c r="AC572" t="s">
        <v>11279</v>
      </c>
      <c r="AD572" t="s">
        <v>11280</v>
      </c>
      <c r="AE572" t="s">
        <v>11281</v>
      </c>
      <c r="AF572" t="s">
        <v>74</v>
      </c>
      <c r="AG572">
        <v>106</v>
      </c>
      <c r="AH572">
        <v>11</v>
      </c>
      <c r="AI572">
        <v>11</v>
      </c>
      <c r="AJ572">
        <v>1</v>
      </c>
      <c r="AK572">
        <v>9</v>
      </c>
      <c r="AL572" t="s">
        <v>227</v>
      </c>
      <c r="AM572" t="s">
        <v>228</v>
      </c>
      <c r="AN572" t="s">
        <v>229</v>
      </c>
      <c r="AO572" t="s">
        <v>4782</v>
      </c>
      <c r="AP572" t="s">
        <v>4783</v>
      </c>
      <c r="AQ572" t="s">
        <v>74</v>
      </c>
      <c r="AR572" t="s">
        <v>4784</v>
      </c>
      <c r="AS572" t="s">
        <v>4785</v>
      </c>
      <c r="AT572" t="s">
        <v>402</v>
      </c>
      <c r="AU572">
        <v>2021</v>
      </c>
      <c r="AV572">
        <v>131</v>
      </c>
      <c r="AW572" t="s">
        <v>74</v>
      </c>
      <c r="AX572" t="s">
        <v>74</v>
      </c>
      <c r="AY572" t="s">
        <v>74</v>
      </c>
      <c r="AZ572" t="s">
        <v>74</v>
      </c>
      <c r="BA572" t="s">
        <v>74</v>
      </c>
      <c r="BB572" t="s">
        <v>74</v>
      </c>
      <c r="BC572" t="s">
        <v>74</v>
      </c>
      <c r="BD572">
        <v>104618</v>
      </c>
      <c r="BE572" t="s">
        <v>11282</v>
      </c>
      <c r="BF572" t="str">
        <f>HYPERLINK("http://dx.doi.org/10.1016/j.marpol.2021.104618","http://dx.doi.org/10.1016/j.marpol.2021.104618")</f>
        <v>http://dx.doi.org/10.1016/j.marpol.2021.104618</v>
      </c>
      <c r="BG572" t="s">
        <v>74</v>
      </c>
      <c r="BH572" t="s">
        <v>8134</v>
      </c>
      <c r="BI572">
        <v>15</v>
      </c>
      <c r="BJ572" t="s">
        <v>4787</v>
      </c>
      <c r="BK572" t="s">
        <v>377</v>
      </c>
      <c r="BL572" t="s">
        <v>4788</v>
      </c>
      <c r="BM572" t="s">
        <v>11283</v>
      </c>
      <c r="BN572" t="s">
        <v>74</v>
      </c>
      <c r="BO572" t="s">
        <v>74</v>
      </c>
      <c r="BP572" t="s">
        <v>74</v>
      </c>
      <c r="BQ572" t="s">
        <v>74</v>
      </c>
      <c r="BR572" t="s">
        <v>102</v>
      </c>
      <c r="BS572" t="s">
        <v>11284</v>
      </c>
      <c r="BT572" t="str">
        <f>HYPERLINK("https%3A%2F%2Fwww.webofscience.com%2Fwos%2Fwoscc%2Ffull-record%2FWOS:000687298500005","View Full Record in Web of Science")</f>
        <v>View Full Record in Web of Science</v>
      </c>
    </row>
    <row r="573" spans="1:72" x14ac:dyDescent="0.15">
      <c r="A573" t="s">
        <v>72</v>
      </c>
      <c r="B573" t="s">
        <v>11285</v>
      </c>
      <c r="C573" t="s">
        <v>74</v>
      </c>
      <c r="D573" t="s">
        <v>74</v>
      </c>
      <c r="E573" t="s">
        <v>74</v>
      </c>
      <c r="F573" t="s">
        <v>11286</v>
      </c>
      <c r="G573" t="s">
        <v>74</v>
      </c>
      <c r="H573" t="s">
        <v>74</v>
      </c>
      <c r="I573" t="s">
        <v>11287</v>
      </c>
      <c r="J573" t="s">
        <v>4330</v>
      </c>
      <c r="K573" t="s">
        <v>74</v>
      </c>
      <c r="L573" t="s">
        <v>74</v>
      </c>
      <c r="M573" t="s">
        <v>78</v>
      </c>
      <c r="N573" t="s">
        <v>79</v>
      </c>
      <c r="O573" t="s">
        <v>74</v>
      </c>
      <c r="P573" t="s">
        <v>74</v>
      </c>
      <c r="Q573" t="s">
        <v>74</v>
      </c>
      <c r="R573" t="s">
        <v>74</v>
      </c>
      <c r="S573" t="s">
        <v>74</v>
      </c>
      <c r="T573" t="s">
        <v>11288</v>
      </c>
      <c r="U573" t="s">
        <v>11289</v>
      </c>
      <c r="V573" t="s">
        <v>11290</v>
      </c>
      <c r="W573" t="s">
        <v>11291</v>
      </c>
      <c r="X573" t="s">
        <v>11292</v>
      </c>
      <c r="Y573" t="s">
        <v>11293</v>
      </c>
      <c r="Z573" t="s">
        <v>11294</v>
      </c>
      <c r="AA573" t="s">
        <v>11295</v>
      </c>
      <c r="AB573" t="s">
        <v>11296</v>
      </c>
      <c r="AC573" t="s">
        <v>11297</v>
      </c>
      <c r="AD573" t="s">
        <v>11298</v>
      </c>
      <c r="AE573" t="s">
        <v>11299</v>
      </c>
      <c r="AF573" t="s">
        <v>74</v>
      </c>
      <c r="AG573">
        <v>87</v>
      </c>
      <c r="AH573">
        <v>14</v>
      </c>
      <c r="AI573">
        <v>15</v>
      </c>
      <c r="AJ573">
        <v>8</v>
      </c>
      <c r="AK573">
        <v>32</v>
      </c>
      <c r="AL573" t="s">
        <v>281</v>
      </c>
      <c r="AM573" t="s">
        <v>228</v>
      </c>
      <c r="AN573" t="s">
        <v>282</v>
      </c>
      <c r="AO573" t="s">
        <v>4342</v>
      </c>
      <c r="AP573" t="s">
        <v>4343</v>
      </c>
      <c r="AQ573" t="s">
        <v>74</v>
      </c>
      <c r="AR573" t="s">
        <v>4344</v>
      </c>
      <c r="AS573" t="s">
        <v>4345</v>
      </c>
      <c r="AT573" t="s">
        <v>535</v>
      </c>
      <c r="AU573">
        <v>2021</v>
      </c>
      <c r="AV573">
        <v>169</v>
      </c>
      <c r="AW573" t="s">
        <v>74</v>
      </c>
      <c r="AX573" t="s">
        <v>74</v>
      </c>
      <c r="AY573" t="s">
        <v>74</v>
      </c>
      <c r="AZ573" t="s">
        <v>74</v>
      </c>
      <c r="BA573" t="s">
        <v>74</v>
      </c>
      <c r="BB573" t="s">
        <v>74</v>
      </c>
      <c r="BC573" t="s">
        <v>74</v>
      </c>
      <c r="BD573">
        <v>112559</v>
      </c>
      <c r="BE573" t="s">
        <v>11300</v>
      </c>
      <c r="BF573" t="str">
        <f>HYPERLINK("http://dx.doi.org/10.1016/j.marpolbul.2021.112559","http://dx.doi.org/10.1016/j.marpolbul.2021.112559")</f>
        <v>http://dx.doi.org/10.1016/j.marpolbul.2021.112559</v>
      </c>
      <c r="BG573" t="s">
        <v>74</v>
      </c>
      <c r="BH573" t="s">
        <v>8134</v>
      </c>
      <c r="BI573">
        <v>11</v>
      </c>
      <c r="BJ573" t="s">
        <v>127</v>
      </c>
      <c r="BK573" t="s">
        <v>128</v>
      </c>
      <c r="BL573" t="s">
        <v>129</v>
      </c>
      <c r="BM573" t="s">
        <v>11301</v>
      </c>
      <c r="BN573">
        <v>34116371</v>
      </c>
      <c r="BO573" t="s">
        <v>74</v>
      </c>
      <c r="BP573" t="s">
        <v>74</v>
      </c>
      <c r="BQ573" t="s">
        <v>74</v>
      </c>
      <c r="BR573" t="s">
        <v>102</v>
      </c>
      <c r="BS573" t="s">
        <v>11302</v>
      </c>
      <c r="BT573" t="str">
        <f>HYPERLINK("https%3A%2F%2Fwww.webofscience.com%2Fwos%2Fwoscc%2Ffull-record%2FWOS:000679313100017","View Full Record in Web of Science")</f>
        <v>View Full Record in Web of Science</v>
      </c>
    </row>
    <row r="574" spans="1:72" x14ac:dyDescent="0.15">
      <c r="A574" t="s">
        <v>72</v>
      </c>
      <c r="B574" t="s">
        <v>11303</v>
      </c>
      <c r="C574" t="s">
        <v>74</v>
      </c>
      <c r="D574" t="s">
        <v>74</v>
      </c>
      <c r="E574" t="s">
        <v>74</v>
      </c>
      <c r="F574" t="s">
        <v>11304</v>
      </c>
      <c r="G574" t="s">
        <v>74</v>
      </c>
      <c r="H574" t="s">
        <v>74</v>
      </c>
      <c r="I574" t="s">
        <v>11305</v>
      </c>
      <c r="J574" t="s">
        <v>11306</v>
      </c>
      <c r="K574" t="s">
        <v>74</v>
      </c>
      <c r="L574" t="s">
        <v>74</v>
      </c>
      <c r="M574" t="s">
        <v>78</v>
      </c>
      <c r="N574" t="s">
        <v>79</v>
      </c>
      <c r="O574" t="s">
        <v>74</v>
      </c>
      <c r="P574" t="s">
        <v>74</v>
      </c>
      <c r="Q574" t="s">
        <v>74</v>
      </c>
      <c r="R574" t="s">
        <v>74</v>
      </c>
      <c r="S574" t="s">
        <v>74</v>
      </c>
      <c r="T574" t="s">
        <v>11307</v>
      </c>
      <c r="U574" t="s">
        <v>11308</v>
      </c>
      <c r="V574" t="s">
        <v>11309</v>
      </c>
      <c r="W574" t="s">
        <v>11310</v>
      </c>
      <c r="X574" t="s">
        <v>11311</v>
      </c>
      <c r="Y574" t="s">
        <v>11312</v>
      </c>
      <c r="Z574" t="s">
        <v>11313</v>
      </c>
      <c r="AA574" t="s">
        <v>7470</v>
      </c>
      <c r="AB574" t="s">
        <v>11314</v>
      </c>
      <c r="AC574" t="s">
        <v>11315</v>
      </c>
      <c r="AD574" t="s">
        <v>11316</v>
      </c>
      <c r="AE574" t="s">
        <v>11317</v>
      </c>
      <c r="AF574" t="s">
        <v>74</v>
      </c>
      <c r="AG574">
        <v>79</v>
      </c>
      <c r="AH574">
        <v>1</v>
      </c>
      <c r="AI574">
        <v>1</v>
      </c>
      <c r="AJ574">
        <v>1</v>
      </c>
      <c r="AK574">
        <v>21</v>
      </c>
      <c r="AL574" t="s">
        <v>814</v>
      </c>
      <c r="AM574" t="s">
        <v>815</v>
      </c>
      <c r="AN574" t="s">
        <v>816</v>
      </c>
      <c r="AO574" t="s">
        <v>11318</v>
      </c>
      <c r="AP574" t="s">
        <v>11319</v>
      </c>
      <c r="AQ574" t="s">
        <v>74</v>
      </c>
      <c r="AR574" t="s">
        <v>11320</v>
      </c>
      <c r="AS574" t="s">
        <v>11321</v>
      </c>
      <c r="AT574" t="s">
        <v>3459</v>
      </c>
      <c r="AU574">
        <v>2022</v>
      </c>
      <c r="AV574">
        <v>47</v>
      </c>
      <c r="AW574">
        <v>1</v>
      </c>
      <c r="AX574" t="s">
        <v>74</v>
      </c>
      <c r="AY574" t="s">
        <v>74</v>
      </c>
      <c r="AZ574" t="s">
        <v>74</v>
      </c>
      <c r="BA574" t="s">
        <v>74</v>
      </c>
      <c r="BB574">
        <v>695</v>
      </c>
      <c r="BC574">
        <v>707</v>
      </c>
      <c r="BD574" t="s">
        <v>74</v>
      </c>
      <c r="BE574" t="s">
        <v>11322</v>
      </c>
      <c r="BF574" t="str">
        <f>HYPERLINK("http://dx.doi.org/10.1007/s13369-021-05793-3","http://dx.doi.org/10.1007/s13369-021-05793-3")</f>
        <v>http://dx.doi.org/10.1007/s13369-021-05793-3</v>
      </c>
      <c r="BG574" t="s">
        <v>74</v>
      </c>
      <c r="BH574" t="s">
        <v>8134</v>
      </c>
      <c r="BI574">
        <v>13</v>
      </c>
      <c r="BJ574" t="s">
        <v>2609</v>
      </c>
      <c r="BK574" t="s">
        <v>128</v>
      </c>
      <c r="BL574" t="s">
        <v>2610</v>
      </c>
      <c r="BM574" t="s">
        <v>11323</v>
      </c>
      <c r="BN574" t="s">
        <v>74</v>
      </c>
      <c r="BO574" t="s">
        <v>74</v>
      </c>
      <c r="BP574" t="s">
        <v>74</v>
      </c>
      <c r="BQ574" t="s">
        <v>74</v>
      </c>
      <c r="BR574" t="s">
        <v>102</v>
      </c>
      <c r="BS574" t="s">
        <v>11324</v>
      </c>
      <c r="BT574" t="str">
        <f>HYPERLINK("https%3A%2F%2Fwww.webofscience.com%2Fwos%2Fwoscc%2Ffull-record%2FWOS:000659031100010","View Full Record in Web of Science")</f>
        <v>View Full Record in Web of Science</v>
      </c>
    </row>
    <row r="575" spans="1:72" x14ac:dyDescent="0.15">
      <c r="A575" t="s">
        <v>72</v>
      </c>
      <c r="B575" t="s">
        <v>11325</v>
      </c>
      <c r="C575" t="s">
        <v>74</v>
      </c>
      <c r="D575" t="s">
        <v>74</v>
      </c>
      <c r="E575" t="s">
        <v>74</v>
      </c>
      <c r="F575" t="s">
        <v>11326</v>
      </c>
      <c r="G575" t="s">
        <v>74</v>
      </c>
      <c r="H575" t="s">
        <v>74</v>
      </c>
      <c r="I575" t="s">
        <v>11327</v>
      </c>
      <c r="J575" t="s">
        <v>11328</v>
      </c>
      <c r="K575" t="s">
        <v>74</v>
      </c>
      <c r="L575" t="s">
        <v>74</v>
      </c>
      <c r="M575" t="s">
        <v>78</v>
      </c>
      <c r="N575" t="s">
        <v>79</v>
      </c>
      <c r="O575" t="s">
        <v>74</v>
      </c>
      <c r="P575" t="s">
        <v>74</v>
      </c>
      <c r="Q575" t="s">
        <v>74</v>
      </c>
      <c r="R575" t="s">
        <v>74</v>
      </c>
      <c r="S575" t="s">
        <v>74</v>
      </c>
      <c r="T575" t="s">
        <v>11329</v>
      </c>
      <c r="U575" t="s">
        <v>11330</v>
      </c>
      <c r="V575" t="s">
        <v>11331</v>
      </c>
      <c r="W575" t="s">
        <v>11332</v>
      </c>
      <c r="X575" t="s">
        <v>11333</v>
      </c>
      <c r="Y575" t="s">
        <v>11334</v>
      </c>
      <c r="Z575" t="s">
        <v>11335</v>
      </c>
      <c r="AA575" t="s">
        <v>11336</v>
      </c>
      <c r="AB575" t="s">
        <v>11337</v>
      </c>
      <c r="AC575" t="s">
        <v>11338</v>
      </c>
      <c r="AD575" t="s">
        <v>11339</v>
      </c>
      <c r="AE575" t="s">
        <v>11340</v>
      </c>
      <c r="AF575" t="s">
        <v>74</v>
      </c>
      <c r="AG575">
        <v>76</v>
      </c>
      <c r="AH575">
        <v>2</v>
      </c>
      <c r="AI575">
        <v>2</v>
      </c>
      <c r="AJ575">
        <v>1</v>
      </c>
      <c r="AK575">
        <v>17</v>
      </c>
      <c r="AL575" t="s">
        <v>3135</v>
      </c>
      <c r="AM575" t="s">
        <v>3136</v>
      </c>
      <c r="AN575" t="s">
        <v>3137</v>
      </c>
      <c r="AO575" t="s">
        <v>11341</v>
      </c>
      <c r="AP575" t="s">
        <v>74</v>
      </c>
      <c r="AQ575" t="s">
        <v>74</v>
      </c>
      <c r="AR575" t="s">
        <v>11342</v>
      </c>
      <c r="AS575" t="s">
        <v>11343</v>
      </c>
      <c r="AT575" t="s">
        <v>11344</v>
      </c>
      <c r="AU575">
        <v>2021</v>
      </c>
      <c r="AV575">
        <v>73</v>
      </c>
      <c r="AW575">
        <v>1</v>
      </c>
      <c r="AX575" t="s">
        <v>74</v>
      </c>
      <c r="AY575" t="s">
        <v>74</v>
      </c>
      <c r="AZ575" t="s">
        <v>74</v>
      </c>
      <c r="BA575" t="s">
        <v>74</v>
      </c>
      <c r="BB575">
        <v>1</v>
      </c>
      <c r="BC575">
        <v>18</v>
      </c>
      <c r="BD575">
        <v>1933783</v>
      </c>
      <c r="BE575" t="s">
        <v>11345</v>
      </c>
      <c r="BF575" t="str">
        <f>HYPERLINK("http://dx.doi.org/10.1080/16000889.2021.1933783","http://dx.doi.org/10.1080/16000889.2021.1933783")</f>
        <v>http://dx.doi.org/10.1080/16000889.2021.1933783</v>
      </c>
      <c r="BG575" t="s">
        <v>74</v>
      </c>
      <c r="BH575" t="s">
        <v>74</v>
      </c>
      <c r="BI575">
        <v>18</v>
      </c>
      <c r="BJ575" t="s">
        <v>567</v>
      </c>
      <c r="BK575" t="s">
        <v>128</v>
      </c>
      <c r="BL575" t="s">
        <v>567</v>
      </c>
      <c r="BM575" t="s">
        <v>11346</v>
      </c>
      <c r="BN575" t="s">
        <v>74</v>
      </c>
      <c r="BO575" t="s">
        <v>638</v>
      </c>
      <c r="BP575" t="s">
        <v>74</v>
      </c>
      <c r="BQ575" t="s">
        <v>74</v>
      </c>
      <c r="BR575" t="s">
        <v>102</v>
      </c>
      <c r="BS575" t="s">
        <v>11347</v>
      </c>
      <c r="BT575" t="str">
        <f>HYPERLINK("https%3A%2F%2Fwww.webofscience.com%2Fwos%2Fwoscc%2Ffull-record%2FWOS:000661499300001","View Full Record in Web of Science")</f>
        <v>View Full Record in Web of Science</v>
      </c>
    </row>
    <row r="576" spans="1:72" x14ac:dyDescent="0.15">
      <c r="A576" t="s">
        <v>72</v>
      </c>
      <c r="B576" t="s">
        <v>11348</v>
      </c>
      <c r="C576" t="s">
        <v>74</v>
      </c>
      <c r="D576" t="s">
        <v>74</v>
      </c>
      <c r="E576" t="s">
        <v>74</v>
      </c>
      <c r="F576" t="s">
        <v>11349</v>
      </c>
      <c r="G576" t="s">
        <v>74</v>
      </c>
      <c r="H576" t="s">
        <v>74</v>
      </c>
      <c r="I576" t="s">
        <v>11350</v>
      </c>
      <c r="J576" t="s">
        <v>2862</v>
      </c>
      <c r="K576" t="s">
        <v>74</v>
      </c>
      <c r="L576" t="s">
        <v>74</v>
      </c>
      <c r="M576" t="s">
        <v>78</v>
      </c>
      <c r="N576" t="s">
        <v>79</v>
      </c>
      <c r="O576" t="s">
        <v>74</v>
      </c>
      <c r="P576" t="s">
        <v>74</v>
      </c>
      <c r="Q576" t="s">
        <v>74</v>
      </c>
      <c r="R576" t="s">
        <v>74</v>
      </c>
      <c r="S576" t="s">
        <v>74</v>
      </c>
      <c r="T576" t="s">
        <v>11351</v>
      </c>
      <c r="U576" t="s">
        <v>11352</v>
      </c>
      <c r="V576" t="s">
        <v>11353</v>
      </c>
      <c r="W576" t="s">
        <v>11354</v>
      </c>
      <c r="X576" t="s">
        <v>11355</v>
      </c>
      <c r="Y576" t="s">
        <v>11356</v>
      </c>
      <c r="Z576" t="s">
        <v>6977</v>
      </c>
      <c r="AA576" t="s">
        <v>74</v>
      </c>
      <c r="AB576" t="s">
        <v>6979</v>
      </c>
      <c r="AC576" t="s">
        <v>11357</v>
      </c>
      <c r="AD576" t="s">
        <v>11358</v>
      </c>
      <c r="AE576" t="s">
        <v>11359</v>
      </c>
      <c r="AF576" t="s">
        <v>74</v>
      </c>
      <c r="AG576">
        <v>86</v>
      </c>
      <c r="AH576">
        <v>3</v>
      </c>
      <c r="AI576">
        <v>3</v>
      </c>
      <c r="AJ576">
        <v>0</v>
      </c>
      <c r="AK576">
        <v>3</v>
      </c>
      <c r="AL576" t="s">
        <v>450</v>
      </c>
      <c r="AM576" t="s">
        <v>650</v>
      </c>
      <c r="AN576" t="s">
        <v>1957</v>
      </c>
      <c r="AO576" t="s">
        <v>2874</v>
      </c>
      <c r="AP576" t="s">
        <v>2875</v>
      </c>
      <c r="AQ576" t="s">
        <v>74</v>
      </c>
      <c r="AR576" t="s">
        <v>2876</v>
      </c>
      <c r="AS576" t="s">
        <v>2877</v>
      </c>
      <c r="AT576" t="s">
        <v>430</v>
      </c>
      <c r="AU576">
        <v>2021</v>
      </c>
      <c r="AV576">
        <v>44</v>
      </c>
      <c r="AW576">
        <v>7</v>
      </c>
      <c r="AX576" t="s">
        <v>74</v>
      </c>
      <c r="AY576" t="s">
        <v>74</v>
      </c>
      <c r="AZ576" t="s">
        <v>74</v>
      </c>
      <c r="BA576" t="s">
        <v>74</v>
      </c>
      <c r="BB576">
        <v>1379</v>
      </c>
      <c r="BC576">
        <v>1389</v>
      </c>
      <c r="BD576" t="s">
        <v>74</v>
      </c>
      <c r="BE576" t="s">
        <v>11360</v>
      </c>
      <c r="BF576" t="str">
        <f>HYPERLINK("http://dx.doi.org/10.1007/s00300-021-02887-4","http://dx.doi.org/10.1007/s00300-021-02887-4")</f>
        <v>http://dx.doi.org/10.1007/s00300-021-02887-4</v>
      </c>
      <c r="BG576" t="s">
        <v>74</v>
      </c>
      <c r="BH576" t="s">
        <v>8134</v>
      </c>
      <c r="BI576">
        <v>11</v>
      </c>
      <c r="BJ576" t="s">
        <v>1883</v>
      </c>
      <c r="BK576" t="s">
        <v>128</v>
      </c>
      <c r="BL576" t="s">
        <v>207</v>
      </c>
      <c r="BM576" t="s">
        <v>10717</v>
      </c>
      <c r="BN576" t="s">
        <v>74</v>
      </c>
      <c r="BO576" t="s">
        <v>74</v>
      </c>
      <c r="BP576" t="s">
        <v>74</v>
      </c>
      <c r="BQ576" t="s">
        <v>74</v>
      </c>
      <c r="BR576" t="s">
        <v>102</v>
      </c>
      <c r="BS576" t="s">
        <v>11361</v>
      </c>
      <c r="BT576" t="str">
        <f>HYPERLINK("https%3A%2F%2Fwww.webofscience.com%2Fwos%2Fwoscc%2Ffull-record%2FWOS:000659029100001","View Full Record in Web of Science")</f>
        <v>View Full Record in Web of Science</v>
      </c>
    </row>
    <row r="577" spans="1:72" x14ac:dyDescent="0.15">
      <c r="A577" t="s">
        <v>72</v>
      </c>
      <c r="B577" t="s">
        <v>11362</v>
      </c>
      <c r="C577" t="s">
        <v>74</v>
      </c>
      <c r="D577" t="s">
        <v>74</v>
      </c>
      <c r="E577" t="s">
        <v>74</v>
      </c>
      <c r="F577" t="s">
        <v>11363</v>
      </c>
      <c r="G577" t="s">
        <v>74</v>
      </c>
      <c r="H577" t="s">
        <v>74</v>
      </c>
      <c r="I577" t="s">
        <v>11364</v>
      </c>
      <c r="J577" t="s">
        <v>8205</v>
      </c>
      <c r="K577" t="s">
        <v>74</v>
      </c>
      <c r="L577" t="s">
        <v>74</v>
      </c>
      <c r="M577" t="s">
        <v>78</v>
      </c>
      <c r="N577" t="s">
        <v>79</v>
      </c>
      <c r="O577" t="s">
        <v>74</v>
      </c>
      <c r="P577" t="s">
        <v>74</v>
      </c>
      <c r="Q577" t="s">
        <v>74</v>
      </c>
      <c r="R577" t="s">
        <v>74</v>
      </c>
      <c r="S577" t="s">
        <v>74</v>
      </c>
      <c r="T577" t="s">
        <v>74</v>
      </c>
      <c r="U577" t="s">
        <v>11365</v>
      </c>
      <c r="V577" t="s">
        <v>11366</v>
      </c>
      <c r="W577" t="s">
        <v>11367</v>
      </c>
      <c r="X577" t="s">
        <v>11368</v>
      </c>
      <c r="Y577" t="s">
        <v>11369</v>
      </c>
      <c r="Z577" t="s">
        <v>11370</v>
      </c>
      <c r="AA577" t="s">
        <v>11371</v>
      </c>
      <c r="AB577" t="s">
        <v>11372</v>
      </c>
      <c r="AC577" t="s">
        <v>11373</v>
      </c>
      <c r="AD577" t="s">
        <v>11374</v>
      </c>
      <c r="AE577" t="s">
        <v>11375</v>
      </c>
      <c r="AF577" t="s">
        <v>74</v>
      </c>
      <c r="AG577">
        <v>52</v>
      </c>
      <c r="AH577">
        <v>168</v>
      </c>
      <c r="AI577">
        <v>181</v>
      </c>
      <c r="AJ577">
        <v>51</v>
      </c>
      <c r="AK577">
        <v>195</v>
      </c>
      <c r="AL577" t="s">
        <v>3453</v>
      </c>
      <c r="AM577" t="s">
        <v>368</v>
      </c>
      <c r="AN577" t="s">
        <v>3454</v>
      </c>
      <c r="AO577" t="s">
        <v>74</v>
      </c>
      <c r="AP577" t="s">
        <v>8217</v>
      </c>
      <c r="AQ577" t="s">
        <v>74</v>
      </c>
      <c r="AR577" t="s">
        <v>8218</v>
      </c>
      <c r="AS577" t="s">
        <v>8219</v>
      </c>
      <c r="AT577" t="s">
        <v>11344</v>
      </c>
      <c r="AU577">
        <v>2021</v>
      </c>
      <c r="AV577">
        <v>2</v>
      </c>
      <c r="AW577">
        <v>1</v>
      </c>
      <c r="AX577" t="s">
        <v>74</v>
      </c>
      <c r="AY577" t="s">
        <v>74</v>
      </c>
      <c r="AZ577" t="s">
        <v>74</v>
      </c>
      <c r="BA577" t="s">
        <v>74</v>
      </c>
      <c r="BB577" t="s">
        <v>74</v>
      </c>
      <c r="BC577" t="s">
        <v>74</v>
      </c>
      <c r="BD577">
        <v>117</v>
      </c>
      <c r="BE577" t="s">
        <v>11376</v>
      </c>
      <c r="BF577" t="str">
        <f>HYPERLINK("http://dx.doi.org/10.1038/s43247-021-00178-8","http://dx.doi.org/10.1038/s43247-021-00178-8")</f>
        <v>http://dx.doi.org/10.1038/s43247-021-00178-8</v>
      </c>
      <c r="BG577" t="s">
        <v>74</v>
      </c>
      <c r="BH577" t="s">
        <v>74</v>
      </c>
      <c r="BI577">
        <v>10</v>
      </c>
      <c r="BJ577" t="s">
        <v>1044</v>
      </c>
      <c r="BK577" t="s">
        <v>128</v>
      </c>
      <c r="BL577" t="s">
        <v>1045</v>
      </c>
      <c r="BM577" t="s">
        <v>11377</v>
      </c>
      <c r="BN577">
        <v>37359131</v>
      </c>
      <c r="BO577" t="s">
        <v>9935</v>
      </c>
      <c r="BP577" t="s">
        <v>2812</v>
      </c>
      <c r="BQ577" t="s">
        <v>2813</v>
      </c>
      <c r="BR577" t="s">
        <v>102</v>
      </c>
      <c r="BS577" t="s">
        <v>11378</v>
      </c>
      <c r="BT577" t="str">
        <f>HYPERLINK("https%3A%2F%2Fwww.webofscience.com%2Fwos%2Fwoscc%2Ffull-record%2FWOS:000661922900001","View Full Record in Web of Science")</f>
        <v>View Full Record in Web of Science</v>
      </c>
    </row>
    <row r="578" spans="1:72" x14ac:dyDescent="0.15">
      <c r="A578" t="s">
        <v>72</v>
      </c>
      <c r="B578" t="s">
        <v>11379</v>
      </c>
      <c r="C578" t="s">
        <v>74</v>
      </c>
      <c r="D578" t="s">
        <v>74</v>
      </c>
      <c r="E578" t="s">
        <v>74</v>
      </c>
      <c r="F578" t="s">
        <v>11380</v>
      </c>
      <c r="G578" t="s">
        <v>74</v>
      </c>
      <c r="H578" t="s">
        <v>74</v>
      </c>
      <c r="I578" t="s">
        <v>11381</v>
      </c>
      <c r="J578" t="s">
        <v>11382</v>
      </c>
      <c r="K578" t="s">
        <v>74</v>
      </c>
      <c r="L578" t="s">
        <v>74</v>
      </c>
      <c r="M578" t="s">
        <v>78</v>
      </c>
      <c r="N578" t="s">
        <v>700</v>
      </c>
      <c r="O578" t="s">
        <v>74</v>
      </c>
      <c r="P578" t="s">
        <v>74</v>
      </c>
      <c r="Q578" t="s">
        <v>74</v>
      </c>
      <c r="R578" t="s">
        <v>74</v>
      </c>
      <c r="S578" t="s">
        <v>74</v>
      </c>
      <c r="T578" t="s">
        <v>74</v>
      </c>
      <c r="U578" t="s">
        <v>11383</v>
      </c>
      <c r="V578" t="s">
        <v>11384</v>
      </c>
      <c r="W578" t="s">
        <v>11385</v>
      </c>
      <c r="X578" t="s">
        <v>11386</v>
      </c>
      <c r="Y578" t="s">
        <v>11387</v>
      </c>
      <c r="Z578" t="s">
        <v>11388</v>
      </c>
      <c r="AA578" t="s">
        <v>11389</v>
      </c>
      <c r="AB578" t="s">
        <v>11390</v>
      </c>
      <c r="AC578" t="s">
        <v>11391</v>
      </c>
      <c r="AD578" t="s">
        <v>11392</v>
      </c>
      <c r="AE578" t="s">
        <v>11393</v>
      </c>
      <c r="AF578" t="s">
        <v>74</v>
      </c>
      <c r="AG578">
        <v>104</v>
      </c>
      <c r="AH578">
        <v>29</v>
      </c>
      <c r="AI578">
        <v>30</v>
      </c>
      <c r="AJ578">
        <v>9</v>
      </c>
      <c r="AK578">
        <v>76</v>
      </c>
      <c r="AL578" t="s">
        <v>4657</v>
      </c>
      <c r="AM578" t="s">
        <v>2239</v>
      </c>
      <c r="AN578" t="s">
        <v>4658</v>
      </c>
      <c r="AO578" t="s">
        <v>11394</v>
      </c>
      <c r="AP578" t="s">
        <v>11395</v>
      </c>
      <c r="AQ578" t="s">
        <v>74</v>
      </c>
      <c r="AR578" t="s">
        <v>11396</v>
      </c>
      <c r="AS578" t="s">
        <v>11397</v>
      </c>
      <c r="AT578" t="s">
        <v>430</v>
      </c>
      <c r="AU578">
        <v>2021</v>
      </c>
      <c r="AV578">
        <v>36</v>
      </c>
      <c r="AW578">
        <v>7</v>
      </c>
      <c r="AX578" t="s">
        <v>74</v>
      </c>
      <c r="AY578" t="s">
        <v>74</v>
      </c>
      <c r="AZ578" t="s">
        <v>74</v>
      </c>
      <c r="BA578" t="s">
        <v>74</v>
      </c>
      <c r="BB578">
        <v>591</v>
      </c>
      <c r="BC578">
        <v>600</v>
      </c>
      <c r="BD578" t="s">
        <v>74</v>
      </c>
      <c r="BE578" t="s">
        <v>11398</v>
      </c>
      <c r="BF578" t="str">
        <f>HYPERLINK("http://dx.doi.org/10.1016/j.tree.2021.02.014","http://dx.doi.org/10.1016/j.tree.2021.02.014")</f>
        <v>http://dx.doi.org/10.1016/j.tree.2021.02.014</v>
      </c>
      <c r="BG578" t="s">
        <v>74</v>
      </c>
      <c r="BH578" t="s">
        <v>8134</v>
      </c>
      <c r="BI578">
        <v>10</v>
      </c>
      <c r="BJ578" t="s">
        <v>11399</v>
      </c>
      <c r="BK578" t="s">
        <v>128</v>
      </c>
      <c r="BL578" t="s">
        <v>11400</v>
      </c>
      <c r="BM578" t="s">
        <v>11401</v>
      </c>
      <c r="BN578">
        <v>33726946</v>
      </c>
      <c r="BO578" t="s">
        <v>74</v>
      </c>
      <c r="BP578" t="s">
        <v>74</v>
      </c>
      <c r="BQ578" t="s">
        <v>74</v>
      </c>
      <c r="BR578" t="s">
        <v>102</v>
      </c>
      <c r="BS578" t="s">
        <v>11402</v>
      </c>
      <c r="BT578" t="str">
        <f>HYPERLINK("https%3A%2F%2Fwww.webofscience.com%2Fwos%2Fwoscc%2Ffull-record%2FWOS:000659226800006","View Full Record in Web of Science")</f>
        <v>View Full Record in Web of Science</v>
      </c>
    </row>
    <row r="579" spans="1:72" x14ac:dyDescent="0.15">
      <c r="A579" t="s">
        <v>72</v>
      </c>
      <c r="B579" t="s">
        <v>11403</v>
      </c>
      <c r="C579" t="s">
        <v>74</v>
      </c>
      <c r="D579" t="s">
        <v>74</v>
      </c>
      <c r="E579" t="s">
        <v>74</v>
      </c>
      <c r="F579" t="s">
        <v>11404</v>
      </c>
      <c r="G579" t="s">
        <v>74</v>
      </c>
      <c r="H579" t="s">
        <v>74</v>
      </c>
      <c r="I579" t="s">
        <v>11405</v>
      </c>
      <c r="J579" t="s">
        <v>11406</v>
      </c>
      <c r="K579" t="s">
        <v>74</v>
      </c>
      <c r="L579" t="s">
        <v>74</v>
      </c>
      <c r="M579" t="s">
        <v>78</v>
      </c>
      <c r="N579" t="s">
        <v>79</v>
      </c>
      <c r="O579" t="s">
        <v>74</v>
      </c>
      <c r="P579" t="s">
        <v>74</v>
      </c>
      <c r="Q579" t="s">
        <v>74</v>
      </c>
      <c r="R579" t="s">
        <v>74</v>
      </c>
      <c r="S579" t="s">
        <v>74</v>
      </c>
      <c r="T579" t="s">
        <v>11407</v>
      </c>
      <c r="U579" t="s">
        <v>11408</v>
      </c>
      <c r="V579" t="s">
        <v>11409</v>
      </c>
      <c r="W579" t="s">
        <v>11410</v>
      </c>
      <c r="X579" t="s">
        <v>11411</v>
      </c>
      <c r="Y579" t="s">
        <v>11412</v>
      </c>
      <c r="Z579" t="s">
        <v>11413</v>
      </c>
      <c r="AA579" t="s">
        <v>11414</v>
      </c>
      <c r="AB579" t="s">
        <v>11415</v>
      </c>
      <c r="AC579" t="s">
        <v>11416</v>
      </c>
      <c r="AD579" t="s">
        <v>11417</v>
      </c>
      <c r="AE579" t="s">
        <v>11418</v>
      </c>
      <c r="AF579" t="s">
        <v>74</v>
      </c>
      <c r="AG579">
        <v>94</v>
      </c>
      <c r="AH579">
        <v>13</v>
      </c>
      <c r="AI579">
        <v>15</v>
      </c>
      <c r="AJ579">
        <v>5</v>
      </c>
      <c r="AK579">
        <v>17</v>
      </c>
      <c r="AL579" t="s">
        <v>281</v>
      </c>
      <c r="AM579" t="s">
        <v>228</v>
      </c>
      <c r="AN579" t="s">
        <v>282</v>
      </c>
      <c r="AO579" t="s">
        <v>11419</v>
      </c>
      <c r="AP579" t="s">
        <v>11420</v>
      </c>
      <c r="AQ579" t="s">
        <v>74</v>
      </c>
      <c r="AR579" t="s">
        <v>11421</v>
      </c>
      <c r="AS579" t="s">
        <v>11422</v>
      </c>
      <c r="AT579" t="s">
        <v>430</v>
      </c>
      <c r="AU579">
        <v>2021</v>
      </c>
      <c r="AV579">
        <v>99</v>
      </c>
      <c r="AW579" t="s">
        <v>74</v>
      </c>
      <c r="AX579" t="s">
        <v>74</v>
      </c>
      <c r="AY579" t="s">
        <v>74</v>
      </c>
      <c r="AZ579" t="s">
        <v>74</v>
      </c>
      <c r="BA579" t="s">
        <v>74</v>
      </c>
      <c r="BB579" t="s">
        <v>74</v>
      </c>
      <c r="BC579" t="s">
        <v>74</v>
      </c>
      <c r="BD579">
        <v>103021</v>
      </c>
      <c r="BE579" t="s">
        <v>11423</v>
      </c>
      <c r="BF579" t="str">
        <f>HYPERLINK("http://dx.doi.org/10.1016/j.jtherbio.2021.103021","http://dx.doi.org/10.1016/j.jtherbio.2021.103021")</f>
        <v>http://dx.doi.org/10.1016/j.jtherbio.2021.103021</v>
      </c>
      <c r="BG579" t="s">
        <v>74</v>
      </c>
      <c r="BH579" t="s">
        <v>8134</v>
      </c>
      <c r="BI579">
        <v>11</v>
      </c>
      <c r="BJ579" t="s">
        <v>11424</v>
      </c>
      <c r="BK579" t="s">
        <v>128</v>
      </c>
      <c r="BL579" t="s">
        <v>11425</v>
      </c>
      <c r="BM579" t="s">
        <v>11426</v>
      </c>
      <c r="BN579">
        <v>34420652</v>
      </c>
      <c r="BO579" t="s">
        <v>74</v>
      </c>
      <c r="BP579" t="s">
        <v>74</v>
      </c>
      <c r="BQ579" t="s">
        <v>74</v>
      </c>
      <c r="BR579" t="s">
        <v>102</v>
      </c>
      <c r="BS579" t="s">
        <v>11427</v>
      </c>
      <c r="BT579" t="str">
        <f>HYPERLINK("https%3A%2F%2Fwww.webofscience.com%2Fwos%2Fwoscc%2Ffull-record%2FWOS:000687787300009","View Full Record in Web of Science")</f>
        <v>View Full Record in Web of Science</v>
      </c>
    </row>
    <row r="580" spans="1:72" x14ac:dyDescent="0.15">
      <c r="A580" t="s">
        <v>72</v>
      </c>
      <c r="B580" t="s">
        <v>11428</v>
      </c>
      <c r="C580" t="s">
        <v>74</v>
      </c>
      <c r="D580" t="s">
        <v>74</v>
      </c>
      <c r="E580" t="s">
        <v>74</v>
      </c>
      <c r="F580" t="s">
        <v>11429</v>
      </c>
      <c r="G580" t="s">
        <v>74</v>
      </c>
      <c r="H580" t="s">
        <v>74</v>
      </c>
      <c r="I580" t="s">
        <v>11430</v>
      </c>
      <c r="J580" t="s">
        <v>4794</v>
      </c>
      <c r="K580" t="s">
        <v>74</v>
      </c>
      <c r="L580" t="s">
        <v>74</v>
      </c>
      <c r="M580" t="s">
        <v>78</v>
      </c>
      <c r="N580" t="s">
        <v>79</v>
      </c>
      <c r="O580" t="s">
        <v>74</v>
      </c>
      <c r="P580" t="s">
        <v>74</v>
      </c>
      <c r="Q580" t="s">
        <v>74</v>
      </c>
      <c r="R580" t="s">
        <v>74</v>
      </c>
      <c r="S580" t="s">
        <v>74</v>
      </c>
      <c r="T580" t="s">
        <v>11431</v>
      </c>
      <c r="U580" t="s">
        <v>11432</v>
      </c>
      <c r="V580" t="s">
        <v>11433</v>
      </c>
      <c r="W580" t="s">
        <v>11434</v>
      </c>
      <c r="X580" t="s">
        <v>11435</v>
      </c>
      <c r="Y580" t="s">
        <v>11436</v>
      </c>
      <c r="Z580" t="s">
        <v>11437</v>
      </c>
      <c r="AA580" t="s">
        <v>11438</v>
      </c>
      <c r="AB580" t="s">
        <v>11439</v>
      </c>
      <c r="AC580" t="s">
        <v>11440</v>
      </c>
      <c r="AD580" t="s">
        <v>11441</v>
      </c>
      <c r="AE580" t="s">
        <v>11442</v>
      </c>
      <c r="AF580" t="s">
        <v>74</v>
      </c>
      <c r="AG580">
        <v>69</v>
      </c>
      <c r="AH580">
        <v>3</v>
      </c>
      <c r="AI580">
        <v>3</v>
      </c>
      <c r="AJ580">
        <v>0</v>
      </c>
      <c r="AK580">
        <v>11</v>
      </c>
      <c r="AL580" t="s">
        <v>4494</v>
      </c>
      <c r="AM580" t="s">
        <v>4495</v>
      </c>
      <c r="AN580" t="s">
        <v>4496</v>
      </c>
      <c r="AO580" t="s">
        <v>4806</v>
      </c>
      <c r="AP580" t="s">
        <v>4807</v>
      </c>
      <c r="AQ580" t="s">
        <v>74</v>
      </c>
      <c r="AR580" t="s">
        <v>4808</v>
      </c>
      <c r="AS580" t="s">
        <v>4809</v>
      </c>
      <c r="AT580" t="s">
        <v>402</v>
      </c>
      <c r="AU580">
        <v>2021</v>
      </c>
      <c r="AV580">
        <v>162</v>
      </c>
      <c r="AW580" t="s">
        <v>74</v>
      </c>
      <c r="AX580" t="s">
        <v>74</v>
      </c>
      <c r="AY580" t="s">
        <v>74</v>
      </c>
      <c r="AZ580" t="s">
        <v>74</v>
      </c>
      <c r="BA580" t="s">
        <v>74</v>
      </c>
      <c r="BB580" t="s">
        <v>74</v>
      </c>
      <c r="BC580" t="s">
        <v>74</v>
      </c>
      <c r="BD580">
        <v>107211</v>
      </c>
      <c r="BE580" t="s">
        <v>11443</v>
      </c>
      <c r="BF580" t="str">
        <f>HYPERLINK("http://dx.doi.org/10.1016/j.ympev.2021.107211","http://dx.doi.org/10.1016/j.ympev.2021.107211")</f>
        <v>http://dx.doi.org/10.1016/j.ympev.2021.107211</v>
      </c>
      <c r="BG580" t="s">
        <v>74</v>
      </c>
      <c r="BH580" t="s">
        <v>8134</v>
      </c>
      <c r="BI580">
        <v>10</v>
      </c>
      <c r="BJ580" t="s">
        <v>4811</v>
      </c>
      <c r="BK580" t="s">
        <v>128</v>
      </c>
      <c r="BL580" t="s">
        <v>4811</v>
      </c>
      <c r="BM580" t="s">
        <v>11444</v>
      </c>
      <c r="BN580">
        <v>34029716</v>
      </c>
      <c r="BO580" t="s">
        <v>408</v>
      </c>
      <c r="BP580" t="s">
        <v>74</v>
      </c>
      <c r="BQ580" t="s">
        <v>74</v>
      </c>
      <c r="BR580" t="s">
        <v>102</v>
      </c>
      <c r="BS580" t="s">
        <v>11445</v>
      </c>
      <c r="BT580" t="str">
        <f>HYPERLINK("https%3A%2F%2Fwww.webofscience.com%2Fwos%2Fwoscc%2Ffull-record%2FWOS:000670532000005","View Full Record in Web of Science")</f>
        <v>View Full Record in Web of Science</v>
      </c>
    </row>
    <row r="581" spans="1:72" x14ac:dyDescent="0.15">
      <c r="A581" t="s">
        <v>72</v>
      </c>
      <c r="B581" t="s">
        <v>11446</v>
      </c>
      <c r="C581" t="s">
        <v>74</v>
      </c>
      <c r="D581" t="s">
        <v>74</v>
      </c>
      <c r="E581" t="s">
        <v>74</v>
      </c>
      <c r="F581" t="s">
        <v>11447</v>
      </c>
      <c r="G581" t="s">
        <v>74</v>
      </c>
      <c r="H581" t="s">
        <v>74</v>
      </c>
      <c r="I581" t="s">
        <v>11448</v>
      </c>
      <c r="J581" t="s">
        <v>4794</v>
      </c>
      <c r="K581" t="s">
        <v>74</v>
      </c>
      <c r="L581" t="s">
        <v>74</v>
      </c>
      <c r="M581" t="s">
        <v>78</v>
      </c>
      <c r="N581" t="s">
        <v>79</v>
      </c>
      <c r="O581" t="s">
        <v>74</v>
      </c>
      <c r="P581" t="s">
        <v>74</v>
      </c>
      <c r="Q581" t="s">
        <v>74</v>
      </c>
      <c r="R581" t="s">
        <v>74</v>
      </c>
      <c r="S581" t="s">
        <v>74</v>
      </c>
      <c r="T581" t="s">
        <v>11449</v>
      </c>
      <c r="U581" t="s">
        <v>11450</v>
      </c>
      <c r="V581" t="s">
        <v>11451</v>
      </c>
      <c r="W581" t="s">
        <v>11452</v>
      </c>
      <c r="X581" t="s">
        <v>11453</v>
      </c>
      <c r="Y581" t="s">
        <v>11454</v>
      </c>
      <c r="Z581" t="s">
        <v>11455</v>
      </c>
      <c r="AA581" t="s">
        <v>11456</v>
      </c>
      <c r="AB581" t="s">
        <v>11457</v>
      </c>
      <c r="AC581" t="s">
        <v>11458</v>
      </c>
      <c r="AD581" t="s">
        <v>11459</v>
      </c>
      <c r="AE581" t="s">
        <v>11460</v>
      </c>
      <c r="AF581" t="s">
        <v>74</v>
      </c>
      <c r="AG581">
        <v>80</v>
      </c>
      <c r="AH581">
        <v>10</v>
      </c>
      <c r="AI581">
        <v>11</v>
      </c>
      <c r="AJ581">
        <v>0</v>
      </c>
      <c r="AK581">
        <v>6</v>
      </c>
      <c r="AL581" t="s">
        <v>4494</v>
      </c>
      <c r="AM581" t="s">
        <v>4495</v>
      </c>
      <c r="AN581" t="s">
        <v>4496</v>
      </c>
      <c r="AO581" t="s">
        <v>4806</v>
      </c>
      <c r="AP581" t="s">
        <v>4807</v>
      </c>
      <c r="AQ581" t="s">
        <v>74</v>
      </c>
      <c r="AR581" t="s">
        <v>4808</v>
      </c>
      <c r="AS581" t="s">
        <v>4809</v>
      </c>
      <c r="AT581" t="s">
        <v>402</v>
      </c>
      <c r="AU581">
        <v>2021</v>
      </c>
      <c r="AV581">
        <v>162</v>
      </c>
      <c r="AW581" t="s">
        <v>74</v>
      </c>
      <c r="AX581" t="s">
        <v>74</v>
      </c>
      <c r="AY581" t="s">
        <v>74</v>
      </c>
      <c r="AZ581" t="s">
        <v>74</v>
      </c>
      <c r="BA581" t="s">
        <v>74</v>
      </c>
      <c r="BB581" t="s">
        <v>74</v>
      </c>
      <c r="BC581" t="s">
        <v>74</v>
      </c>
      <c r="BD581">
        <v>107209</v>
      </c>
      <c r="BE581" t="s">
        <v>11461</v>
      </c>
      <c r="BF581" t="str">
        <f>HYPERLINK("http://dx.doi.org/10.1016/j.ympev.2021.107209","http://dx.doi.org/10.1016/j.ympev.2021.107209")</f>
        <v>http://dx.doi.org/10.1016/j.ympev.2021.107209</v>
      </c>
      <c r="BG581" t="s">
        <v>74</v>
      </c>
      <c r="BH581" t="s">
        <v>8134</v>
      </c>
      <c r="BI581">
        <v>16</v>
      </c>
      <c r="BJ581" t="s">
        <v>4811</v>
      </c>
      <c r="BK581" t="s">
        <v>128</v>
      </c>
      <c r="BL581" t="s">
        <v>4811</v>
      </c>
      <c r="BM581" t="s">
        <v>11444</v>
      </c>
      <c r="BN581">
        <v>34044161</v>
      </c>
      <c r="BO581" t="s">
        <v>74</v>
      </c>
      <c r="BP581" t="s">
        <v>74</v>
      </c>
      <c r="BQ581" t="s">
        <v>74</v>
      </c>
      <c r="BR581" t="s">
        <v>102</v>
      </c>
      <c r="BS581" t="s">
        <v>11462</v>
      </c>
      <c r="BT581" t="str">
        <f>HYPERLINK("https%3A%2F%2Fwww.webofscience.com%2Fwos%2Fwoscc%2Ffull-record%2FWOS:000670532000004","View Full Record in Web of Science")</f>
        <v>View Full Record in Web of Science</v>
      </c>
    </row>
    <row r="582" spans="1:72" x14ac:dyDescent="0.15">
      <c r="A582" t="s">
        <v>72</v>
      </c>
      <c r="B582" t="s">
        <v>11463</v>
      </c>
      <c r="C582" t="s">
        <v>74</v>
      </c>
      <c r="D582" t="s">
        <v>74</v>
      </c>
      <c r="E582" t="s">
        <v>74</v>
      </c>
      <c r="F582" t="s">
        <v>11464</v>
      </c>
      <c r="G582" t="s">
        <v>74</v>
      </c>
      <c r="H582" t="s">
        <v>74</v>
      </c>
      <c r="I582" t="s">
        <v>11465</v>
      </c>
      <c r="J582" t="s">
        <v>11466</v>
      </c>
      <c r="K582" t="s">
        <v>74</v>
      </c>
      <c r="L582" t="s">
        <v>74</v>
      </c>
      <c r="M582" t="s">
        <v>78</v>
      </c>
      <c r="N582" t="s">
        <v>79</v>
      </c>
      <c r="O582" t="s">
        <v>74</v>
      </c>
      <c r="P582" t="s">
        <v>74</v>
      </c>
      <c r="Q582" t="s">
        <v>74</v>
      </c>
      <c r="R582" t="s">
        <v>74</v>
      </c>
      <c r="S582" t="s">
        <v>74</v>
      </c>
      <c r="T582" t="s">
        <v>11467</v>
      </c>
      <c r="U582" t="s">
        <v>11468</v>
      </c>
      <c r="V582" t="s">
        <v>11469</v>
      </c>
      <c r="W582" t="s">
        <v>11470</v>
      </c>
      <c r="X582" t="s">
        <v>11471</v>
      </c>
      <c r="Y582" t="s">
        <v>11472</v>
      </c>
      <c r="Z582" t="s">
        <v>11473</v>
      </c>
      <c r="AA582" t="s">
        <v>11474</v>
      </c>
      <c r="AB582" t="s">
        <v>11475</v>
      </c>
      <c r="AC582" t="s">
        <v>11476</v>
      </c>
      <c r="AD582" t="s">
        <v>11477</v>
      </c>
      <c r="AE582" t="s">
        <v>11478</v>
      </c>
      <c r="AF582" t="s">
        <v>74</v>
      </c>
      <c r="AG582">
        <v>31</v>
      </c>
      <c r="AH582">
        <v>4</v>
      </c>
      <c r="AI582">
        <v>4</v>
      </c>
      <c r="AJ582">
        <v>3</v>
      </c>
      <c r="AK582">
        <v>13</v>
      </c>
      <c r="AL582" t="s">
        <v>281</v>
      </c>
      <c r="AM582" t="s">
        <v>228</v>
      </c>
      <c r="AN582" t="s">
        <v>282</v>
      </c>
      <c r="AO582" t="s">
        <v>11479</v>
      </c>
      <c r="AP582" t="s">
        <v>11480</v>
      </c>
      <c r="AQ582" t="s">
        <v>74</v>
      </c>
      <c r="AR582" t="s">
        <v>11481</v>
      </c>
      <c r="AS582" t="s">
        <v>11482</v>
      </c>
      <c r="AT582" t="s">
        <v>430</v>
      </c>
      <c r="AU582">
        <v>2021</v>
      </c>
      <c r="AV582">
        <v>181</v>
      </c>
      <c r="AW582" t="s">
        <v>74</v>
      </c>
      <c r="AX582" t="s">
        <v>74</v>
      </c>
      <c r="AY582" t="s">
        <v>74</v>
      </c>
      <c r="AZ582" t="s">
        <v>74</v>
      </c>
      <c r="BA582" t="s">
        <v>74</v>
      </c>
      <c r="BB582" t="s">
        <v>74</v>
      </c>
      <c r="BC582" t="s">
        <v>74</v>
      </c>
      <c r="BD582">
        <v>106231</v>
      </c>
      <c r="BE582" t="s">
        <v>11483</v>
      </c>
      <c r="BF582" t="str">
        <f>HYPERLINK("http://dx.doi.org/10.1016/j.sab.2021.106231","http://dx.doi.org/10.1016/j.sab.2021.106231")</f>
        <v>http://dx.doi.org/10.1016/j.sab.2021.106231</v>
      </c>
      <c r="BG582" t="s">
        <v>74</v>
      </c>
      <c r="BH582" t="s">
        <v>8134</v>
      </c>
      <c r="BI582">
        <v>6</v>
      </c>
      <c r="BJ582" t="s">
        <v>11484</v>
      </c>
      <c r="BK582" t="s">
        <v>128</v>
      </c>
      <c r="BL582" t="s">
        <v>11484</v>
      </c>
      <c r="BM582" t="s">
        <v>11485</v>
      </c>
      <c r="BN582" t="s">
        <v>74</v>
      </c>
      <c r="BO582" t="s">
        <v>74</v>
      </c>
      <c r="BP582" t="s">
        <v>74</v>
      </c>
      <c r="BQ582" t="s">
        <v>74</v>
      </c>
      <c r="BR582" t="s">
        <v>102</v>
      </c>
      <c r="BS582" t="s">
        <v>11486</v>
      </c>
      <c r="BT582" t="str">
        <f>HYPERLINK("https%3A%2F%2Fwww.webofscience.com%2Fwos%2Fwoscc%2Ffull-record%2FWOS:000667547300002","View Full Record in Web of Science")</f>
        <v>View Full Record in Web of Science</v>
      </c>
    </row>
    <row r="583" spans="1:72" x14ac:dyDescent="0.15">
      <c r="A583" t="s">
        <v>72</v>
      </c>
      <c r="B583" t="s">
        <v>11487</v>
      </c>
      <c r="C583" t="s">
        <v>74</v>
      </c>
      <c r="D583" t="s">
        <v>74</v>
      </c>
      <c r="E583" t="s">
        <v>74</v>
      </c>
      <c r="F583" t="s">
        <v>11488</v>
      </c>
      <c r="G583" t="s">
        <v>74</v>
      </c>
      <c r="H583" t="s">
        <v>74</v>
      </c>
      <c r="I583" t="s">
        <v>11489</v>
      </c>
      <c r="J583" t="s">
        <v>3729</v>
      </c>
      <c r="K583" t="s">
        <v>74</v>
      </c>
      <c r="L583" t="s">
        <v>74</v>
      </c>
      <c r="M583" t="s">
        <v>78</v>
      </c>
      <c r="N583" t="s">
        <v>79</v>
      </c>
      <c r="O583" t="s">
        <v>74</v>
      </c>
      <c r="P583" t="s">
        <v>74</v>
      </c>
      <c r="Q583" t="s">
        <v>74</v>
      </c>
      <c r="R583" t="s">
        <v>74</v>
      </c>
      <c r="S583" t="s">
        <v>74</v>
      </c>
      <c r="T583" t="s">
        <v>11490</v>
      </c>
      <c r="U583" t="s">
        <v>11491</v>
      </c>
      <c r="V583" t="s">
        <v>11492</v>
      </c>
      <c r="W583" t="s">
        <v>11493</v>
      </c>
      <c r="X583" t="s">
        <v>11494</v>
      </c>
      <c r="Y583" t="s">
        <v>11495</v>
      </c>
      <c r="Z583" t="s">
        <v>11496</v>
      </c>
      <c r="AA583" t="s">
        <v>11497</v>
      </c>
      <c r="AB583" t="s">
        <v>11498</v>
      </c>
      <c r="AC583" t="s">
        <v>11499</v>
      </c>
      <c r="AD583" t="s">
        <v>11499</v>
      </c>
      <c r="AE583" t="s">
        <v>11500</v>
      </c>
      <c r="AF583" t="s">
        <v>74</v>
      </c>
      <c r="AG583">
        <v>124</v>
      </c>
      <c r="AH583">
        <v>1</v>
      </c>
      <c r="AI583">
        <v>1</v>
      </c>
      <c r="AJ583">
        <v>1</v>
      </c>
      <c r="AK583">
        <v>11</v>
      </c>
      <c r="AL583" t="s">
        <v>281</v>
      </c>
      <c r="AM583" t="s">
        <v>228</v>
      </c>
      <c r="AN583" t="s">
        <v>282</v>
      </c>
      <c r="AO583" t="s">
        <v>3742</v>
      </c>
      <c r="AP583" t="s">
        <v>3743</v>
      </c>
      <c r="AQ583" t="s">
        <v>74</v>
      </c>
      <c r="AR583" t="s">
        <v>3744</v>
      </c>
      <c r="AS583" t="s">
        <v>3745</v>
      </c>
      <c r="AT583" t="s">
        <v>6527</v>
      </c>
      <c r="AU583">
        <v>2021</v>
      </c>
      <c r="AV583">
        <v>263</v>
      </c>
      <c r="AW583" t="s">
        <v>74</v>
      </c>
      <c r="AX583" t="s">
        <v>74</v>
      </c>
      <c r="AY583" t="s">
        <v>74</v>
      </c>
      <c r="AZ583" t="s">
        <v>74</v>
      </c>
      <c r="BA583" t="s">
        <v>74</v>
      </c>
      <c r="BB583" t="s">
        <v>74</v>
      </c>
      <c r="BC583" t="s">
        <v>74</v>
      </c>
      <c r="BD583">
        <v>106997</v>
      </c>
      <c r="BE583" t="s">
        <v>11501</v>
      </c>
      <c r="BF583" t="str">
        <f>HYPERLINK("http://dx.doi.org/10.1016/j.quascirev.2021.106997","http://dx.doi.org/10.1016/j.quascirev.2021.106997")</f>
        <v>http://dx.doi.org/10.1016/j.quascirev.2021.106997</v>
      </c>
      <c r="BG583" t="s">
        <v>74</v>
      </c>
      <c r="BH583" t="s">
        <v>8134</v>
      </c>
      <c r="BI583">
        <v>14</v>
      </c>
      <c r="BJ583" t="s">
        <v>151</v>
      </c>
      <c r="BK583" t="s">
        <v>128</v>
      </c>
      <c r="BL583" t="s">
        <v>152</v>
      </c>
      <c r="BM583" t="s">
        <v>11502</v>
      </c>
      <c r="BN583" t="s">
        <v>74</v>
      </c>
      <c r="BO583" t="s">
        <v>74</v>
      </c>
      <c r="BP583" t="s">
        <v>74</v>
      </c>
      <c r="BQ583" t="s">
        <v>74</v>
      </c>
      <c r="BR583" t="s">
        <v>102</v>
      </c>
      <c r="BS583" t="s">
        <v>11503</v>
      </c>
      <c r="BT583" t="str">
        <f>HYPERLINK("https%3A%2F%2Fwww.webofscience.com%2Fwos%2Fwoscc%2Ffull-record%2FWOS:000663620900005","View Full Record in Web of Science")</f>
        <v>View Full Record in Web of Science</v>
      </c>
    </row>
    <row r="584" spans="1:72" x14ac:dyDescent="0.15">
      <c r="A584" t="s">
        <v>72</v>
      </c>
      <c r="B584" t="s">
        <v>11504</v>
      </c>
      <c r="C584" t="s">
        <v>74</v>
      </c>
      <c r="D584" t="s">
        <v>74</v>
      </c>
      <c r="E584" t="s">
        <v>74</v>
      </c>
      <c r="F584" t="s">
        <v>11505</v>
      </c>
      <c r="G584" t="s">
        <v>74</v>
      </c>
      <c r="H584" t="s">
        <v>74</v>
      </c>
      <c r="I584" t="s">
        <v>11506</v>
      </c>
      <c r="J584" t="s">
        <v>11507</v>
      </c>
      <c r="K584" t="s">
        <v>74</v>
      </c>
      <c r="L584" t="s">
        <v>74</v>
      </c>
      <c r="M584" t="s">
        <v>78</v>
      </c>
      <c r="N584" t="s">
        <v>79</v>
      </c>
      <c r="O584" t="s">
        <v>74</v>
      </c>
      <c r="P584" t="s">
        <v>74</v>
      </c>
      <c r="Q584" t="s">
        <v>74</v>
      </c>
      <c r="R584" t="s">
        <v>74</v>
      </c>
      <c r="S584" t="s">
        <v>74</v>
      </c>
      <c r="T584" t="s">
        <v>74</v>
      </c>
      <c r="U584" t="s">
        <v>11508</v>
      </c>
      <c r="V584" t="s">
        <v>11509</v>
      </c>
      <c r="W584" t="s">
        <v>11510</v>
      </c>
      <c r="X584" t="s">
        <v>11511</v>
      </c>
      <c r="Y584" t="s">
        <v>11512</v>
      </c>
      <c r="Z584" t="s">
        <v>11513</v>
      </c>
      <c r="AA584" t="s">
        <v>74</v>
      </c>
      <c r="AB584" t="s">
        <v>11514</v>
      </c>
      <c r="AC584" t="s">
        <v>11515</v>
      </c>
      <c r="AD584" t="s">
        <v>11516</v>
      </c>
      <c r="AE584" t="s">
        <v>11517</v>
      </c>
      <c r="AF584" t="s">
        <v>74</v>
      </c>
      <c r="AG584">
        <v>68</v>
      </c>
      <c r="AH584">
        <v>1</v>
      </c>
      <c r="AI584">
        <v>1</v>
      </c>
      <c r="AJ584">
        <v>2</v>
      </c>
      <c r="AK584">
        <v>15</v>
      </c>
      <c r="AL584" t="s">
        <v>8344</v>
      </c>
      <c r="AM584" t="s">
        <v>368</v>
      </c>
      <c r="AN584" t="s">
        <v>8345</v>
      </c>
      <c r="AO584" t="s">
        <v>11518</v>
      </c>
      <c r="AP584" t="s">
        <v>11519</v>
      </c>
      <c r="AQ584" t="s">
        <v>74</v>
      </c>
      <c r="AR584" t="s">
        <v>11520</v>
      </c>
      <c r="AS584" t="s">
        <v>11521</v>
      </c>
      <c r="AT584" t="s">
        <v>11522</v>
      </c>
      <c r="AU584">
        <v>2021</v>
      </c>
      <c r="AV584">
        <v>2021</v>
      </c>
      <c r="AW584" t="s">
        <v>74</v>
      </c>
      <c r="AX584" t="s">
        <v>74</v>
      </c>
      <c r="AY584" t="s">
        <v>74</v>
      </c>
      <c r="AZ584" t="s">
        <v>74</v>
      </c>
      <c r="BA584" t="s">
        <v>74</v>
      </c>
      <c r="BB584" t="s">
        <v>74</v>
      </c>
      <c r="BC584" t="s">
        <v>74</v>
      </c>
      <c r="BD584">
        <v>8278579</v>
      </c>
      <c r="BE584" t="s">
        <v>11523</v>
      </c>
      <c r="BF584" t="str">
        <f>HYPERLINK("http://dx.doi.org/10.1155/2021/8278579","http://dx.doi.org/10.1155/2021/8278579")</f>
        <v>http://dx.doi.org/10.1155/2021/8278579</v>
      </c>
      <c r="BG584" t="s">
        <v>74</v>
      </c>
      <c r="BH584" t="s">
        <v>74</v>
      </c>
      <c r="BI584">
        <v>14</v>
      </c>
      <c r="BJ584" t="s">
        <v>567</v>
      </c>
      <c r="BK584" t="s">
        <v>128</v>
      </c>
      <c r="BL584" t="s">
        <v>567</v>
      </c>
      <c r="BM584" t="s">
        <v>11524</v>
      </c>
      <c r="BN584" t="s">
        <v>74</v>
      </c>
      <c r="BO584" t="s">
        <v>638</v>
      </c>
      <c r="BP584" t="s">
        <v>74</v>
      </c>
      <c r="BQ584" t="s">
        <v>74</v>
      </c>
      <c r="BR584" t="s">
        <v>102</v>
      </c>
      <c r="BS584" t="s">
        <v>11525</v>
      </c>
      <c r="BT584" t="str">
        <f>HYPERLINK("https%3A%2F%2Fwww.webofscience.com%2Fwos%2Fwoscc%2Ffull-record%2FWOS:000667065400001","View Full Record in Web of Science")</f>
        <v>View Full Record in Web of Science</v>
      </c>
    </row>
    <row r="585" spans="1:72" x14ac:dyDescent="0.15">
      <c r="A585" t="s">
        <v>72</v>
      </c>
      <c r="B585" t="s">
        <v>11526</v>
      </c>
      <c r="C585" t="s">
        <v>74</v>
      </c>
      <c r="D585" t="s">
        <v>74</v>
      </c>
      <c r="E585" t="s">
        <v>74</v>
      </c>
      <c r="F585" t="s">
        <v>11527</v>
      </c>
      <c r="G585" t="s">
        <v>74</v>
      </c>
      <c r="H585" t="s">
        <v>74</v>
      </c>
      <c r="I585" t="s">
        <v>11528</v>
      </c>
      <c r="J585" t="s">
        <v>2594</v>
      </c>
      <c r="K585" t="s">
        <v>74</v>
      </c>
      <c r="L585" t="s">
        <v>74</v>
      </c>
      <c r="M585" t="s">
        <v>78</v>
      </c>
      <c r="N585" t="s">
        <v>79</v>
      </c>
      <c r="O585" t="s">
        <v>74</v>
      </c>
      <c r="P585" t="s">
        <v>74</v>
      </c>
      <c r="Q585" t="s">
        <v>74</v>
      </c>
      <c r="R585" t="s">
        <v>74</v>
      </c>
      <c r="S585" t="s">
        <v>74</v>
      </c>
      <c r="T585" t="s">
        <v>74</v>
      </c>
      <c r="U585" t="s">
        <v>11529</v>
      </c>
      <c r="V585" t="s">
        <v>11530</v>
      </c>
      <c r="W585" t="s">
        <v>11531</v>
      </c>
      <c r="X585" t="s">
        <v>11532</v>
      </c>
      <c r="Y585" t="s">
        <v>11533</v>
      </c>
      <c r="Z585" t="s">
        <v>11534</v>
      </c>
      <c r="AA585" t="s">
        <v>11535</v>
      </c>
      <c r="AB585" t="s">
        <v>11536</v>
      </c>
      <c r="AC585" t="s">
        <v>11537</v>
      </c>
      <c r="AD585" t="s">
        <v>11538</v>
      </c>
      <c r="AE585" t="s">
        <v>11539</v>
      </c>
      <c r="AF585" t="s">
        <v>74</v>
      </c>
      <c r="AG585">
        <v>92</v>
      </c>
      <c r="AH585">
        <v>1</v>
      </c>
      <c r="AI585">
        <v>1</v>
      </c>
      <c r="AJ585">
        <v>1</v>
      </c>
      <c r="AK585">
        <v>11</v>
      </c>
      <c r="AL585" t="s">
        <v>395</v>
      </c>
      <c r="AM585" t="s">
        <v>396</v>
      </c>
      <c r="AN585" t="s">
        <v>397</v>
      </c>
      <c r="AO585" t="s">
        <v>2605</v>
      </c>
      <c r="AP585" t="s">
        <v>74</v>
      </c>
      <c r="AQ585" t="s">
        <v>74</v>
      </c>
      <c r="AR585" t="s">
        <v>2606</v>
      </c>
      <c r="AS585" t="s">
        <v>2607</v>
      </c>
      <c r="AT585" t="s">
        <v>11522</v>
      </c>
      <c r="AU585">
        <v>2021</v>
      </c>
      <c r="AV585">
        <v>11</v>
      </c>
      <c r="AW585">
        <v>1</v>
      </c>
      <c r="AX585" t="s">
        <v>74</v>
      </c>
      <c r="AY585" t="s">
        <v>74</v>
      </c>
      <c r="AZ585" t="s">
        <v>74</v>
      </c>
      <c r="BA585" t="s">
        <v>74</v>
      </c>
      <c r="BB585" t="s">
        <v>74</v>
      </c>
      <c r="BC585" t="s">
        <v>74</v>
      </c>
      <c r="BD585">
        <v>11917</v>
      </c>
      <c r="BE585" t="s">
        <v>11540</v>
      </c>
      <c r="BF585" t="str">
        <f>HYPERLINK("http://dx.doi.org/10.1038/s41598-021-91405-x","http://dx.doi.org/10.1038/s41598-021-91405-x")</f>
        <v>http://dx.doi.org/10.1038/s41598-021-91405-x</v>
      </c>
      <c r="BG585" t="s">
        <v>74</v>
      </c>
      <c r="BH585" t="s">
        <v>74</v>
      </c>
      <c r="BI585">
        <v>13</v>
      </c>
      <c r="BJ585" t="s">
        <v>2609</v>
      </c>
      <c r="BK585" t="s">
        <v>128</v>
      </c>
      <c r="BL585" t="s">
        <v>2610</v>
      </c>
      <c r="BM585" t="s">
        <v>11541</v>
      </c>
      <c r="BN585">
        <v>34099778</v>
      </c>
      <c r="BO585" t="s">
        <v>311</v>
      </c>
      <c r="BP585" t="s">
        <v>74</v>
      </c>
      <c r="BQ585" t="s">
        <v>74</v>
      </c>
      <c r="BR585" t="s">
        <v>102</v>
      </c>
      <c r="BS585" t="s">
        <v>11542</v>
      </c>
      <c r="BT585" t="str">
        <f>HYPERLINK("https%3A%2F%2Fwww.webofscience.com%2Fwos%2Fwoscc%2Ffull-record%2FWOS:000662871900022","View Full Record in Web of Science")</f>
        <v>View Full Record in Web of Science</v>
      </c>
    </row>
    <row r="586" spans="1:72" x14ac:dyDescent="0.15">
      <c r="A586" t="s">
        <v>72</v>
      </c>
      <c r="B586" t="s">
        <v>11543</v>
      </c>
      <c r="C586" t="s">
        <v>74</v>
      </c>
      <c r="D586" t="s">
        <v>74</v>
      </c>
      <c r="E586" t="s">
        <v>74</v>
      </c>
      <c r="F586" t="s">
        <v>11544</v>
      </c>
      <c r="G586" t="s">
        <v>74</v>
      </c>
      <c r="H586" t="s">
        <v>74</v>
      </c>
      <c r="I586" t="s">
        <v>11545</v>
      </c>
      <c r="J586" t="s">
        <v>107</v>
      </c>
      <c r="K586" t="s">
        <v>74</v>
      </c>
      <c r="L586" t="s">
        <v>74</v>
      </c>
      <c r="M586" t="s">
        <v>78</v>
      </c>
      <c r="N586" t="s">
        <v>3298</v>
      </c>
      <c r="O586" t="s">
        <v>74</v>
      </c>
      <c r="P586" t="s">
        <v>74</v>
      </c>
      <c r="Q586" t="s">
        <v>74</v>
      </c>
      <c r="R586" t="s">
        <v>74</v>
      </c>
      <c r="S586" t="s">
        <v>74</v>
      </c>
      <c r="T586" t="s">
        <v>11546</v>
      </c>
      <c r="U586" t="s">
        <v>74</v>
      </c>
      <c r="V586" t="s">
        <v>74</v>
      </c>
      <c r="W586" t="s">
        <v>11547</v>
      </c>
      <c r="X586" t="s">
        <v>11548</v>
      </c>
      <c r="Y586" t="s">
        <v>11549</v>
      </c>
      <c r="Z586" t="s">
        <v>11550</v>
      </c>
      <c r="AA586" t="s">
        <v>11551</v>
      </c>
      <c r="AB586" t="s">
        <v>11552</v>
      </c>
      <c r="AC586" t="s">
        <v>74</v>
      </c>
      <c r="AD586" t="s">
        <v>74</v>
      </c>
      <c r="AE586" t="s">
        <v>74</v>
      </c>
      <c r="AF586" t="s">
        <v>74</v>
      </c>
      <c r="AG586">
        <v>1</v>
      </c>
      <c r="AH586">
        <v>1</v>
      </c>
      <c r="AI586">
        <v>1</v>
      </c>
      <c r="AJ586">
        <v>40</v>
      </c>
      <c r="AK586">
        <v>74</v>
      </c>
      <c r="AL586" t="s">
        <v>119</v>
      </c>
      <c r="AM586" t="s">
        <v>120</v>
      </c>
      <c r="AN586" t="s">
        <v>121</v>
      </c>
      <c r="AO586" t="s">
        <v>74</v>
      </c>
      <c r="AP586" t="s">
        <v>122</v>
      </c>
      <c r="AQ586" t="s">
        <v>74</v>
      </c>
      <c r="AR586" t="s">
        <v>123</v>
      </c>
      <c r="AS586" t="s">
        <v>124</v>
      </c>
      <c r="AT586" t="s">
        <v>11522</v>
      </c>
      <c r="AU586">
        <v>2021</v>
      </c>
      <c r="AV586">
        <v>8</v>
      </c>
      <c r="AW586" t="s">
        <v>74</v>
      </c>
      <c r="AX586" t="s">
        <v>74</v>
      </c>
      <c r="AY586" t="s">
        <v>74</v>
      </c>
      <c r="AZ586" t="s">
        <v>74</v>
      </c>
      <c r="BA586" t="s">
        <v>74</v>
      </c>
      <c r="BB586" t="s">
        <v>74</v>
      </c>
      <c r="BC586" t="s">
        <v>74</v>
      </c>
      <c r="BD586">
        <v>707934</v>
      </c>
      <c r="BE586" t="s">
        <v>11553</v>
      </c>
      <c r="BF586" t="str">
        <f>HYPERLINK("http://dx.doi.org/10.3389/fmars.2021.707934","http://dx.doi.org/10.3389/fmars.2021.707934")</f>
        <v>http://dx.doi.org/10.3389/fmars.2021.707934</v>
      </c>
      <c r="BG586" t="s">
        <v>74</v>
      </c>
      <c r="BH586" t="s">
        <v>74</v>
      </c>
      <c r="BI586">
        <v>1</v>
      </c>
      <c r="BJ586" t="s">
        <v>127</v>
      </c>
      <c r="BK586" t="s">
        <v>128</v>
      </c>
      <c r="BL586" t="s">
        <v>129</v>
      </c>
      <c r="BM586" t="s">
        <v>11554</v>
      </c>
      <c r="BN586" t="s">
        <v>74</v>
      </c>
      <c r="BO586" t="s">
        <v>638</v>
      </c>
      <c r="BP586" t="s">
        <v>74</v>
      </c>
      <c r="BQ586" t="s">
        <v>74</v>
      </c>
      <c r="BR586" t="s">
        <v>102</v>
      </c>
      <c r="BS586" t="s">
        <v>11555</v>
      </c>
      <c r="BT586" t="str">
        <f>HYPERLINK("https%3A%2F%2Fwww.webofscience.com%2Fwos%2Fwoscc%2Ffull-record%2FWOS:000662879900001","View Full Record in Web of Science")</f>
        <v>View Full Record in Web of Science</v>
      </c>
    </row>
    <row r="587" spans="1:72" x14ac:dyDescent="0.15">
      <c r="A587" t="s">
        <v>72</v>
      </c>
      <c r="B587" t="s">
        <v>11556</v>
      </c>
      <c r="C587" t="s">
        <v>74</v>
      </c>
      <c r="D587" t="s">
        <v>74</v>
      </c>
      <c r="E587" t="s">
        <v>74</v>
      </c>
      <c r="F587" t="s">
        <v>11557</v>
      </c>
      <c r="G587" t="s">
        <v>74</v>
      </c>
      <c r="H587" t="s">
        <v>74</v>
      </c>
      <c r="I587" t="s">
        <v>11558</v>
      </c>
      <c r="J587" t="s">
        <v>159</v>
      </c>
      <c r="K587" t="s">
        <v>74</v>
      </c>
      <c r="L587" t="s">
        <v>74</v>
      </c>
      <c r="M587" t="s">
        <v>78</v>
      </c>
      <c r="N587" t="s">
        <v>79</v>
      </c>
      <c r="O587" t="s">
        <v>74</v>
      </c>
      <c r="P587" t="s">
        <v>74</v>
      </c>
      <c r="Q587" t="s">
        <v>74</v>
      </c>
      <c r="R587" t="s">
        <v>74</v>
      </c>
      <c r="S587" t="s">
        <v>74</v>
      </c>
      <c r="T587" t="s">
        <v>74</v>
      </c>
      <c r="U587" t="s">
        <v>11559</v>
      </c>
      <c r="V587" t="s">
        <v>11560</v>
      </c>
      <c r="W587" t="s">
        <v>11561</v>
      </c>
      <c r="X587" t="s">
        <v>11562</v>
      </c>
      <c r="Y587" t="s">
        <v>11563</v>
      </c>
      <c r="Z587" t="s">
        <v>11564</v>
      </c>
      <c r="AA587" t="s">
        <v>11565</v>
      </c>
      <c r="AB587" t="s">
        <v>11566</v>
      </c>
      <c r="AC587" t="s">
        <v>11567</v>
      </c>
      <c r="AD587" t="s">
        <v>11568</v>
      </c>
      <c r="AE587" t="s">
        <v>11569</v>
      </c>
      <c r="AF587" t="s">
        <v>74</v>
      </c>
      <c r="AG587">
        <v>83</v>
      </c>
      <c r="AH587">
        <v>12</v>
      </c>
      <c r="AI587">
        <v>12</v>
      </c>
      <c r="AJ587">
        <v>2</v>
      </c>
      <c r="AK587">
        <v>9</v>
      </c>
      <c r="AL587" t="s">
        <v>143</v>
      </c>
      <c r="AM587" t="s">
        <v>144</v>
      </c>
      <c r="AN587" t="s">
        <v>145</v>
      </c>
      <c r="AO587" t="s">
        <v>171</v>
      </c>
      <c r="AP587" t="s">
        <v>172</v>
      </c>
      <c r="AQ587" t="s">
        <v>74</v>
      </c>
      <c r="AR587" t="s">
        <v>173</v>
      </c>
      <c r="AS587" t="s">
        <v>174</v>
      </c>
      <c r="AT587" t="s">
        <v>11522</v>
      </c>
      <c r="AU587">
        <v>2021</v>
      </c>
      <c r="AV587">
        <v>17</v>
      </c>
      <c r="AW587">
        <v>3</v>
      </c>
      <c r="AX587" t="s">
        <v>74</v>
      </c>
      <c r="AY587" t="s">
        <v>74</v>
      </c>
      <c r="AZ587" t="s">
        <v>74</v>
      </c>
      <c r="BA587" t="s">
        <v>74</v>
      </c>
      <c r="BB587">
        <v>1139</v>
      </c>
      <c r="BC587">
        <v>1159</v>
      </c>
      <c r="BD587" t="s">
        <v>74</v>
      </c>
      <c r="BE587" t="s">
        <v>11570</v>
      </c>
      <c r="BF587" t="str">
        <f>HYPERLINK("http://dx.doi.org/10.5194/cp-17-1139-2021","http://dx.doi.org/10.5194/cp-17-1139-2021")</f>
        <v>http://dx.doi.org/10.5194/cp-17-1139-2021</v>
      </c>
      <c r="BG587" t="s">
        <v>74</v>
      </c>
      <c r="BH587" t="s">
        <v>74</v>
      </c>
      <c r="BI587">
        <v>21</v>
      </c>
      <c r="BJ587" t="s">
        <v>176</v>
      </c>
      <c r="BK587" t="s">
        <v>128</v>
      </c>
      <c r="BL587" t="s">
        <v>177</v>
      </c>
      <c r="BM587" t="s">
        <v>11571</v>
      </c>
      <c r="BN587" t="s">
        <v>74</v>
      </c>
      <c r="BO587" t="s">
        <v>353</v>
      </c>
      <c r="BP587" t="s">
        <v>74</v>
      </c>
      <c r="BQ587" t="s">
        <v>74</v>
      </c>
      <c r="BR587" t="s">
        <v>102</v>
      </c>
      <c r="BS587" t="s">
        <v>11572</v>
      </c>
      <c r="BT587" t="str">
        <f>HYPERLINK("https%3A%2F%2Fwww.webofscience.com%2Fwos%2Fwoscc%2Ffull-record%2FWOS:000661256000001","View Full Record in Web of Science")</f>
        <v>View Full Record in Web of Science</v>
      </c>
    </row>
    <row r="588" spans="1:72" x14ac:dyDescent="0.15">
      <c r="A588" t="s">
        <v>72</v>
      </c>
      <c r="B588" t="s">
        <v>11573</v>
      </c>
      <c r="C588" t="s">
        <v>74</v>
      </c>
      <c r="D588" t="s">
        <v>74</v>
      </c>
      <c r="E588" t="s">
        <v>74</v>
      </c>
      <c r="F588" t="s">
        <v>11574</v>
      </c>
      <c r="G588" t="s">
        <v>74</v>
      </c>
      <c r="H588" t="s">
        <v>74</v>
      </c>
      <c r="I588" t="s">
        <v>11575</v>
      </c>
      <c r="J588" t="s">
        <v>2434</v>
      </c>
      <c r="K588" t="s">
        <v>74</v>
      </c>
      <c r="L588" t="s">
        <v>74</v>
      </c>
      <c r="M588" t="s">
        <v>78</v>
      </c>
      <c r="N588" t="s">
        <v>79</v>
      </c>
      <c r="O588" t="s">
        <v>74</v>
      </c>
      <c r="P588" t="s">
        <v>74</v>
      </c>
      <c r="Q588" t="s">
        <v>74</v>
      </c>
      <c r="R588" t="s">
        <v>74</v>
      </c>
      <c r="S588" t="s">
        <v>74</v>
      </c>
      <c r="T588" t="s">
        <v>11576</v>
      </c>
      <c r="U588" t="s">
        <v>11577</v>
      </c>
      <c r="V588" t="s">
        <v>11578</v>
      </c>
      <c r="W588" t="s">
        <v>11579</v>
      </c>
      <c r="X588" t="s">
        <v>11580</v>
      </c>
      <c r="Y588" t="s">
        <v>11581</v>
      </c>
      <c r="Z588" t="s">
        <v>11582</v>
      </c>
      <c r="AA588" t="s">
        <v>11583</v>
      </c>
      <c r="AB588" t="s">
        <v>11584</v>
      </c>
      <c r="AC588" t="s">
        <v>11585</v>
      </c>
      <c r="AD588" t="s">
        <v>11586</v>
      </c>
      <c r="AE588" t="s">
        <v>11587</v>
      </c>
      <c r="AF588" t="s">
        <v>74</v>
      </c>
      <c r="AG588">
        <v>58</v>
      </c>
      <c r="AH588">
        <v>9</v>
      </c>
      <c r="AI588">
        <v>9</v>
      </c>
      <c r="AJ588">
        <v>2</v>
      </c>
      <c r="AK588">
        <v>16</v>
      </c>
      <c r="AL588" t="s">
        <v>197</v>
      </c>
      <c r="AM588" t="s">
        <v>198</v>
      </c>
      <c r="AN588" t="s">
        <v>199</v>
      </c>
      <c r="AO588" t="s">
        <v>2447</v>
      </c>
      <c r="AP588" t="s">
        <v>2448</v>
      </c>
      <c r="AQ588" t="s">
        <v>74</v>
      </c>
      <c r="AR588" t="s">
        <v>2449</v>
      </c>
      <c r="AS588" t="s">
        <v>2450</v>
      </c>
      <c r="AT588" t="s">
        <v>430</v>
      </c>
      <c r="AU588">
        <v>2021</v>
      </c>
      <c r="AV588">
        <v>147</v>
      </c>
      <c r="AW588">
        <v>738</v>
      </c>
      <c r="AX588" t="s">
        <v>74</v>
      </c>
      <c r="AY588" t="s">
        <v>74</v>
      </c>
      <c r="AZ588" t="s">
        <v>74</v>
      </c>
      <c r="BA588" t="s">
        <v>74</v>
      </c>
      <c r="BB588">
        <v>2895</v>
      </c>
      <c r="BC588">
        <v>2916</v>
      </c>
      <c r="BD588" t="s">
        <v>74</v>
      </c>
      <c r="BE588" t="s">
        <v>11588</v>
      </c>
      <c r="BF588" t="str">
        <f>HYPERLINK("http://dx.doi.org/10.1002/qj.4105","http://dx.doi.org/10.1002/qj.4105")</f>
        <v>http://dx.doi.org/10.1002/qj.4105</v>
      </c>
      <c r="BG588" t="s">
        <v>74</v>
      </c>
      <c r="BH588" t="s">
        <v>8134</v>
      </c>
      <c r="BI588">
        <v>22</v>
      </c>
      <c r="BJ588" t="s">
        <v>567</v>
      </c>
      <c r="BK588" t="s">
        <v>128</v>
      </c>
      <c r="BL588" t="s">
        <v>567</v>
      </c>
      <c r="BM588" t="s">
        <v>11589</v>
      </c>
      <c r="BN588" t="s">
        <v>74</v>
      </c>
      <c r="BO588" t="s">
        <v>74</v>
      </c>
      <c r="BP588" t="s">
        <v>74</v>
      </c>
      <c r="BQ588" t="s">
        <v>74</v>
      </c>
      <c r="BR588" t="s">
        <v>102</v>
      </c>
      <c r="BS588" t="s">
        <v>11590</v>
      </c>
      <c r="BT588" t="str">
        <f>HYPERLINK("https%3A%2F%2Fwww.webofscience.com%2Fwos%2Fwoscc%2Ffull-record%2FWOS:000658418700001","View Full Record in Web of Science")</f>
        <v>View Full Record in Web of Science</v>
      </c>
    </row>
    <row r="589" spans="1:72" x14ac:dyDescent="0.15">
      <c r="A589" t="s">
        <v>72</v>
      </c>
      <c r="B589" t="s">
        <v>11591</v>
      </c>
      <c r="C589" t="s">
        <v>74</v>
      </c>
      <c r="D589" t="s">
        <v>74</v>
      </c>
      <c r="E589" t="s">
        <v>74</v>
      </c>
      <c r="F589" t="s">
        <v>11592</v>
      </c>
      <c r="G589" t="s">
        <v>74</v>
      </c>
      <c r="H589" t="s">
        <v>74</v>
      </c>
      <c r="I589" t="s">
        <v>11593</v>
      </c>
      <c r="J589" t="s">
        <v>9916</v>
      </c>
      <c r="K589" t="s">
        <v>74</v>
      </c>
      <c r="L589" t="s">
        <v>74</v>
      </c>
      <c r="M589" t="s">
        <v>78</v>
      </c>
      <c r="N589" t="s">
        <v>79</v>
      </c>
      <c r="O589" t="s">
        <v>74</v>
      </c>
      <c r="P589" t="s">
        <v>74</v>
      </c>
      <c r="Q589" t="s">
        <v>74</v>
      </c>
      <c r="R589" t="s">
        <v>74</v>
      </c>
      <c r="S589" t="s">
        <v>74</v>
      </c>
      <c r="T589" t="s">
        <v>11594</v>
      </c>
      <c r="U589" t="s">
        <v>11595</v>
      </c>
      <c r="V589" t="s">
        <v>11596</v>
      </c>
      <c r="W589" t="s">
        <v>11597</v>
      </c>
      <c r="X589" t="s">
        <v>11598</v>
      </c>
      <c r="Y589" t="s">
        <v>11599</v>
      </c>
      <c r="Z589" t="s">
        <v>11600</v>
      </c>
      <c r="AA589" t="s">
        <v>74</v>
      </c>
      <c r="AB589" t="s">
        <v>11601</v>
      </c>
      <c r="AC589" t="s">
        <v>11602</v>
      </c>
      <c r="AD589" t="s">
        <v>11603</v>
      </c>
      <c r="AE589" t="s">
        <v>11604</v>
      </c>
      <c r="AF589" t="s">
        <v>74</v>
      </c>
      <c r="AG589">
        <v>151</v>
      </c>
      <c r="AH589">
        <v>11</v>
      </c>
      <c r="AI589">
        <v>12</v>
      </c>
      <c r="AJ589">
        <v>5</v>
      </c>
      <c r="AK589">
        <v>25</v>
      </c>
      <c r="AL589" t="s">
        <v>119</v>
      </c>
      <c r="AM589" t="s">
        <v>120</v>
      </c>
      <c r="AN589" t="s">
        <v>121</v>
      </c>
      <c r="AO589" t="s">
        <v>9929</v>
      </c>
      <c r="AP589" t="s">
        <v>74</v>
      </c>
      <c r="AQ589" t="s">
        <v>74</v>
      </c>
      <c r="AR589" t="s">
        <v>9930</v>
      </c>
      <c r="AS589" t="s">
        <v>9931</v>
      </c>
      <c r="AT589" t="s">
        <v>11522</v>
      </c>
      <c r="AU589">
        <v>2021</v>
      </c>
      <c r="AV589">
        <v>12</v>
      </c>
      <c r="AW589" t="s">
        <v>74</v>
      </c>
      <c r="AX589" t="s">
        <v>74</v>
      </c>
      <c r="AY589" t="s">
        <v>74</v>
      </c>
      <c r="AZ589" t="s">
        <v>74</v>
      </c>
      <c r="BA589" t="s">
        <v>74</v>
      </c>
      <c r="BB589" t="s">
        <v>74</v>
      </c>
      <c r="BC589" t="s">
        <v>74</v>
      </c>
      <c r="BD589">
        <v>662298</v>
      </c>
      <c r="BE589" t="s">
        <v>11605</v>
      </c>
      <c r="BF589" t="str">
        <f>HYPERLINK("http://dx.doi.org/10.3389/fpls.2021.662298","http://dx.doi.org/10.3389/fpls.2021.662298")</f>
        <v>http://dx.doi.org/10.3389/fpls.2021.662298</v>
      </c>
      <c r="BG589" t="s">
        <v>74</v>
      </c>
      <c r="BH589" t="s">
        <v>74</v>
      </c>
      <c r="BI589">
        <v>22</v>
      </c>
      <c r="BJ589" t="s">
        <v>1398</v>
      </c>
      <c r="BK589" t="s">
        <v>128</v>
      </c>
      <c r="BL589" t="s">
        <v>1398</v>
      </c>
      <c r="BM589" t="s">
        <v>11606</v>
      </c>
      <c r="BN589">
        <v>34163502</v>
      </c>
      <c r="BO589" t="s">
        <v>1377</v>
      </c>
      <c r="BP589" t="s">
        <v>74</v>
      </c>
      <c r="BQ589" t="s">
        <v>74</v>
      </c>
      <c r="BR589" t="s">
        <v>102</v>
      </c>
      <c r="BS589" t="s">
        <v>11607</v>
      </c>
      <c r="BT589" t="str">
        <f>HYPERLINK("https%3A%2F%2Fwww.webofscience.com%2Fwos%2Fwoscc%2Ffull-record%2FWOS:000663823700001","View Full Record in Web of Science")</f>
        <v>View Full Record in Web of Science</v>
      </c>
    </row>
    <row r="590" spans="1:72" x14ac:dyDescent="0.15">
      <c r="A590" t="s">
        <v>72</v>
      </c>
      <c r="B590" t="s">
        <v>11608</v>
      </c>
      <c r="C590" t="s">
        <v>74</v>
      </c>
      <c r="D590" t="s">
        <v>74</v>
      </c>
      <c r="E590" t="s">
        <v>74</v>
      </c>
      <c r="F590" t="s">
        <v>11609</v>
      </c>
      <c r="G590" t="s">
        <v>74</v>
      </c>
      <c r="H590" t="s">
        <v>74</v>
      </c>
      <c r="I590" t="s">
        <v>11610</v>
      </c>
      <c r="J590" t="s">
        <v>11611</v>
      </c>
      <c r="K590" t="s">
        <v>74</v>
      </c>
      <c r="L590" t="s">
        <v>74</v>
      </c>
      <c r="M590" t="s">
        <v>78</v>
      </c>
      <c r="N590" t="s">
        <v>79</v>
      </c>
      <c r="O590" t="s">
        <v>74</v>
      </c>
      <c r="P590" t="s">
        <v>74</v>
      </c>
      <c r="Q590" t="s">
        <v>74</v>
      </c>
      <c r="R590" t="s">
        <v>74</v>
      </c>
      <c r="S590" t="s">
        <v>74</v>
      </c>
      <c r="T590" t="s">
        <v>11612</v>
      </c>
      <c r="U590" t="s">
        <v>11613</v>
      </c>
      <c r="V590" t="s">
        <v>11614</v>
      </c>
      <c r="W590" t="s">
        <v>11615</v>
      </c>
      <c r="X590" t="s">
        <v>11616</v>
      </c>
      <c r="Y590" t="s">
        <v>11617</v>
      </c>
      <c r="Z590" t="s">
        <v>11618</v>
      </c>
      <c r="AA590" t="s">
        <v>11619</v>
      </c>
      <c r="AB590" t="s">
        <v>11620</v>
      </c>
      <c r="AC590" t="s">
        <v>11621</v>
      </c>
      <c r="AD590" t="s">
        <v>11622</v>
      </c>
      <c r="AE590" t="s">
        <v>11623</v>
      </c>
      <c r="AF590" t="s">
        <v>74</v>
      </c>
      <c r="AG590">
        <v>99</v>
      </c>
      <c r="AH590">
        <v>3</v>
      </c>
      <c r="AI590">
        <v>4</v>
      </c>
      <c r="AJ590">
        <v>3</v>
      </c>
      <c r="AK590">
        <v>18</v>
      </c>
      <c r="AL590" t="s">
        <v>89</v>
      </c>
      <c r="AM590" t="s">
        <v>90</v>
      </c>
      <c r="AN590" t="s">
        <v>91</v>
      </c>
      <c r="AO590" t="s">
        <v>11624</v>
      </c>
      <c r="AP590" t="s">
        <v>11625</v>
      </c>
      <c r="AQ590" t="s">
        <v>74</v>
      </c>
      <c r="AR590" t="s">
        <v>11611</v>
      </c>
      <c r="AS590" t="s">
        <v>11626</v>
      </c>
      <c r="AT590" t="s">
        <v>204</v>
      </c>
      <c r="AU590">
        <v>2021</v>
      </c>
      <c r="AV590">
        <v>398</v>
      </c>
      <c r="AW590" t="s">
        <v>74</v>
      </c>
      <c r="AX590" t="s">
        <v>74</v>
      </c>
      <c r="AY590" t="s">
        <v>74</v>
      </c>
      <c r="AZ590" t="s">
        <v>74</v>
      </c>
      <c r="BA590" t="s">
        <v>74</v>
      </c>
      <c r="BB590" t="s">
        <v>74</v>
      </c>
      <c r="BC590" t="s">
        <v>74</v>
      </c>
      <c r="BD590">
        <v>106235</v>
      </c>
      <c r="BE590" t="s">
        <v>11627</v>
      </c>
      <c r="BF590" t="str">
        <f>HYPERLINK("http://dx.doi.org/10.1016/j.lithos.2021.106235","http://dx.doi.org/10.1016/j.lithos.2021.106235")</f>
        <v>http://dx.doi.org/10.1016/j.lithos.2021.106235</v>
      </c>
      <c r="BG590" t="s">
        <v>74</v>
      </c>
      <c r="BH590" t="s">
        <v>8134</v>
      </c>
      <c r="BI590">
        <v>28</v>
      </c>
      <c r="BJ590" t="s">
        <v>11628</v>
      </c>
      <c r="BK590" t="s">
        <v>128</v>
      </c>
      <c r="BL590" t="s">
        <v>11628</v>
      </c>
      <c r="BM590" t="s">
        <v>11629</v>
      </c>
      <c r="BN590" t="s">
        <v>74</v>
      </c>
      <c r="BO590" t="s">
        <v>74</v>
      </c>
      <c r="BP590" t="s">
        <v>74</v>
      </c>
      <c r="BQ590" t="s">
        <v>74</v>
      </c>
      <c r="BR590" t="s">
        <v>102</v>
      </c>
      <c r="BS590" t="s">
        <v>11630</v>
      </c>
      <c r="BT590" t="str">
        <f>HYPERLINK("https%3A%2F%2Fwww.webofscience.com%2Fwos%2Fwoscc%2Ffull-record%2FWOS:000687294400003","View Full Record in Web of Science")</f>
        <v>View Full Record in Web of Science</v>
      </c>
    </row>
    <row r="591" spans="1:72" x14ac:dyDescent="0.15">
      <c r="A591" t="s">
        <v>72</v>
      </c>
      <c r="B591" t="s">
        <v>11631</v>
      </c>
      <c r="C591" t="s">
        <v>74</v>
      </c>
      <c r="D591" t="s">
        <v>74</v>
      </c>
      <c r="E591" t="s">
        <v>74</v>
      </c>
      <c r="F591" t="s">
        <v>11632</v>
      </c>
      <c r="G591" t="s">
        <v>74</v>
      </c>
      <c r="H591" t="s">
        <v>74</v>
      </c>
      <c r="I591" t="s">
        <v>11633</v>
      </c>
      <c r="J591" t="s">
        <v>11634</v>
      </c>
      <c r="K591" t="s">
        <v>74</v>
      </c>
      <c r="L591" t="s">
        <v>74</v>
      </c>
      <c r="M591" t="s">
        <v>78</v>
      </c>
      <c r="N591" t="s">
        <v>79</v>
      </c>
      <c r="O591" t="s">
        <v>74</v>
      </c>
      <c r="P591" t="s">
        <v>74</v>
      </c>
      <c r="Q591" t="s">
        <v>74</v>
      </c>
      <c r="R591" t="s">
        <v>74</v>
      </c>
      <c r="S591" t="s">
        <v>74</v>
      </c>
      <c r="T591" t="s">
        <v>11635</v>
      </c>
      <c r="U591" t="s">
        <v>11636</v>
      </c>
      <c r="V591" t="s">
        <v>11637</v>
      </c>
      <c r="W591" t="s">
        <v>11638</v>
      </c>
      <c r="X591" t="s">
        <v>7116</v>
      </c>
      <c r="Y591" t="s">
        <v>11639</v>
      </c>
      <c r="Z591" t="s">
        <v>11640</v>
      </c>
      <c r="AA591" t="s">
        <v>11641</v>
      </c>
      <c r="AB591" t="s">
        <v>11642</v>
      </c>
      <c r="AC591" t="s">
        <v>11643</v>
      </c>
      <c r="AD591" t="s">
        <v>11644</v>
      </c>
      <c r="AE591" t="s">
        <v>11645</v>
      </c>
      <c r="AF591" t="s">
        <v>74</v>
      </c>
      <c r="AG591">
        <v>92</v>
      </c>
      <c r="AH591">
        <v>26</v>
      </c>
      <c r="AI591">
        <v>27</v>
      </c>
      <c r="AJ591">
        <v>8</v>
      </c>
      <c r="AK591">
        <v>47</v>
      </c>
      <c r="AL591" t="s">
        <v>227</v>
      </c>
      <c r="AM591" t="s">
        <v>228</v>
      </c>
      <c r="AN591" t="s">
        <v>229</v>
      </c>
      <c r="AO591" t="s">
        <v>11646</v>
      </c>
      <c r="AP591" t="s">
        <v>11647</v>
      </c>
      <c r="AQ591" t="s">
        <v>74</v>
      </c>
      <c r="AR591" t="s">
        <v>11648</v>
      </c>
      <c r="AS591" t="s">
        <v>11649</v>
      </c>
      <c r="AT591" t="s">
        <v>204</v>
      </c>
      <c r="AU591">
        <v>2021</v>
      </c>
      <c r="AV591">
        <v>124</v>
      </c>
      <c r="AW591" t="s">
        <v>74</v>
      </c>
      <c r="AX591" t="s">
        <v>74</v>
      </c>
      <c r="AY591" t="s">
        <v>74</v>
      </c>
      <c r="AZ591" t="s">
        <v>74</v>
      </c>
      <c r="BA591" t="s">
        <v>74</v>
      </c>
      <c r="BB591">
        <v>12</v>
      </c>
      <c r="BC591">
        <v>22</v>
      </c>
      <c r="BD591" t="s">
        <v>74</v>
      </c>
      <c r="BE591" t="s">
        <v>11650</v>
      </c>
      <c r="BF591" t="str">
        <f>HYPERLINK("http://dx.doi.org/10.1016/j.envsci.2021.05.023","http://dx.doi.org/10.1016/j.envsci.2021.05.023")</f>
        <v>http://dx.doi.org/10.1016/j.envsci.2021.05.023</v>
      </c>
      <c r="BG591" t="s">
        <v>74</v>
      </c>
      <c r="BH591" t="s">
        <v>8134</v>
      </c>
      <c r="BI591">
        <v>11</v>
      </c>
      <c r="BJ591" t="s">
        <v>262</v>
      </c>
      <c r="BK591" t="s">
        <v>128</v>
      </c>
      <c r="BL591" t="s">
        <v>263</v>
      </c>
      <c r="BM591" t="s">
        <v>11651</v>
      </c>
      <c r="BN591" t="s">
        <v>74</v>
      </c>
      <c r="BO591" t="s">
        <v>338</v>
      </c>
      <c r="BP591" t="s">
        <v>74</v>
      </c>
      <c r="BQ591" t="s">
        <v>74</v>
      </c>
      <c r="BR591" t="s">
        <v>102</v>
      </c>
      <c r="BS591" t="s">
        <v>11652</v>
      </c>
      <c r="BT591" t="str">
        <f>HYPERLINK("https%3A%2F%2Fwww.webofscience.com%2Fwos%2Fwoscc%2Ffull-record%2FWOS:000691785800002","View Full Record in Web of Science")</f>
        <v>View Full Record in Web of Science</v>
      </c>
    </row>
    <row r="592" spans="1:72" x14ac:dyDescent="0.15">
      <c r="A592" t="s">
        <v>72</v>
      </c>
      <c r="B592" t="s">
        <v>11653</v>
      </c>
      <c r="C592" t="s">
        <v>74</v>
      </c>
      <c r="D592" t="s">
        <v>74</v>
      </c>
      <c r="E592" t="s">
        <v>74</v>
      </c>
      <c r="F592" t="s">
        <v>11654</v>
      </c>
      <c r="G592" t="s">
        <v>74</v>
      </c>
      <c r="H592" t="s">
        <v>74</v>
      </c>
      <c r="I592" t="s">
        <v>11655</v>
      </c>
      <c r="J592" t="s">
        <v>4769</v>
      </c>
      <c r="K592" t="s">
        <v>74</v>
      </c>
      <c r="L592" t="s">
        <v>74</v>
      </c>
      <c r="M592" t="s">
        <v>78</v>
      </c>
      <c r="N592" t="s">
        <v>79</v>
      </c>
      <c r="O592" t="s">
        <v>74</v>
      </c>
      <c r="P592" t="s">
        <v>74</v>
      </c>
      <c r="Q592" t="s">
        <v>74</v>
      </c>
      <c r="R592" t="s">
        <v>74</v>
      </c>
      <c r="S592" t="s">
        <v>74</v>
      </c>
      <c r="T592" t="s">
        <v>11656</v>
      </c>
      <c r="U592" t="s">
        <v>11657</v>
      </c>
      <c r="V592" t="s">
        <v>11658</v>
      </c>
      <c r="W592" t="s">
        <v>11659</v>
      </c>
      <c r="X592" t="s">
        <v>11660</v>
      </c>
      <c r="Y592" t="s">
        <v>11661</v>
      </c>
      <c r="Z592" t="s">
        <v>11662</v>
      </c>
      <c r="AA592" t="s">
        <v>11663</v>
      </c>
      <c r="AB592" t="s">
        <v>11664</v>
      </c>
      <c r="AC592" t="s">
        <v>11665</v>
      </c>
      <c r="AD592" t="s">
        <v>11666</v>
      </c>
      <c r="AE592" t="s">
        <v>11667</v>
      </c>
      <c r="AF592" t="s">
        <v>74</v>
      </c>
      <c r="AG592">
        <v>27</v>
      </c>
      <c r="AH592">
        <v>6</v>
      </c>
      <c r="AI592">
        <v>6</v>
      </c>
      <c r="AJ592">
        <v>1</v>
      </c>
      <c r="AK592">
        <v>28</v>
      </c>
      <c r="AL592" t="s">
        <v>227</v>
      </c>
      <c r="AM592" t="s">
        <v>228</v>
      </c>
      <c r="AN592" t="s">
        <v>229</v>
      </c>
      <c r="AO592" t="s">
        <v>4782</v>
      </c>
      <c r="AP592" t="s">
        <v>4783</v>
      </c>
      <c r="AQ592" t="s">
        <v>74</v>
      </c>
      <c r="AR592" t="s">
        <v>4784</v>
      </c>
      <c r="AS592" t="s">
        <v>4785</v>
      </c>
      <c r="AT592" t="s">
        <v>402</v>
      </c>
      <c r="AU592">
        <v>2021</v>
      </c>
      <c r="AV592">
        <v>131</v>
      </c>
      <c r="AW592" t="s">
        <v>74</v>
      </c>
      <c r="AX592" t="s">
        <v>74</v>
      </c>
      <c r="AY592" t="s">
        <v>74</v>
      </c>
      <c r="AZ592" t="s">
        <v>74</v>
      </c>
      <c r="BA592" t="s">
        <v>74</v>
      </c>
      <c r="BB592" t="s">
        <v>74</v>
      </c>
      <c r="BC592" t="s">
        <v>74</v>
      </c>
      <c r="BD592">
        <v>104614</v>
      </c>
      <c r="BE592" t="s">
        <v>11668</v>
      </c>
      <c r="BF592" t="str">
        <f>HYPERLINK("http://dx.doi.org/10.1016/j.marpol.2021.104614","http://dx.doi.org/10.1016/j.marpol.2021.104614")</f>
        <v>http://dx.doi.org/10.1016/j.marpol.2021.104614</v>
      </c>
      <c r="BG592" t="s">
        <v>74</v>
      </c>
      <c r="BH592" t="s">
        <v>8134</v>
      </c>
      <c r="BI592">
        <v>9</v>
      </c>
      <c r="BJ592" t="s">
        <v>4787</v>
      </c>
      <c r="BK592" t="s">
        <v>377</v>
      </c>
      <c r="BL592" t="s">
        <v>4788</v>
      </c>
      <c r="BM592" t="s">
        <v>11283</v>
      </c>
      <c r="BN592" t="s">
        <v>74</v>
      </c>
      <c r="BO592" t="s">
        <v>291</v>
      </c>
      <c r="BP592" t="s">
        <v>74</v>
      </c>
      <c r="BQ592" t="s">
        <v>74</v>
      </c>
      <c r="BR592" t="s">
        <v>102</v>
      </c>
      <c r="BS592" t="s">
        <v>11669</v>
      </c>
      <c r="BT592" t="str">
        <f>HYPERLINK("https%3A%2F%2Fwww.webofscience.com%2Fwos%2Fwoscc%2Ffull-record%2FWOS:000687298500002","View Full Record in Web of Science")</f>
        <v>View Full Record in Web of Science</v>
      </c>
    </row>
    <row r="593" spans="1:72" x14ac:dyDescent="0.15">
      <c r="A593" t="s">
        <v>72</v>
      </c>
      <c r="B593" t="s">
        <v>11670</v>
      </c>
      <c r="C593" t="s">
        <v>74</v>
      </c>
      <c r="D593" t="s">
        <v>74</v>
      </c>
      <c r="E593" t="s">
        <v>74</v>
      </c>
      <c r="F593" t="s">
        <v>11671</v>
      </c>
      <c r="G593" t="s">
        <v>74</v>
      </c>
      <c r="H593" t="s">
        <v>74</v>
      </c>
      <c r="I593" t="s">
        <v>11672</v>
      </c>
      <c r="J593" t="s">
        <v>107</v>
      </c>
      <c r="K593" t="s">
        <v>74</v>
      </c>
      <c r="L593" t="s">
        <v>74</v>
      </c>
      <c r="M593" t="s">
        <v>78</v>
      </c>
      <c r="N593" t="s">
        <v>79</v>
      </c>
      <c r="O593" t="s">
        <v>74</v>
      </c>
      <c r="P593" t="s">
        <v>74</v>
      </c>
      <c r="Q593" t="s">
        <v>74</v>
      </c>
      <c r="R593" t="s">
        <v>74</v>
      </c>
      <c r="S593" t="s">
        <v>74</v>
      </c>
      <c r="T593" t="s">
        <v>11673</v>
      </c>
      <c r="U593" t="s">
        <v>11674</v>
      </c>
      <c r="V593" t="s">
        <v>11675</v>
      </c>
      <c r="W593" t="s">
        <v>11676</v>
      </c>
      <c r="X593" t="s">
        <v>11677</v>
      </c>
      <c r="Y593" t="s">
        <v>11678</v>
      </c>
      <c r="Z593" t="s">
        <v>11679</v>
      </c>
      <c r="AA593" t="s">
        <v>11680</v>
      </c>
      <c r="AB593" t="s">
        <v>11681</v>
      </c>
      <c r="AC593" t="s">
        <v>11682</v>
      </c>
      <c r="AD593" t="s">
        <v>11683</v>
      </c>
      <c r="AE593" t="s">
        <v>11684</v>
      </c>
      <c r="AF593" t="s">
        <v>74</v>
      </c>
      <c r="AG593">
        <v>92</v>
      </c>
      <c r="AH593">
        <v>11</v>
      </c>
      <c r="AI593">
        <v>11</v>
      </c>
      <c r="AJ593">
        <v>6</v>
      </c>
      <c r="AK593">
        <v>25</v>
      </c>
      <c r="AL593" t="s">
        <v>119</v>
      </c>
      <c r="AM593" t="s">
        <v>120</v>
      </c>
      <c r="AN593" t="s">
        <v>121</v>
      </c>
      <c r="AO593" t="s">
        <v>74</v>
      </c>
      <c r="AP593" t="s">
        <v>122</v>
      </c>
      <c r="AQ593" t="s">
        <v>74</v>
      </c>
      <c r="AR593" t="s">
        <v>123</v>
      </c>
      <c r="AS593" t="s">
        <v>124</v>
      </c>
      <c r="AT593" t="s">
        <v>11685</v>
      </c>
      <c r="AU593">
        <v>2021</v>
      </c>
      <c r="AV593">
        <v>8</v>
      </c>
      <c r="AW593" t="s">
        <v>74</v>
      </c>
      <c r="AX593" t="s">
        <v>74</v>
      </c>
      <c r="AY593" t="s">
        <v>74</v>
      </c>
      <c r="AZ593" t="s">
        <v>74</v>
      </c>
      <c r="BA593" t="s">
        <v>74</v>
      </c>
      <c r="BB593" t="s">
        <v>74</v>
      </c>
      <c r="BC593" t="s">
        <v>74</v>
      </c>
      <c r="BD593">
        <v>609480</v>
      </c>
      <c r="BE593" t="s">
        <v>11686</v>
      </c>
      <c r="BF593" t="str">
        <f>HYPERLINK("http://dx.doi.org/10.3389/fmars.2021.609480","http://dx.doi.org/10.3389/fmars.2021.609480")</f>
        <v>http://dx.doi.org/10.3389/fmars.2021.609480</v>
      </c>
      <c r="BG593" t="s">
        <v>74</v>
      </c>
      <c r="BH593" t="s">
        <v>74</v>
      </c>
      <c r="BI593">
        <v>21</v>
      </c>
      <c r="BJ593" t="s">
        <v>127</v>
      </c>
      <c r="BK593" t="s">
        <v>128</v>
      </c>
      <c r="BL593" t="s">
        <v>129</v>
      </c>
      <c r="BM593" t="s">
        <v>11687</v>
      </c>
      <c r="BN593" t="s">
        <v>74</v>
      </c>
      <c r="BO593" t="s">
        <v>1377</v>
      </c>
      <c r="BP593" t="s">
        <v>74</v>
      </c>
      <c r="BQ593" t="s">
        <v>74</v>
      </c>
      <c r="BR593" t="s">
        <v>102</v>
      </c>
      <c r="BS593" t="s">
        <v>11688</v>
      </c>
      <c r="BT593" t="str">
        <f>HYPERLINK("https%3A%2F%2Fwww.webofscience.com%2Fwos%2Fwoscc%2Ffull-record%2FWOS:000662937900001","View Full Record in Web of Science")</f>
        <v>View Full Record in Web of Science</v>
      </c>
    </row>
    <row r="594" spans="1:72" x14ac:dyDescent="0.15">
      <c r="A594" t="s">
        <v>72</v>
      </c>
      <c r="B594" t="s">
        <v>11689</v>
      </c>
      <c r="C594" t="s">
        <v>74</v>
      </c>
      <c r="D594" t="s">
        <v>74</v>
      </c>
      <c r="E594" t="s">
        <v>74</v>
      </c>
      <c r="F594" t="s">
        <v>11690</v>
      </c>
      <c r="G594" t="s">
        <v>74</v>
      </c>
      <c r="H594" t="s">
        <v>74</v>
      </c>
      <c r="I594" t="s">
        <v>11691</v>
      </c>
      <c r="J594" t="s">
        <v>11692</v>
      </c>
      <c r="K594" t="s">
        <v>74</v>
      </c>
      <c r="L594" t="s">
        <v>74</v>
      </c>
      <c r="M594" t="s">
        <v>78</v>
      </c>
      <c r="N594" t="s">
        <v>79</v>
      </c>
      <c r="O594" t="s">
        <v>74</v>
      </c>
      <c r="P594" t="s">
        <v>74</v>
      </c>
      <c r="Q594" t="s">
        <v>74</v>
      </c>
      <c r="R594" t="s">
        <v>74</v>
      </c>
      <c r="S594" t="s">
        <v>74</v>
      </c>
      <c r="T594" t="s">
        <v>11693</v>
      </c>
      <c r="U594" t="s">
        <v>11694</v>
      </c>
      <c r="V594" t="s">
        <v>11695</v>
      </c>
      <c r="W594" t="s">
        <v>11696</v>
      </c>
      <c r="X594" t="s">
        <v>11697</v>
      </c>
      <c r="Y594" t="s">
        <v>11698</v>
      </c>
      <c r="Z594" t="s">
        <v>11699</v>
      </c>
      <c r="AA594" t="s">
        <v>11700</v>
      </c>
      <c r="AB594" t="s">
        <v>11701</v>
      </c>
      <c r="AC594" t="s">
        <v>74</v>
      </c>
      <c r="AD594" t="s">
        <v>74</v>
      </c>
      <c r="AE594" t="s">
        <v>74</v>
      </c>
      <c r="AF594" t="s">
        <v>74</v>
      </c>
      <c r="AG594">
        <v>111</v>
      </c>
      <c r="AH594">
        <v>4</v>
      </c>
      <c r="AI594">
        <v>5</v>
      </c>
      <c r="AJ594">
        <v>4</v>
      </c>
      <c r="AK594">
        <v>21</v>
      </c>
      <c r="AL594" t="s">
        <v>5868</v>
      </c>
      <c r="AM594" t="s">
        <v>5869</v>
      </c>
      <c r="AN594" t="s">
        <v>5870</v>
      </c>
      <c r="AO594" t="s">
        <v>11702</v>
      </c>
      <c r="AP594" t="s">
        <v>11703</v>
      </c>
      <c r="AQ594" t="s">
        <v>74</v>
      </c>
      <c r="AR594" t="s">
        <v>11704</v>
      </c>
      <c r="AS594" t="s">
        <v>11705</v>
      </c>
      <c r="AT594" t="s">
        <v>125</v>
      </c>
      <c r="AU594">
        <v>2021</v>
      </c>
      <c r="AV594">
        <v>34</v>
      </c>
      <c r="AW594">
        <v>8</v>
      </c>
      <c r="AX594" t="s">
        <v>74</v>
      </c>
      <c r="AY594" t="s">
        <v>74</v>
      </c>
      <c r="AZ594" t="s">
        <v>74</v>
      </c>
      <c r="BA594" t="s">
        <v>74</v>
      </c>
      <c r="BB594">
        <v>1038</v>
      </c>
      <c r="BC594">
        <v>1055</v>
      </c>
      <c r="BD594" t="s">
        <v>74</v>
      </c>
      <c r="BE594" t="s">
        <v>11706</v>
      </c>
      <c r="BF594" t="str">
        <f>HYPERLINK("http://dx.doi.org/10.1080/08941920.2021.1931592","http://dx.doi.org/10.1080/08941920.2021.1931592")</f>
        <v>http://dx.doi.org/10.1080/08941920.2021.1931592</v>
      </c>
      <c r="BG594" t="s">
        <v>74</v>
      </c>
      <c r="BH594" t="s">
        <v>8134</v>
      </c>
      <c r="BI594">
        <v>18</v>
      </c>
      <c r="BJ594" t="s">
        <v>11707</v>
      </c>
      <c r="BK594" t="s">
        <v>377</v>
      </c>
      <c r="BL594" t="s">
        <v>11708</v>
      </c>
      <c r="BM594" t="s">
        <v>11709</v>
      </c>
      <c r="BN594" t="s">
        <v>74</v>
      </c>
      <c r="BO594" t="s">
        <v>74</v>
      </c>
      <c r="BP594" t="s">
        <v>74</v>
      </c>
      <c r="BQ594" t="s">
        <v>74</v>
      </c>
      <c r="BR594" t="s">
        <v>102</v>
      </c>
      <c r="BS594" t="s">
        <v>11710</v>
      </c>
      <c r="BT594" t="str">
        <f>HYPERLINK("https%3A%2F%2Fwww.webofscience.com%2Fwos%2Fwoscc%2Ffull-record%2FWOS:000659393400001","View Full Record in Web of Science")</f>
        <v>View Full Record in Web of Science</v>
      </c>
    </row>
    <row r="595" spans="1:72" x14ac:dyDescent="0.15">
      <c r="A595" t="s">
        <v>72</v>
      </c>
      <c r="B595" t="s">
        <v>11711</v>
      </c>
      <c r="C595" t="s">
        <v>74</v>
      </c>
      <c r="D595" t="s">
        <v>74</v>
      </c>
      <c r="E595" t="s">
        <v>74</v>
      </c>
      <c r="F595" t="s">
        <v>11712</v>
      </c>
      <c r="G595" t="s">
        <v>74</v>
      </c>
      <c r="H595" t="s">
        <v>74</v>
      </c>
      <c r="I595" t="s">
        <v>11713</v>
      </c>
      <c r="J595" t="s">
        <v>6035</v>
      </c>
      <c r="K595" t="s">
        <v>74</v>
      </c>
      <c r="L595" t="s">
        <v>74</v>
      </c>
      <c r="M595" t="s">
        <v>78</v>
      </c>
      <c r="N595" t="s">
        <v>79</v>
      </c>
      <c r="O595" t="s">
        <v>74</v>
      </c>
      <c r="P595" t="s">
        <v>74</v>
      </c>
      <c r="Q595" t="s">
        <v>74</v>
      </c>
      <c r="R595" t="s">
        <v>74</v>
      </c>
      <c r="S595" t="s">
        <v>74</v>
      </c>
      <c r="T595" t="s">
        <v>74</v>
      </c>
      <c r="U595" t="s">
        <v>11714</v>
      </c>
      <c r="V595" t="s">
        <v>11715</v>
      </c>
      <c r="W595" t="s">
        <v>11716</v>
      </c>
      <c r="X595" t="s">
        <v>11717</v>
      </c>
      <c r="Y595" t="s">
        <v>11718</v>
      </c>
      <c r="Z595" t="s">
        <v>11719</v>
      </c>
      <c r="AA595" t="s">
        <v>11720</v>
      </c>
      <c r="AB595" t="s">
        <v>11721</v>
      </c>
      <c r="AC595" t="s">
        <v>11722</v>
      </c>
      <c r="AD595" t="s">
        <v>11723</v>
      </c>
      <c r="AE595" t="s">
        <v>11724</v>
      </c>
      <c r="AF595" t="s">
        <v>74</v>
      </c>
      <c r="AG595">
        <v>158</v>
      </c>
      <c r="AH595">
        <v>55</v>
      </c>
      <c r="AI595">
        <v>58</v>
      </c>
      <c r="AJ595">
        <v>7</v>
      </c>
      <c r="AK595">
        <v>89</v>
      </c>
      <c r="AL595" t="s">
        <v>7767</v>
      </c>
      <c r="AM595" t="s">
        <v>865</v>
      </c>
      <c r="AN595" t="s">
        <v>7768</v>
      </c>
      <c r="AO595" t="s">
        <v>9559</v>
      </c>
      <c r="AP595" t="s">
        <v>9560</v>
      </c>
      <c r="AQ595" t="s">
        <v>74</v>
      </c>
      <c r="AR595" t="s">
        <v>6035</v>
      </c>
      <c r="AS595" t="s">
        <v>9561</v>
      </c>
      <c r="AT595" t="s">
        <v>11685</v>
      </c>
      <c r="AU595">
        <v>2021</v>
      </c>
      <c r="AV595">
        <v>372</v>
      </c>
      <c r="AW595">
        <v>6546</v>
      </c>
      <c r="AX595" t="s">
        <v>74</v>
      </c>
      <c r="AY595" t="s">
        <v>74</v>
      </c>
      <c r="AZ595" t="s">
        <v>74</v>
      </c>
      <c r="BA595" t="s">
        <v>74</v>
      </c>
      <c r="BB595">
        <v>1097</v>
      </c>
      <c r="BC595" t="s">
        <v>403</v>
      </c>
      <c r="BD595" t="s">
        <v>74</v>
      </c>
      <c r="BE595" t="s">
        <v>11725</v>
      </c>
      <c r="BF595" t="str">
        <f>HYPERLINK("http://dx.doi.org/10.1126/science.abd2897","http://dx.doi.org/10.1126/science.abd2897")</f>
        <v>http://dx.doi.org/10.1126/science.abd2897</v>
      </c>
      <c r="BG595" t="s">
        <v>74</v>
      </c>
      <c r="BH595" t="s">
        <v>74</v>
      </c>
      <c r="BI595">
        <v>57</v>
      </c>
      <c r="BJ595" t="s">
        <v>2609</v>
      </c>
      <c r="BK595" t="s">
        <v>128</v>
      </c>
      <c r="BL595" t="s">
        <v>2610</v>
      </c>
      <c r="BM595" t="s">
        <v>11726</v>
      </c>
      <c r="BN595">
        <v>34083489</v>
      </c>
      <c r="BO595" t="s">
        <v>11727</v>
      </c>
      <c r="BP595" t="s">
        <v>74</v>
      </c>
      <c r="BQ595" t="s">
        <v>74</v>
      </c>
      <c r="BR595" t="s">
        <v>102</v>
      </c>
      <c r="BS595" t="s">
        <v>11728</v>
      </c>
      <c r="BT595" t="str">
        <f>HYPERLINK("https%3A%2F%2Fwww.webofscience.com%2Fwos%2Fwoscc%2Ffull-record%2FWOS:000657651200050","View Full Record in Web of Science")</f>
        <v>View Full Record in Web of Science</v>
      </c>
    </row>
    <row r="596" spans="1:72" x14ac:dyDescent="0.15">
      <c r="A596" t="s">
        <v>72</v>
      </c>
      <c r="B596" t="s">
        <v>11729</v>
      </c>
      <c r="C596" t="s">
        <v>74</v>
      </c>
      <c r="D596" t="s">
        <v>74</v>
      </c>
      <c r="E596" t="s">
        <v>74</v>
      </c>
      <c r="F596" t="s">
        <v>11730</v>
      </c>
      <c r="G596" t="s">
        <v>74</v>
      </c>
      <c r="H596" t="s">
        <v>74</v>
      </c>
      <c r="I596" t="s">
        <v>11731</v>
      </c>
      <c r="J596" t="s">
        <v>11732</v>
      </c>
      <c r="K596" t="s">
        <v>74</v>
      </c>
      <c r="L596" t="s">
        <v>74</v>
      </c>
      <c r="M596" t="s">
        <v>78</v>
      </c>
      <c r="N596" t="s">
        <v>79</v>
      </c>
      <c r="O596" t="s">
        <v>74</v>
      </c>
      <c r="P596" t="s">
        <v>74</v>
      </c>
      <c r="Q596" t="s">
        <v>74</v>
      </c>
      <c r="R596" t="s">
        <v>74</v>
      </c>
      <c r="S596" t="s">
        <v>74</v>
      </c>
      <c r="T596" t="s">
        <v>11733</v>
      </c>
      <c r="U596" t="s">
        <v>11734</v>
      </c>
      <c r="V596" t="s">
        <v>11735</v>
      </c>
      <c r="W596" t="s">
        <v>11736</v>
      </c>
      <c r="X596" t="s">
        <v>11737</v>
      </c>
      <c r="Y596" t="s">
        <v>11738</v>
      </c>
      <c r="Z596" t="s">
        <v>11739</v>
      </c>
      <c r="AA596" t="s">
        <v>11740</v>
      </c>
      <c r="AB596" t="s">
        <v>11741</v>
      </c>
      <c r="AC596" t="s">
        <v>11742</v>
      </c>
      <c r="AD596" t="s">
        <v>11743</v>
      </c>
      <c r="AE596" t="s">
        <v>11744</v>
      </c>
      <c r="AF596" t="s">
        <v>74</v>
      </c>
      <c r="AG596">
        <v>96</v>
      </c>
      <c r="AH596">
        <v>18</v>
      </c>
      <c r="AI596">
        <v>20</v>
      </c>
      <c r="AJ596">
        <v>1</v>
      </c>
      <c r="AK596">
        <v>11</v>
      </c>
      <c r="AL596" t="s">
        <v>367</v>
      </c>
      <c r="AM596" t="s">
        <v>368</v>
      </c>
      <c r="AN596" t="s">
        <v>369</v>
      </c>
      <c r="AO596" t="s">
        <v>11745</v>
      </c>
      <c r="AP596" t="s">
        <v>11746</v>
      </c>
      <c r="AQ596" t="s">
        <v>74</v>
      </c>
      <c r="AR596" t="s">
        <v>11732</v>
      </c>
      <c r="AS596" t="s">
        <v>11747</v>
      </c>
      <c r="AT596" t="s">
        <v>402</v>
      </c>
      <c r="AU596">
        <v>2021</v>
      </c>
      <c r="AV596">
        <v>31</v>
      </c>
      <c r="AW596">
        <v>9</v>
      </c>
      <c r="AX596" t="s">
        <v>74</v>
      </c>
      <c r="AY596" t="s">
        <v>74</v>
      </c>
      <c r="AZ596" t="s">
        <v>74</v>
      </c>
      <c r="BA596" t="s">
        <v>74</v>
      </c>
      <c r="BB596">
        <v>1376</v>
      </c>
      <c r="BC596">
        <v>1390</v>
      </c>
      <c r="BD596" t="s">
        <v>74</v>
      </c>
      <c r="BE596" t="s">
        <v>11748</v>
      </c>
      <c r="BF596" t="str">
        <f>HYPERLINK("http://dx.doi.org/10.1177/09596836211019096","http://dx.doi.org/10.1177/09596836211019096")</f>
        <v>http://dx.doi.org/10.1177/09596836211019096</v>
      </c>
      <c r="BG596" t="s">
        <v>74</v>
      </c>
      <c r="BH596" t="s">
        <v>8134</v>
      </c>
      <c r="BI596">
        <v>15</v>
      </c>
      <c r="BJ596" t="s">
        <v>151</v>
      </c>
      <c r="BK596" t="s">
        <v>128</v>
      </c>
      <c r="BL596" t="s">
        <v>152</v>
      </c>
      <c r="BM596" t="s">
        <v>11749</v>
      </c>
      <c r="BN596" t="s">
        <v>74</v>
      </c>
      <c r="BO596" t="s">
        <v>1770</v>
      </c>
      <c r="BP596" t="s">
        <v>74</v>
      </c>
      <c r="BQ596" t="s">
        <v>74</v>
      </c>
      <c r="BR596" t="s">
        <v>102</v>
      </c>
      <c r="BS596" t="s">
        <v>11750</v>
      </c>
      <c r="BT596" t="str">
        <f>HYPERLINK("https%3A%2F%2Fwww.webofscience.com%2Fwos%2Fwoscc%2Ffull-record%2FWOS:000658451600001","View Full Record in Web of Science")</f>
        <v>View Full Record in Web of Science</v>
      </c>
    </row>
    <row r="597" spans="1:72" x14ac:dyDescent="0.15">
      <c r="A597" t="s">
        <v>72</v>
      </c>
      <c r="B597" t="s">
        <v>11751</v>
      </c>
      <c r="C597" t="s">
        <v>74</v>
      </c>
      <c r="D597" t="s">
        <v>74</v>
      </c>
      <c r="E597" t="s">
        <v>74</v>
      </c>
      <c r="F597" t="s">
        <v>11752</v>
      </c>
      <c r="G597" t="s">
        <v>74</v>
      </c>
      <c r="H597" t="s">
        <v>74</v>
      </c>
      <c r="I597" t="s">
        <v>11753</v>
      </c>
      <c r="J597" t="s">
        <v>11754</v>
      </c>
      <c r="K597" t="s">
        <v>74</v>
      </c>
      <c r="L597" t="s">
        <v>74</v>
      </c>
      <c r="M597" t="s">
        <v>78</v>
      </c>
      <c r="N597" t="s">
        <v>79</v>
      </c>
      <c r="O597" t="s">
        <v>74</v>
      </c>
      <c r="P597" t="s">
        <v>74</v>
      </c>
      <c r="Q597" t="s">
        <v>74</v>
      </c>
      <c r="R597" t="s">
        <v>74</v>
      </c>
      <c r="S597" t="s">
        <v>74</v>
      </c>
      <c r="T597" t="s">
        <v>74</v>
      </c>
      <c r="U597" t="s">
        <v>11755</v>
      </c>
      <c r="V597" t="s">
        <v>11756</v>
      </c>
      <c r="W597" t="s">
        <v>11757</v>
      </c>
      <c r="X597" t="s">
        <v>11758</v>
      </c>
      <c r="Y597" t="s">
        <v>11759</v>
      </c>
      <c r="Z597" t="s">
        <v>11760</v>
      </c>
      <c r="AA597" t="s">
        <v>11761</v>
      </c>
      <c r="AB597" t="s">
        <v>11762</v>
      </c>
      <c r="AC597" t="s">
        <v>11763</v>
      </c>
      <c r="AD597" t="s">
        <v>11764</v>
      </c>
      <c r="AE597" t="s">
        <v>11765</v>
      </c>
      <c r="AF597" t="s">
        <v>74</v>
      </c>
      <c r="AG597">
        <v>75</v>
      </c>
      <c r="AH597">
        <v>4</v>
      </c>
      <c r="AI597">
        <v>4</v>
      </c>
      <c r="AJ597">
        <v>8</v>
      </c>
      <c r="AK597">
        <v>31</v>
      </c>
      <c r="AL597" t="s">
        <v>197</v>
      </c>
      <c r="AM597" t="s">
        <v>198</v>
      </c>
      <c r="AN597" t="s">
        <v>199</v>
      </c>
      <c r="AO597" t="s">
        <v>11766</v>
      </c>
      <c r="AP597" t="s">
        <v>11767</v>
      </c>
      <c r="AQ597" t="s">
        <v>74</v>
      </c>
      <c r="AR597" t="s">
        <v>11768</v>
      </c>
      <c r="AS597" t="s">
        <v>11769</v>
      </c>
      <c r="AT597" t="s">
        <v>430</v>
      </c>
      <c r="AU597">
        <v>2021</v>
      </c>
      <c r="AV597">
        <v>66</v>
      </c>
      <c r="AW597">
        <v>7</v>
      </c>
      <c r="AX597" t="s">
        <v>74</v>
      </c>
      <c r="AY597" t="s">
        <v>74</v>
      </c>
      <c r="AZ597" t="s">
        <v>74</v>
      </c>
      <c r="BA597" t="s">
        <v>74</v>
      </c>
      <c r="BB597">
        <v>2855</v>
      </c>
      <c r="BC597">
        <v>2867</v>
      </c>
      <c r="BD597" t="s">
        <v>74</v>
      </c>
      <c r="BE597" t="s">
        <v>11770</v>
      </c>
      <c r="BF597" t="str">
        <f>HYPERLINK("http://dx.doi.org/10.1002/lno.11795","http://dx.doi.org/10.1002/lno.11795")</f>
        <v>http://dx.doi.org/10.1002/lno.11795</v>
      </c>
      <c r="BG597" t="s">
        <v>74</v>
      </c>
      <c r="BH597" t="s">
        <v>8134</v>
      </c>
      <c r="BI597">
        <v>13</v>
      </c>
      <c r="BJ597" t="s">
        <v>8999</v>
      </c>
      <c r="BK597" t="s">
        <v>128</v>
      </c>
      <c r="BL597" t="s">
        <v>3436</v>
      </c>
      <c r="BM597" t="s">
        <v>11771</v>
      </c>
      <c r="BN597" t="s">
        <v>74</v>
      </c>
      <c r="BO597" t="s">
        <v>209</v>
      </c>
      <c r="BP597" t="s">
        <v>74</v>
      </c>
      <c r="BQ597" t="s">
        <v>74</v>
      </c>
      <c r="BR597" t="s">
        <v>102</v>
      </c>
      <c r="BS597" t="s">
        <v>11772</v>
      </c>
      <c r="BT597" t="str">
        <f>HYPERLINK("https%3A%2F%2Fwww.webofscience.com%2Fwos%2Fwoscc%2Ffull-record%2FWOS:000657669800001","View Full Record in Web of Science")</f>
        <v>View Full Record in Web of Science</v>
      </c>
    </row>
    <row r="598" spans="1:72" x14ac:dyDescent="0.15">
      <c r="A598" t="s">
        <v>72</v>
      </c>
      <c r="B598" t="s">
        <v>11573</v>
      </c>
      <c r="C598" t="s">
        <v>74</v>
      </c>
      <c r="D598" t="s">
        <v>74</v>
      </c>
      <c r="E598" t="s">
        <v>74</v>
      </c>
      <c r="F598" t="s">
        <v>11574</v>
      </c>
      <c r="G598" t="s">
        <v>74</v>
      </c>
      <c r="H598" t="s">
        <v>74</v>
      </c>
      <c r="I598" t="s">
        <v>11773</v>
      </c>
      <c r="J598" t="s">
        <v>2434</v>
      </c>
      <c r="K598" t="s">
        <v>74</v>
      </c>
      <c r="L598" t="s">
        <v>74</v>
      </c>
      <c r="M598" t="s">
        <v>78</v>
      </c>
      <c r="N598" t="s">
        <v>79</v>
      </c>
      <c r="O598" t="s">
        <v>74</v>
      </c>
      <c r="P598" t="s">
        <v>74</v>
      </c>
      <c r="Q598" t="s">
        <v>74</v>
      </c>
      <c r="R598" t="s">
        <v>74</v>
      </c>
      <c r="S598" t="s">
        <v>74</v>
      </c>
      <c r="T598" t="s">
        <v>11774</v>
      </c>
      <c r="U598" t="s">
        <v>11775</v>
      </c>
      <c r="V598" t="s">
        <v>11776</v>
      </c>
      <c r="W598" t="s">
        <v>11579</v>
      </c>
      <c r="X598" t="s">
        <v>11580</v>
      </c>
      <c r="Y598" t="s">
        <v>11581</v>
      </c>
      <c r="Z598" t="s">
        <v>11582</v>
      </c>
      <c r="AA598" t="s">
        <v>11777</v>
      </c>
      <c r="AB598" t="s">
        <v>11778</v>
      </c>
      <c r="AC598" t="s">
        <v>11779</v>
      </c>
      <c r="AD598" t="s">
        <v>11780</v>
      </c>
      <c r="AE598" t="s">
        <v>11781</v>
      </c>
      <c r="AF598" t="s">
        <v>74</v>
      </c>
      <c r="AG598">
        <v>39</v>
      </c>
      <c r="AH598">
        <v>12</v>
      </c>
      <c r="AI598">
        <v>12</v>
      </c>
      <c r="AJ598">
        <v>4</v>
      </c>
      <c r="AK598">
        <v>17</v>
      </c>
      <c r="AL598" t="s">
        <v>197</v>
      </c>
      <c r="AM598" t="s">
        <v>198</v>
      </c>
      <c r="AN598" t="s">
        <v>199</v>
      </c>
      <c r="AO598" t="s">
        <v>2447</v>
      </c>
      <c r="AP598" t="s">
        <v>2448</v>
      </c>
      <c r="AQ598" t="s">
        <v>74</v>
      </c>
      <c r="AR598" t="s">
        <v>2449</v>
      </c>
      <c r="AS598" t="s">
        <v>2450</v>
      </c>
      <c r="AT598" t="s">
        <v>430</v>
      </c>
      <c r="AU598">
        <v>2021</v>
      </c>
      <c r="AV598">
        <v>147</v>
      </c>
      <c r="AW598">
        <v>738</v>
      </c>
      <c r="AX598" t="s">
        <v>74</v>
      </c>
      <c r="AY598" t="s">
        <v>74</v>
      </c>
      <c r="AZ598" t="s">
        <v>74</v>
      </c>
      <c r="BA598" t="s">
        <v>74</v>
      </c>
      <c r="BB598">
        <v>2874</v>
      </c>
      <c r="BC598">
        <v>2894</v>
      </c>
      <c r="BD598" t="s">
        <v>74</v>
      </c>
      <c r="BE598" t="s">
        <v>11782</v>
      </c>
      <c r="BF598" t="str">
        <f>HYPERLINK("http://dx.doi.org/10.1002/qj.4104","http://dx.doi.org/10.1002/qj.4104")</f>
        <v>http://dx.doi.org/10.1002/qj.4104</v>
      </c>
      <c r="BG598" t="s">
        <v>74</v>
      </c>
      <c r="BH598" t="s">
        <v>8134</v>
      </c>
      <c r="BI598">
        <v>21</v>
      </c>
      <c r="BJ598" t="s">
        <v>567</v>
      </c>
      <c r="BK598" t="s">
        <v>128</v>
      </c>
      <c r="BL598" t="s">
        <v>567</v>
      </c>
      <c r="BM598" t="s">
        <v>11589</v>
      </c>
      <c r="BN598" t="s">
        <v>74</v>
      </c>
      <c r="BO598" t="s">
        <v>74</v>
      </c>
      <c r="BP598" t="s">
        <v>74</v>
      </c>
      <c r="BQ598" t="s">
        <v>74</v>
      </c>
      <c r="BR598" t="s">
        <v>102</v>
      </c>
      <c r="BS598" t="s">
        <v>11783</v>
      </c>
      <c r="BT598" t="str">
        <f>HYPERLINK("https%3A%2F%2Fwww.webofscience.com%2Fwos%2Fwoscc%2Ffull-record%2FWOS:000657685200001","View Full Record in Web of Science")</f>
        <v>View Full Record in Web of Science</v>
      </c>
    </row>
    <row r="599" spans="1:72" x14ac:dyDescent="0.15">
      <c r="A599" t="s">
        <v>72</v>
      </c>
      <c r="B599" t="s">
        <v>11784</v>
      </c>
      <c r="C599" t="s">
        <v>74</v>
      </c>
      <c r="D599" t="s">
        <v>74</v>
      </c>
      <c r="E599" t="s">
        <v>74</v>
      </c>
      <c r="F599" t="s">
        <v>11785</v>
      </c>
      <c r="G599" t="s">
        <v>74</v>
      </c>
      <c r="H599" t="s">
        <v>74</v>
      </c>
      <c r="I599" t="s">
        <v>11786</v>
      </c>
      <c r="J599" t="s">
        <v>3491</v>
      </c>
      <c r="K599" t="s">
        <v>74</v>
      </c>
      <c r="L599" t="s">
        <v>74</v>
      </c>
      <c r="M599" t="s">
        <v>78</v>
      </c>
      <c r="N599" t="s">
        <v>79</v>
      </c>
      <c r="O599" t="s">
        <v>74</v>
      </c>
      <c r="P599" t="s">
        <v>74</v>
      </c>
      <c r="Q599" t="s">
        <v>74</v>
      </c>
      <c r="R599" t="s">
        <v>74</v>
      </c>
      <c r="S599" t="s">
        <v>74</v>
      </c>
      <c r="T599" t="s">
        <v>11787</v>
      </c>
      <c r="U599" t="s">
        <v>11788</v>
      </c>
      <c r="V599" t="s">
        <v>11789</v>
      </c>
      <c r="W599" t="s">
        <v>11790</v>
      </c>
      <c r="X599" t="s">
        <v>11791</v>
      </c>
      <c r="Y599" t="s">
        <v>11792</v>
      </c>
      <c r="Z599" t="s">
        <v>11793</v>
      </c>
      <c r="AA599" t="s">
        <v>11794</v>
      </c>
      <c r="AB599" t="s">
        <v>11795</v>
      </c>
      <c r="AC599" t="s">
        <v>11796</v>
      </c>
      <c r="AD599" t="s">
        <v>11797</v>
      </c>
      <c r="AE599" t="s">
        <v>11798</v>
      </c>
      <c r="AF599" t="s">
        <v>74</v>
      </c>
      <c r="AG599">
        <v>147</v>
      </c>
      <c r="AH599">
        <v>7</v>
      </c>
      <c r="AI599">
        <v>7</v>
      </c>
      <c r="AJ599">
        <v>8</v>
      </c>
      <c r="AK599">
        <v>19</v>
      </c>
      <c r="AL599" t="s">
        <v>89</v>
      </c>
      <c r="AM599" t="s">
        <v>90</v>
      </c>
      <c r="AN599" t="s">
        <v>91</v>
      </c>
      <c r="AO599" t="s">
        <v>3504</v>
      </c>
      <c r="AP599" t="s">
        <v>3505</v>
      </c>
      <c r="AQ599" t="s">
        <v>74</v>
      </c>
      <c r="AR599" t="s">
        <v>3506</v>
      </c>
      <c r="AS599" t="s">
        <v>3507</v>
      </c>
      <c r="AT599" t="s">
        <v>3746</v>
      </c>
      <c r="AU599">
        <v>2021</v>
      </c>
      <c r="AV599">
        <v>576</v>
      </c>
      <c r="AW599" t="s">
        <v>74</v>
      </c>
      <c r="AX599" t="s">
        <v>74</v>
      </c>
      <c r="AY599" t="s">
        <v>74</v>
      </c>
      <c r="AZ599" t="s">
        <v>74</v>
      </c>
      <c r="BA599" t="s">
        <v>74</v>
      </c>
      <c r="BB599" t="s">
        <v>74</v>
      </c>
      <c r="BC599" t="s">
        <v>74</v>
      </c>
      <c r="BD599">
        <v>110505</v>
      </c>
      <c r="BE599" t="s">
        <v>11799</v>
      </c>
      <c r="BF599" t="str">
        <f>HYPERLINK("http://dx.doi.org/10.1016/j.palaeo.2021.110505","http://dx.doi.org/10.1016/j.palaeo.2021.110505")</f>
        <v>http://dx.doi.org/10.1016/j.palaeo.2021.110505</v>
      </c>
      <c r="BG599" t="s">
        <v>74</v>
      </c>
      <c r="BH599" t="s">
        <v>8134</v>
      </c>
      <c r="BI599">
        <v>19</v>
      </c>
      <c r="BJ599" t="s">
        <v>3509</v>
      </c>
      <c r="BK599" t="s">
        <v>128</v>
      </c>
      <c r="BL599" t="s">
        <v>3510</v>
      </c>
      <c r="BM599" t="s">
        <v>9754</v>
      </c>
      <c r="BN599" t="s">
        <v>74</v>
      </c>
      <c r="BO599" t="s">
        <v>74</v>
      </c>
      <c r="BP599" t="s">
        <v>74</v>
      </c>
      <c r="BQ599" t="s">
        <v>74</v>
      </c>
      <c r="BR599" t="s">
        <v>102</v>
      </c>
      <c r="BS599" t="s">
        <v>11800</v>
      </c>
      <c r="BT599" t="str">
        <f>HYPERLINK("https%3A%2F%2Fwww.webofscience.com%2Fwos%2Fwoscc%2Ffull-record%2FWOS:000668458200010","View Full Record in Web of Science")</f>
        <v>View Full Record in Web of Science</v>
      </c>
    </row>
    <row r="600" spans="1:72" x14ac:dyDescent="0.15">
      <c r="A600" t="s">
        <v>72</v>
      </c>
      <c r="B600" t="s">
        <v>11801</v>
      </c>
      <c r="C600" t="s">
        <v>74</v>
      </c>
      <c r="D600" t="s">
        <v>74</v>
      </c>
      <c r="E600" t="s">
        <v>74</v>
      </c>
      <c r="F600" t="s">
        <v>11802</v>
      </c>
      <c r="G600" t="s">
        <v>74</v>
      </c>
      <c r="H600" t="s">
        <v>74</v>
      </c>
      <c r="I600" t="s">
        <v>11803</v>
      </c>
      <c r="J600" t="s">
        <v>11804</v>
      </c>
      <c r="K600" t="s">
        <v>74</v>
      </c>
      <c r="L600" t="s">
        <v>74</v>
      </c>
      <c r="M600" t="s">
        <v>78</v>
      </c>
      <c r="N600" t="s">
        <v>79</v>
      </c>
      <c r="O600" t="s">
        <v>74</v>
      </c>
      <c r="P600" t="s">
        <v>74</v>
      </c>
      <c r="Q600" t="s">
        <v>74</v>
      </c>
      <c r="R600" t="s">
        <v>74</v>
      </c>
      <c r="S600" t="s">
        <v>74</v>
      </c>
      <c r="T600" t="s">
        <v>11805</v>
      </c>
      <c r="U600" t="s">
        <v>11806</v>
      </c>
      <c r="V600" t="s">
        <v>11807</v>
      </c>
      <c r="W600" t="s">
        <v>11808</v>
      </c>
      <c r="X600" t="s">
        <v>11809</v>
      </c>
      <c r="Y600" t="s">
        <v>11810</v>
      </c>
      <c r="Z600" t="s">
        <v>11811</v>
      </c>
      <c r="AA600" t="s">
        <v>11812</v>
      </c>
      <c r="AB600" t="s">
        <v>11813</v>
      </c>
      <c r="AC600" t="s">
        <v>11814</v>
      </c>
      <c r="AD600" t="s">
        <v>11815</v>
      </c>
      <c r="AE600" t="s">
        <v>11816</v>
      </c>
      <c r="AF600" t="s">
        <v>74</v>
      </c>
      <c r="AG600">
        <v>49</v>
      </c>
      <c r="AH600">
        <v>21</v>
      </c>
      <c r="AI600">
        <v>21</v>
      </c>
      <c r="AJ600">
        <v>12</v>
      </c>
      <c r="AK600">
        <v>62</v>
      </c>
      <c r="AL600" t="s">
        <v>89</v>
      </c>
      <c r="AM600" t="s">
        <v>90</v>
      </c>
      <c r="AN600" t="s">
        <v>91</v>
      </c>
      <c r="AO600" t="s">
        <v>11817</v>
      </c>
      <c r="AP600" t="s">
        <v>11818</v>
      </c>
      <c r="AQ600" t="s">
        <v>74</v>
      </c>
      <c r="AR600" t="s">
        <v>11819</v>
      </c>
      <c r="AS600" t="s">
        <v>11820</v>
      </c>
      <c r="AT600" t="s">
        <v>402</v>
      </c>
      <c r="AU600">
        <v>2021</v>
      </c>
      <c r="AV600">
        <v>149</v>
      </c>
      <c r="AW600" t="s">
        <v>74</v>
      </c>
      <c r="AX600" t="s">
        <v>74</v>
      </c>
      <c r="AY600" t="s">
        <v>74</v>
      </c>
      <c r="AZ600" t="s">
        <v>74</v>
      </c>
      <c r="BA600" t="s">
        <v>74</v>
      </c>
      <c r="BB600" t="s">
        <v>74</v>
      </c>
      <c r="BC600" t="s">
        <v>74</v>
      </c>
      <c r="BD600">
        <v>111803</v>
      </c>
      <c r="BE600" t="s">
        <v>11821</v>
      </c>
      <c r="BF600" t="str">
        <f>HYPERLINK("http://dx.doi.org/10.1016/j.lwt.2021.111803","http://dx.doi.org/10.1016/j.lwt.2021.111803")</f>
        <v>http://dx.doi.org/10.1016/j.lwt.2021.111803</v>
      </c>
      <c r="BG600" t="s">
        <v>74</v>
      </c>
      <c r="BH600" t="s">
        <v>8134</v>
      </c>
      <c r="BI600">
        <v>10</v>
      </c>
      <c r="BJ600" t="s">
        <v>4006</v>
      </c>
      <c r="BK600" t="s">
        <v>128</v>
      </c>
      <c r="BL600" t="s">
        <v>4006</v>
      </c>
      <c r="BM600" t="s">
        <v>11822</v>
      </c>
      <c r="BN600" t="s">
        <v>74</v>
      </c>
      <c r="BO600" t="s">
        <v>74</v>
      </c>
      <c r="BP600" t="s">
        <v>74</v>
      </c>
      <c r="BQ600" t="s">
        <v>74</v>
      </c>
      <c r="BR600" t="s">
        <v>102</v>
      </c>
      <c r="BS600" t="s">
        <v>11823</v>
      </c>
      <c r="BT600" t="str">
        <f>HYPERLINK("https%3A%2F%2Fwww.webofscience.com%2Fwos%2Fwoscc%2Ffull-record%2FWOS:000675883500006","View Full Record in Web of Science")</f>
        <v>View Full Record in Web of Science</v>
      </c>
    </row>
    <row r="601" spans="1:72" x14ac:dyDescent="0.15">
      <c r="A601" t="s">
        <v>72</v>
      </c>
      <c r="B601" t="s">
        <v>11824</v>
      </c>
      <c r="C601" t="s">
        <v>74</v>
      </c>
      <c r="D601" t="s">
        <v>74</v>
      </c>
      <c r="E601" t="s">
        <v>74</v>
      </c>
      <c r="F601" t="s">
        <v>11825</v>
      </c>
      <c r="G601" t="s">
        <v>74</v>
      </c>
      <c r="H601" t="s">
        <v>74</v>
      </c>
      <c r="I601" t="s">
        <v>11826</v>
      </c>
      <c r="J601" t="s">
        <v>2594</v>
      </c>
      <c r="K601" t="s">
        <v>74</v>
      </c>
      <c r="L601" t="s">
        <v>74</v>
      </c>
      <c r="M601" t="s">
        <v>78</v>
      </c>
      <c r="N601" t="s">
        <v>79</v>
      </c>
      <c r="O601" t="s">
        <v>74</v>
      </c>
      <c r="P601" t="s">
        <v>74</v>
      </c>
      <c r="Q601" t="s">
        <v>74</v>
      </c>
      <c r="R601" t="s">
        <v>74</v>
      </c>
      <c r="S601" t="s">
        <v>74</v>
      </c>
      <c r="T601" t="s">
        <v>74</v>
      </c>
      <c r="U601" t="s">
        <v>11827</v>
      </c>
      <c r="V601" t="s">
        <v>11828</v>
      </c>
      <c r="W601" t="s">
        <v>11829</v>
      </c>
      <c r="X601" t="s">
        <v>2640</v>
      </c>
      <c r="Y601" t="s">
        <v>11830</v>
      </c>
      <c r="Z601" t="s">
        <v>11831</v>
      </c>
      <c r="AA601" t="s">
        <v>11832</v>
      </c>
      <c r="AB601" t="s">
        <v>11833</v>
      </c>
      <c r="AC601" t="s">
        <v>11834</v>
      </c>
      <c r="AD601" t="s">
        <v>11835</v>
      </c>
      <c r="AE601" t="s">
        <v>11836</v>
      </c>
      <c r="AF601" t="s">
        <v>74</v>
      </c>
      <c r="AG601">
        <v>74</v>
      </c>
      <c r="AH601">
        <v>9</v>
      </c>
      <c r="AI601">
        <v>9</v>
      </c>
      <c r="AJ601">
        <v>2</v>
      </c>
      <c r="AK601">
        <v>6</v>
      </c>
      <c r="AL601" t="s">
        <v>395</v>
      </c>
      <c r="AM601" t="s">
        <v>396</v>
      </c>
      <c r="AN601" t="s">
        <v>397</v>
      </c>
      <c r="AO601" t="s">
        <v>2605</v>
      </c>
      <c r="AP601" t="s">
        <v>74</v>
      </c>
      <c r="AQ601" t="s">
        <v>74</v>
      </c>
      <c r="AR601" t="s">
        <v>2606</v>
      </c>
      <c r="AS601" t="s">
        <v>2607</v>
      </c>
      <c r="AT601" t="s">
        <v>11837</v>
      </c>
      <c r="AU601">
        <v>2021</v>
      </c>
      <c r="AV601">
        <v>11</v>
      </c>
      <c r="AW601">
        <v>1</v>
      </c>
      <c r="AX601" t="s">
        <v>74</v>
      </c>
      <c r="AY601" t="s">
        <v>74</v>
      </c>
      <c r="AZ601" t="s">
        <v>74</v>
      </c>
      <c r="BA601" t="s">
        <v>74</v>
      </c>
      <c r="BB601" t="s">
        <v>74</v>
      </c>
      <c r="BC601" t="s">
        <v>74</v>
      </c>
      <c r="BD601">
        <v>11814</v>
      </c>
      <c r="BE601" t="s">
        <v>11838</v>
      </c>
      <c r="BF601" t="str">
        <f>HYPERLINK("http://dx.doi.org/10.1038/s41598-021-91304-1","http://dx.doi.org/10.1038/s41598-021-91304-1")</f>
        <v>http://dx.doi.org/10.1038/s41598-021-91304-1</v>
      </c>
      <c r="BG601" t="s">
        <v>74</v>
      </c>
      <c r="BH601" t="s">
        <v>74</v>
      </c>
      <c r="BI601">
        <v>14</v>
      </c>
      <c r="BJ601" t="s">
        <v>2609</v>
      </c>
      <c r="BK601" t="s">
        <v>128</v>
      </c>
      <c r="BL601" t="s">
        <v>2610</v>
      </c>
      <c r="BM601" t="s">
        <v>11839</v>
      </c>
      <c r="BN601">
        <v>34083691</v>
      </c>
      <c r="BO601" t="s">
        <v>1377</v>
      </c>
      <c r="BP601" t="s">
        <v>74</v>
      </c>
      <c r="BQ601" t="s">
        <v>74</v>
      </c>
      <c r="BR601" t="s">
        <v>102</v>
      </c>
      <c r="BS601" t="s">
        <v>11840</v>
      </c>
      <c r="BT601" t="str">
        <f>HYPERLINK("https%3A%2F%2Fwww.webofscience.com%2Fwos%2Fwoscc%2Ffull-record%2FWOS:000662236000109","View Full Record in Web of Science")</f>
        <v>View Full Record in Web of Science</v>
      </c>
    </row>
    <row r="602" spans="1:72" x14ac:dyDescent="0.15">
      <c r="A602" t="s">
        <v>72</v>
      </c>
      <c r="B602" t="s">
        <v>11841</v>
      </c>
      <c r="C602" t="s">
        <v>74</v>
      </c>
      <c r="D602" t="s">
        <v>74</v>
      </c>
      <c r="E602" t="s">
        <v>74</v>
      </c>
      <c r="F602" t="s">
        <v>11842</v>
      </c>
      <c r="G602" t="s">
        <v>74</v>
      </c>
      <c r="H602" t="s">
        <v>74</v>
      </c>
      <c r="I602" t="s">
        <v>11843</v>
      </c>
      <c r="J602" t="s">
        <v>3187</v>
      </c>
      <c r="K602" t="s">
        <v>74</v>
      </c>
      <c r="L602" t="s">
        <v>74</v>
      </c>
      <c r="M602" t="s">
        <v>78</v>
      </c>
      <c r="N602" t="s">
        <v>79</v>
      </c>
      <c r="O602" t="s">
        <v>74</v>
      </c>
      <c r="P602" t="s">
        <v>74</v>
      </c>
      <c r="Q602" t="s">
        <v>74</v>
      </c>
      <c r="R602" t="s">
        <v>74</v>
      </c>
      <c r="S602" t="s">
        <v>74</v>
      </c>
      <c r="T602" t="s">
        <v>11844</v>
      </c>
      <c r="U602" t="s">
        <v>11845</v>
      </c>
      <c r="V602" t="s">
        <v>11846</v>
      </c>
      <c r="W602" t="s">
        <v>11847</v>
      </c>
      <c r="X602" t="s">
        <v>11848</v>
      </c>
      <c r="Y602" t="s">
        <v>11849</v>
      </c>
      <c r="Z602" t="s">
        <v>11850</v>
      </c>
      <c r="AA602" t="s">
        <v>74</v>
      </c>
      <c r="AB602" t="s">
        <v>11851</v>
      </c>
      <c r="AC602" t="s">
        <v>11852</v>
      </c>
      <c r="AD602" t="s">
        <v>11853</v>
      </c>
      <c r="AE602" t="s">
        <v>11854</v>
      </c>
      <c r="AF602" t="s">
        <v>74</v>
      </c>
      <c r="AG602">
        <v>131</v>
      </c>
      <c r="AH602">
        <v>14</v>
      </c>
      <c r="AI602">
        <v>15</v>
      </c>
      <c r="AJ602">
        <v>2</v>
      </c>
      <c r="AK602">
        <v>15</v>
      </c>
      <c r="AL602" t="s">
        <v>89</v>
      </c>
      <c r="AM602" t="s">
        <v>90</v>
      </c>
      <c r="AN602" t="s">
        <v>91</v>
      </c>
      <c r="AO602" t="s">
        <v>3200</v>
      </c>
      <c r="AP602" t="s">
        <v>3201</v>
      </c>
      <c r="AQ602" t="s">
        <v>74</v>
      </c>
      <c r="AR602" t="s">
        <v>3202</v>
      </c>
      <c r="AS602" t="s">
        <v>3203</v>
      </c>
      <c r="AT602" t="s">
        <v>430</v>
      </c>
      <c r="AU602">
        <v>2021</v>
      </c>
      <c r="AV602">
        <v>202</v>
      </c>
      <c r="AW602" t="s">
        <v>74</v>
      </c>
      <c r="AX602" t="s">
        <v>74</v>
      </c>
      <c r="AY602" t="s">
        <v>74</v>
      </c>
      <c r="AZ602" t="s">
        <v>74</v>
      </c>
      <c r="BA602" t="s">
        <v>74</v>
      </c>
      <c r="BB602" t="s">
        <v>74</v>
      </c>
      <c r="BC602" t="s">
        <v>74</v>
      </c>
      <c r="BD602">
        <v>103526</v>
      </c>
      <c r="BE602" t="s">
        <v>11855</v>
      </c>
      <c r="BF602" t="str">
        <f>HYPERLINK("http://dx.doi.org/10.1016/j.gloplacha.2021.103526","http://dx.doi.org/10.1016/j.gloplacha.2021.103526")</f>
        <v>http://dx.doi.org/10.1016/j.gloplacha.2021.103526</v>
      </c>
      <c r="BG602" t="s">
        <v>74</v>
      </c>
      <c r="BH602" t="s">
        <v>8134</v>
      </c>
      <c r="BI602">
        <v>13</v>
      </c>
      <c r="BJ602" t="s">
        <v>151</v>
      </c>
      <c r="BK602" t="s">
        <v>128</v>
      </c>
      <c r="BL602" t="s">
        <v>152</v>
      </c>
      <c r="BM602" t="s">
        <v>11856</v>
      </c>
      <c r="BN602" t="s">
        <v>74</v>
      </c>
      <c r="BO602" t="s">
        <v>408</v>
      </c>
      <c r="BP602" t="s">
        <v>74</v>
      </c>
      <c r="BQ602" t="s">
        <v>74</v>
      </c>
      <c r="BR602" t="s">
        <v>102</v>
      </c>
      <c r="BS602" t="s">
        <v>11857</v>
      </c>
      <c r="BT602" t="str">
        <f>HYPERLINK("https%3A%2F%2Fwww.webofscience.com%2Fwos%2Fwoscc%2Ffull-record%2FWOS:000663732300001","View Full Record in Web of Science")</f>
        <v>View Full Record in Web of Science</v>
      </c>
    </row>
    <row r="603" spans="1:72" x14ac:dyDescent="0.15">
      <c r="A603" t="s">
        <v>72</v>
      </c>
      <c r="B603" t="s">
        <v>11858</v>
      </c>
      <c r="C603" t="s">
        <v>74</v>
      </c>
      <c r="D603" t="s">
        <v>74</v>
      </c>
      <c r="E603" t="s">
        <v>74</v>
      </c>
      <c r="F603" t="s">
        <v>11859</v>
      </c>
      <c r="G603" t="s">
        <v>74</v>
      </c>
      <c r="H603" t="s">
        <v>74</v>
      </c>
      <c r="I603" t="s">
        <v>11860</v>
      </c>
      <c r="J603" t="s">
        <v>8396</v>
      </c>
      <c r="K603" t="s">
        <v>74</v>
      </c>
      <c r="L603" t="s">
        <v>74</v>
      </c>
      <c r="M603" t="s">
        <v>78</v>
      </c>
      <c r="N603" t="s">
        <v>79</v>
      </c>
      <c r="O603" t="s">
        <v>74</v>
      </c>
      <c r="P603" t="s">
        <v>74</v>
      </c>
      <c r="Q603" t="s">
        <v>74</v>
      </c>
      <c r="R603" t="s">
        <v>74</v>
      </c>
      <c r="S603" t="s">
        <v>74</v>
      </c>
      <c r="T603" t="s">
        <v>11861</v>
      </c>
      <c r="U603" t="s">
        <v>11862</v>
      </c>
      <c r="V603" t="s">
        <v>11863</v>
      </c>
      <c r="W603" t="s">
        <v>11864</v>
      </c>
      <c r="X603" t="s">
        <v>11865</v>
      </c>
      <c r="Y603" t="s">
        <v>11866</v>
      </c>
      <c r="Z603" t="s">
        <v>11867</v>
      </c>
      <c r="AA603" t="s">
        <v>11868</v>
      </c>
      <c r="AB603" t="s">
        <v>11869</v>
      </c>
      <c r="AC603" t="s">
        <v>74</v>
      </c>
      <c r="AD603" t="s">
        <v>74</v>
      </c>
      <c r="AE603" t="s">
        <v>74</v>
      </c>
      <c r="AF603" t="s">
        <v>74</v>
      </c>
      <c r="AG603">
        <v>60</v>
      </c>
      <c r="AH603">
        <v>2</v>
      </c>
      <c r="AI603">
        <v>2</v>
      </c>
      <c r="AJ603">
        <v>0</v>
      </c>
      <c r="AK603">
        <v>3</v>
      </c>
      <c r="AL603" t="s">
        <v>649</v>
      </c>
      <c r="AM603" t="s">
        <v>650</v>
      </c>
      <c r="AN603" t="s">
        <v>651</v>
      </c>
      <c r="AO603" t="s">
        <v>8401</v>
      </c>
      <c r="AP603" t="s">
        <v>8402</v>
      </c>
      <c r="AQ603" t="s">
        <v>74</v>
      </c>
      <c r="AR603" t="s">
        <v>8403</v>
      </c>
      <c r="AS603" t="s">
        <v>8404</v>
      </c>
      <c r="AT603" t="s">
        <v>11837</v>
      </c>
      <c r="AU603">
        <v>2021</v>
      </c>
      <c r="AV603">
        <v>57</v>
      </c>
      <c r="AW603" t="s">
        <v>74</v>
      </c>
      <c r="AX603" t="s">
        <v>74</v>
      </c>
      <c r="AY603" t="s">
        <v>74</v>
      </c>
      <c r="AZ603" t="s">
        <v>74</v>
      </c>
      <c r="BA603" t="s">
        <v>74</v>
      </c>
      <c r="BB603" t="s">
        <v>74</v>
      </c>
      <c r="BC603" t="s">
        <v>74</v>
      </c>
      <c r="BD603" t="s">
        <v>11870</v>
      </c>
      <c r="BE603" t="s">
        <v>11871</v>
      </c>
      <c r="BF603" t="str">
        <f>HYPERLINK("http://dx.doi.org/10.1017/S0032247421000103","http://dx.doi.org/10.1017/S0032247421000103")</f>
        <v>http://dx.doi.org/10.1017/S0032247421000103</v>
      </c>
      <c r="BG603" t="s">
        <v>74</v>
      </c>
      <c r="BH603" t="s">
        <v>74</v>
      </c>
      <c r="BI603">
        <v>14</v>
      </c>
      <c r="BJ603" t="s">
        <v>8407</v>
      </c>
      <c r="BK603" t="s">
        <v>128</v>
      </c>
      <c r="BL603" t="s">
        <v>263</v>
      </c>
      <c r="BM603" t="s">
        <v>11872</v>
      </c>
      <c r="BN603" t="s">
        <v>74</v>
      </c>
      <c r="BO603" t="s">
        <v>74</v>
      </c>
      <c r="BP603" t="s">
        <v>74</v>
      </c>
      <c r="BQ603" t="s">
        <v>74</v>
      </c>
      <c r="BR603" t="s">
        <v>102</v>
      </c>
      <c r="BS603" t="s">
        <v>11873</v>
      </c>
      <c r="BT603" t="str">
        <f>HYPERLINK("https%3A%2F%2Fwww.webofscience.com%2Fwos%2Fwoscc%2Ffull-record%2FWOS:000657362100001","View Full Record in Web of Science")</f>
        <v>View Full Record in Web of Science</v>
      </c>
    </row>
    <row r="604" spans="1:72" x14ac:dyDescent="0.15">
      <c r="A604" t="s">
        <v>72</v>
      </c>
      <c r="B604" t="s">
        <v>11874</v>
      </c>
      <c r="C604" t="s">
        <v>74</v>
      </c>
      <c r="D604" t="s">
        <v>74</v>
      </c>
      <c r="E604" t="s">
        <v>74</v>
      </c>
      <c r="F604" t="s">
        <v>11875</v>
      </c>
      <c r="G604" t="s">
        <v>74</v>
      </c>
      <c r="H604" t="s">
        <v>74</v>
      </c>
      <c r="I604" t="s">
        <v>11876</v>
      </c>
      <c r="J604" t="s">
        <v>2396</v>
      </c>
      <c r="K604" t="s">
        <v>74</v>
      </c>
      <c r="L604" t="s">
        <v>74</v>
      </c>
      <c r="M604" t="s">
        <v>78</v>
      </c>
      <c r="N604" t="s">
        <v>79</v>
      </c>
      <c r="O604" t="s">
        <v>74</v>
      </c>
      <c r="P604" t="s">
        <v>74</v>
      </c>
      <c r="Q604" t="s">
        <v>74</v>
      </c>
      <c r="R604" t="s">
        <v>74</v>
      </c>
      <c r="S604" t="s">
        <v>74</v>
      </c>
      <c r="T604" t="s">
        <v>74</v>
      </c>
      <c r="U604" t="s">
        <v>11877</v>
      </c>
      <c r="V604" t="s">
        <v>11878</v>
      </c>
      <c r="W604" t="s">
        <v>11879</v>
      </c>
      <c r="X604" t="s">
        <v>11880</v>
      </c>
      <c r="Y604" t="s">
        <v>11881</v>
      </c>
      <c r="Z604" t="s">
        <v>11882</v>
      </c>
      <c r="AA604" t="s">
        <v>11883</v>
      </c>
      <c r="AB604" t="s">
        <v>11884</v>
      </c>
      <c r="AC604" t="s">
        <v>11885</v>
      </c>
      <c r="AD604" t="s">
        <v>11886</v>
      </c>
      <c r="AE604" t="s">
        <v>11887</v>
      </c>
      <c r="AF604" t="s">
        <v>74</v>
      </c>
      <c r="AG604">
        <v>52</v>
      </c>
      <c r="AH604">
        <v>20</v>
      </c>
      <c r="AI604">
        <v>23</v>
      </c>
      <c r="AJ604">
        <v>7</v>
      </c>
      <c r="AK604">
        <v>43</v>
      </c>
      <c r="AL604" t="s">
        <v>143</v>
      </c>
      <c r="AM604" t="s">
        <v>144</v>
      </c>
      <c r="AN604" t="s">
        <v>145</v>
      </c>
      <c r="AO604" t="s">
        <v>2408</v>
      </c>
      <c r="AP604" t="s">
        <v>2409</v>
      </c>
      <c r="AQ604" t="s">
        <v>74</v>
      </c>
      <c r="AR604" t="s">
        <v>2396</v>
      </c>
      <c r="AS604" t="s">
        <v>2410</v>
      </c>
      <c r="AT604" t="s">
        <v>11837</v>
      </c>
      <c r="AU604">
        <v>2021</v>
      </c>
      <c r="AV604">
        <v>15</v>
      </c>
      <c r="AW604">
        <v>6</v>
      </c>
      <c r="AX604" t="s">
        <v>74</v>
      </c>
      <c r="AY604" t="s">
        <v>74</v>
      </c>
      <c r="AZ604" t="s">
        <v>74</v>
      </c>
      <c r="BA604" t="s">
        <v>74</v>
      </c>
      <c r="BB604">
        <v>2531</v>
      </c>
      <c r="BC604">
        <v>2539</v>
      </c>
      <c r="BD604" t="s">
        <v>74</v>
      </c>
      <c r="BE604" t="s">
        <v>11888</v>
      </c>
      <c r="BF604" t="str">
        <f>HYPERLINK("http://dx.doi.org/10.5194/tc-15-2531-2021","http://dx.doi.org/10.5194/tc-15-2531-2021")</f>
        <v>http://dx.doi.org/10.5194/tc-15-2531-2021</v>
      </c>
      <c r="BG604" t="s">
        <v>74</v>
      </c>
      <c r="BH604" t="s">
        <v>74</v>
      </c>
      <c r="BI604">
        <v>9</v>
      </c>
      <c r="BJ604" t="s">
        <v>151</v>
      </c>
      <c r="BK604" t="s">
        <v>128</v>
      </c>
      <c r="BL604" t="s">
        <v>152</v>
      </c>
      <c r="BM604" t="s">
        <v>11889</v>
      </c>
      <c r="BN604" t="s">
        <v>74</v>
      </c>
      <c r="BO604" t="s">
        <v>179</v>
      </c>
      <c r="BP604" t="s">
        <v>74</v>
      </c>
      <c r="BQ604" t="s">
        <v>74</v>
      </c>
      <c r="BR604" t="s">
        <v>102</v>
      </c>
      <c r="BS604" t="s">
        <v>11890</v>
      </c>
      <c r="BT604" t="str">
        <f>HYPERLINK("https%3A%2F%2Fwww.webofscience.com%2Fwos%2Fwoscc%2Ffull-record%2FWOS:000660620400001","View Full Record in Web of Science")</f>
        <v>View Full Record in Web of Science</v>
      </c>
    </row>
    <row r="605" spans="1:72" x14ac:dyDescent="0.15">
      <c r="A605" t="s">
        <v>72</v>
      </c>
      <c r="B605" t="s">
        <v>6064</v>
      </c>
      <c r="C605" t="s">
        <v>74</v>
      </c>
      <c r="D605" t="s">
        <v>74</v>
      </c>
      <c r="E605" t="s">
        <v>74</v>
      </c>
      <c r="F605" t="s">
        <v>11891</v>
      </c>
      <c r="G605" t="s">
        <v>74</v>
      </c>
      <c r="H605" t="s">
        <v>74</v>
      </c>
      <c r="I605" t="s">
        <v>11892</v>
      </c>
      <c r="J605" t="s">
        <v>5667</v>
      </c>
      <c r="K605" t="s">
        <v>74</v>
      </c>
      <c r="L605" t="s">
        <v>74</v>
      </c>
      <c r="M605" t="s">
        <v>78</v>
      </c>
      <c r="N605" t="s">
        <v>79</v>
      </c>
      <c r="O605" t="s">
        <v>74</v>
      </c>
      <c r="P605" t="s">
        <v>74</v>
      </c>
      <c r="Q605" t="s">
        <v>74</v>
      </c>
      <c r="R605" t="s">
        <v>74</v>
      </c>
      <c r="S605" t="s">
        <v>74</v>
      </c>
      <c r="T605" t="s">
        <v>11893</v>
      </c>
      <c r="U605" t="s">
        <v>11894</v>
      </c>
      <c r="V605" t="s">
        <v>11895</v>
      </c>
      <c r="W605" t="s">
        <v>11896</v>
      </c>
      <c r="X605" t="s">
        <v>6072</v>
      </c>
      <c r="Y605" t="s">
        <v>6073</v>
      </c>
      <c r="Z605" t="s">
        <v>6074</v>
      </c>
      <c r="AA605" t="s">
        <v>6075</v>
      </c>
      <c r="AB605" t="s">
        <v>6076</v>
      </c>
      <c r="AC605" t="s">
        <v>11897</v>
      </c>
      <c r="AD605" t="s">
        <v>11898</v>
      </c>
      <c r="AE605" t="s">
        <v>11899</v>
      </c>
      <c r="AF605" t="s">
        <v>74</v>
      </c>
      <c r="AG605">
        <v>34</v>
      </c>
      <c r="AH605">
        <v>5</v>
      </c>
      <c r="AI605">
        <v>5</v>
      </c>
      <c r="AJ605">
        <v>3</v>
      </c>
      <c r="AK605">
        <v>8</v>
      </c>
      <c r="AL605" t="s">
        <v>450</v>
      </c>
      <c r="AM605" t="s">
        <v>650</v>
      </c>
      <c r="AN605" t="s">
        <v>1957</v>
      </c>
      <c r="AO605" t="s">
        <v>5680</v>
      </c>
      <c r="AP605" t="s">
        <v>5681</v>
      </c>
      <c r="AQ605" t="s">
        <v>74</v>
      </c>
      <c r="AR605" t="s">
        <v>5682</v>
      </c>
      <c r="AS605" t="s">
        <v>5683</v>
      </c>
      <c r="AT605" t="s">
        <v>430</v>
      </c>
      <c r="AU605">
        <v>2021</v>
      </c>
      <c r="AV605">
        <v>82</v>
      </c>
      <c r="AW605">
        <v>1</v>
      </c>
      <c r="AX605" t="s">
        <v>74</v>
      </c>
      <c r="AY605" t="s">
        <v>74</v>
      </c>
      <c r="AZ605" t="s">
        <v>431</v>
      </c>
      <c r="BA605" t="s">
        <v>74</v>
      </c>
      <c r="BB605">
        <v>224</v>
      </c>
      <c r="BC605">
        <v>232</v>
      </c>
      <c r="BD605" t="s">
        <v>74</v>
      </c>
      <c r="BE605" t="s">
        <v>11900</v>
      </c>
      <c r="BF605" t="str">
        <f>HYPERLINK("http://dx.doi.org/10.1007/s00248-021-01742-7","http://dx.doi.org/10.1007/s00248-021-01742-7")</f>
        <v>http://dx.doi.org/10.1007/s00248-021-01742-7</v>
      </c>
      <c r="BG605" t="s">
        <v>74</v>
      </c>
      <c r="BH605" t="s">
        <v>8134</v>
      </c>
      <c r="BI605">
        <v>9</v>
      </c>
      <c r="BJ605" t="s">
        <v>5685</v>
      </c>
      <c r="BK605" t="s">
        <v>128</v>
      </c>
      <c r="BL605" t="s">
        <v>5686</v>
      </c>
      <c r="BM605" t="s">
        <v>11901</v>
      </c>
      <c r="BN605">
        <v>34081147</v>
      </c>
      <c r="BO605" t="s">
        <v>74</v>
      </c>
      <c r="BP605" t="s">
        <v>74</v>
      </c>
      <c r="BQ605" t="s">
        <v>74</v>
      </c>
      <c r="BR605" t="s">
        <v>102</v>
      </c>
      <c r="BS605" t="s">
        <v>11902</v>
      </c>
      <c r="BT605" t="str">
        <f>HYPERLINK("https%3A%2F%2Fwww.webofscience.com%2Fwos%2Fwoscc%2Ffull-record%2FWOS:000657567300001","View Full Record in Web of Science")</f>
        <v>View Full Record in Web of Science</v>
      </c>
    </row>
    <row r="606" spans="1:72" x14ac:dyDescent="0.15">
      <c r="A606" t="s">
        <v>72</v>
      </c>
      <c r="B606" t="s">
        <v>11903</v>
      </c>
      <c r="C606" t="s">
        <v>74</v>
      </c>
      <c r="D606" t="s">
        <v>74</v>
      </c>
      <c r="E606" t="s">
        <v>74</v>
      </c>
      <c r="F606" t="s">
        <v>11904</v>
      </c>
      <c r="G606" t="s">
        <v>74</v>
      </c>
      <c r="H606" t="s">
        <v>74</v>
      </c>
      <c r="I606" t="s">
        <v>11905</v>
      </c>
      <c r="J606" t="s">
        <v>4710</v>
      </c>
      <c r="K606" t="s">
        <v>74</v>
      </c>
      <c r="L606" t="s">
        <v>74</v>
      </c>
      <c r="M606" t="s">
        <v>78</v>
      </c>
      <c r="N606" t="s">
        <v>79</v>
      </c>
      <c r="O606" t="s">
        <v>74</v>
      </c>
      <c r="P606" t="s">
        <v>74</v>
      </c>
      <c r="Q606" t="s">
        <v>74</v>
      </c>
      <c r="R606" t="s">
        <v>74</v>
      </c>
      <c r="S606" t="s">
        <v>74</v>
      </c>
      <c r="T606" t="s">
        <v>74</v>
      </c>
      <c r="U606" t="s">
        <v>11906</v>
      </c>
      <c r="V606" t="s">
        <v>11907</v>
      </c>
      <c r="W606" t="s">
        <v>11908</v>
      </c>
      <c r="X606" t="s">
        <v>11909</v>
      </c>
      <c r="Y606" t="s">
        <v>11910</v>
      </c>
      <c r="Z606" t="s">
        <v>11911</v>
      </c>
      <c r="AA606" t="s">
        <v>11912</v>
      </c>
      <c r="AB606" t="s">
        <v>11913</v>
      </c>
      <c r="AC606" t="s">
        <v>11914</v>
      </c>
      <c r="AD606" t="s">
        <v>11915</v>
      </c>
      <c r="AE606" t="s">
        <v>11916</v>
      </c>
      <c r="AF606" t="s">
        <v>74</v>
      </c>
      <c r="AG606">
        <v>132</v>
      </c>
      <c r="AH606">
        <v>225</v>
      </c>
      <c r="AI606">
        <v>222</v>
      </c>
      <c r="AJ606">
        <v>13</v>
      </c>
      <c r="AK606">
        <v>115</v>
      </c>
      <c r="AL606" t="s">
        <v>143</v>
      </c>
      <c r="AM606" t="s">
        <v>144</v>
      </c>
      <c r="AN606" t="s">
        <v>145</v>
      </c>
      <c r="AO606" t="s">
        <v>4720</v>
      </c>
      <c r="AP606" t="s">
        <v>4721</v>
      </c>
      <c r="AQ606" t="s">
        <v>74</v>
      </c>
      <c r="AR606" t="s">
        <v>4722</v>
      </c>
      <c r="AS606" t="s">
        <v>4723</v>
      </c>
      <c r="AT606" t="s">
        <v>11837</v>
      </c>
      <c r="AU606">
        <v>2021</v>
      </c>
      <c r="AV606">
        <v>12</v>
      </c>
      <c r="AW606">
        <v>2</v>
      </c>
      <c r="AX606" t="s">
        <v>74</v>
      </c>
      <c r="AY606" t="s">
        <v>74</v>
      </c>
      <c r="AZ606" t="s">
        <v>74</v>
      </c>
      <c r="BA606" t="s">
        <v>74</v>
      </c>
      <c r="BB606">
        <v>601</v>
      </c>
      <c r="BC606">
        <v>619</v>
      </c>
      <c r="BD606" t="s">
        <v>74</v>
      </c>
      <c r="BE606" t="s">
        <v>11917</v>
      </c>
      <c r="BF606" t="str">
        <f>HYPERLINK("http://dx.doi.org/10.5194/esd-12-601-2021","http://dx.doi.org/10.5194/esd-12-601-2021")</f>
        <v>http://dx.doi.org/10.5194/esd-12-601-2021</v>
      </c>
      <c r="BG606" t="s">
        <v>74</v>
      </c>
      <c r="BH606" t="s">
        <v>74</v>
      </c>
      <c r="BI606">
        <v>19</v>
      </c>
      <c r="BJ606" t="s">
        <v>405</v>
      </c>
      <c r="BK606" t="s">
        <v>128</v>
      </c>
      <c r="BL606" t="s">
        <v>406</v>
      </c>
      <c r="BM606" t="s">
        <v>11918</v>
      </c>
      <c r="BN606" t="s">
        <v>74</v>
      </c>
      <c r="BO606" t="s">
        <v>353</v>
      </c>
      <c r="BP606" t="s">
        <v>2812</v>
      </c>
      <c r="BQ606" t="s">
        <v>2813</v>
      </c>
      <c r="BR606" t="s">
        <v>102</v>
      </c>
      <c r="BS606" t="s">
        <v>11919</v>
      </c>
      <c r="BT606" t="str">
        <f>HYPERLINK("https%3A%2F%2Fwww.webofscience.com%2Fwos%2Fwoscc%2Ffull-record%2FWOS:000660587200001","View Full Record in Web of Science")</f>
        <v>View Full Record in Web of Science</v>
      </c>
    </row>
    <row r="607" spans="1:72" x14ac:dyDescent="0.15">
      <c r="A607" t="s">
        <v>72</v>
      </c>
      <c r="B607" t="s">
        <v>11920</v>
      </c>
      <c r="C607" t="s">
        <v>74</v>
      </c>
      <c r="D607" t="s">
        <v>74</v>
      </c>
      <c r="E607" t="s">
        <v>74</v>
      </c>
      <c r="F607" t="s">
        <v>11921</v>
      </c>
      <c r="G607" t="s">
        <v>74</v>
      </c>
      <c r="H607" t="s">
        <v>74</v>
      </c>
      <c r="I607" t="s">
        <v>11922</v>
      </c>
      <c r="J607" t="s">
        <v>8396</v>
      </c>
      <c r="K607" t="s">
        <v>74</v>
      </c>
      <c r="L607" t="s">
        <v>74</v>
      </c>
      <c r="M607" t="s">
        <v>78</v>
      </c>
      <c r="N607" t="s">
        <v>6058</v>
      </c>
      <c r="O607" t="s">
        <v>74</v>
      </c>
      <c r="P607" t="s">
        <v>74</v>
      </c>
      <c r="Q607" t="s">
        <v>74</v>
      </c>
      <c r="R607" t="s">
        <v>74</v>
      </c>
      <c r="S607" t="s">
        <v>74</v>
      </c>
      <c r="T607" t="s">
        <v>74</v>
      </c>
      <c r="U607" t="s">
        <v>74</v>
      </c>
      <c r="V607" t="s">
        <v>74</v>
      </c>
      <c r="W607" t="s">
        <v>11923</v>
      </c>
      <c r="X607" t="s">
        <v>74</v>
      </c>
      <c r="Y607" t="s">
        <v>11924</v>
      </c>
      <c r="Z607" t="s">
        <v>11925</v>
      </c>
      <c r="AA607" t="s">
        <v>74</v>
      </c>
      <c r="AB607" t="s">
        <v>11926</v>
      </c>
      <c r="AC607" t="s">
        <v>74</v>
      </c>
      <c r="AD607" t="s">
        <v>74</v>
      </c>
      <c r="AE607" t="s">
        <v>74</v>
      </c>
      <c r="AF607" t="s">
        <v>74</v>
      </c>
      <c r="AG607">
        <v>8</v>
      </c>
      <c r="AH607">
        <v>0</v>
      </c>
      <c r="AI607">
        <v>0</v>
      </c>
      <c r="AJ607">
        <v>0</v>
      </c>
      <c r="AK607">
        <v>1</v>
      </c>
      <c r="AL607" t="s">
        <v>649</v>
      </c>
      <c r="AM607" t="s">
        <v>650</v>
      </c>
      <c r="AN607" t="s">
        <v>651</v>
      </c>
      <c r="AO607" t="s">
        <v>8401</v>
      </c>
      <c r="AP607" t="s">
        <v>8402</v>
      </c>
      <c r="AQ607" t="s">
        <v>74</v>
      </c>
      <c r="AR607" t="s">
        <v>8403</v>
      </c>
      <c r="AS607" t="s">
        <v>8404</v>
      </c>
      <c r="AT607" t="s">
        <v>11837</v>
      </c>
      <c r="AU607">
        <v>2021</v>
      </c>
      <c r="AV607">
        <v>57</v>
      </c>
      <c r="AW607" t="s">
        <v>74</v>
      </c>
      <c r="AX607" t="s">
        <v>74</v>
      </c>
      <c r="AY607" t="s">
        <v>74</v>
      </c>
      <c r="AZ607" t="s">
        <v>74</v>
      </c>
      <c r="BA607" t="s">
        <v>74</v>
      </c>
      <c r="BB607" t="s">
        <v>74</v>
      </c>
      <c r="BC607" t="s">
        <v>74</v>
      </c>
      <c r="BD607" t="s">
        <v>74</v>
      </c>
      <c r="BE607" t="s">
        <v>11927</v>
      </c>
      <c r="BF607" t="str">
        <f>HYPERLINK("http://dx.doi.org/10.1017/S0032247421000206","http://dx.doi.org/10.1017/S0032247421000206")</f>
        <v>http://dx.doi.org/10.1017/S0032247421000206</v>
      </c>
      <c r="BG607" t="s">
        <v>74</v>
      </c>
      <c r="BH607" t="s">
        <v>74</v>
      </c>
      <c r="BI607">
        <v>2</v>
      </c>
      <c r="BJ607" t="s">
        <v>8407</v>
      </c>
      <c r="BK607" t="s">
        <v>128</v>
      </c>
      <c r="BL607" t="s">
        <v>263</v>
      </c>
      <c r="BM607" t="s">
        <v>11928</v>
      </c>
      <c r="BN607" t="s">
        <v>74</v>
      </c>
      <c r="BO607" t="s">
        <v>661</v>
      </c>
      <c r="BP607" t="s">
        <v>74</v>
      </c>
      <c r="BQ607" t="s">
        <v>74</v>
      </c>
      <c r="BR607" t="s">
        <v>102</v>
      </c>
      <c r="BS607" t="s">
        <v>11929</v>
      </c>
      <c r="BT607" t="str">
        <f>HYPERLINK("https%3A%2F%2Fwww.webofscience.com%2Fwos%2Fwoscc%2Ffull-record%2FWOS:000660446900001","View Full Record in Web of Science")</f>
        <v>View Full Record in Web of Science</v>
      </c>
    </row>
    <row r="608" spans="1:72" x14ac:dyDescent="0.15">
      <c r="A608" t="s">
        <v>72</v>
      </c>
      <c r="B608" t="s">
        <v>11930</v>
      </c>
      <c r="C608" t="s">
        <v>74</v>
      </c>
      <c r="D608" t="s">
        <v>74</v>
      </c>
      <c r="E608" t="s">
        <v>74</v>
      </c>
      <c r="F608" t="s">
        <v>11931</v>
      </c>
      <c r="G608" t="s">
        <v>74</v>
      </c>
      <c r="H608" t="s">
        <v>74</v>
      </c>
      <c r="I608" t="s">
        <v>11932</v>
      </c>
      <c r="J608" t="s">
        <v>3799</v>
      </c>
      <c r="K608" t="s">
        <v>74</v>
      </c>
      <c r="L608" t="s">
        <v>74</v>
      </c>
      <c r="M608" t="s">
        <v>78</v>
      </c>
      <c r="N608" t="s">
        <v>79</v>
      </c>
      <c r="O608" t="s">
        <v>74</v>
      </c>
      <c r="P608" t="s">
        <v>74</v>
      </c>
      <c r="Q608" t="s">
        <v>74</v>
      </c>
      <c r="R608" t="s">
        <v>74</v>
      </c>
      <c r="S608" t="s">
        <v>74</v>
      </c>
      <c r="T608" t="s">
        <v>11933</v>
      </c>
      <c r="U608" t="s">
        <v>11934</v>
      </c>
      <c r="V608" t="s">
        <v>11935</v>
      </c>
      <c r="W608" t="s">
        <v>11936</v>
      </c>
      <c r="X608" t="s">
        <v>11937</v>
      </c>
      <c r="Y608" t="s">
        <v>11938</v>
      </c>
      <c r="Z608" t="s">
        <v>11939</v>
      </c>
      <c r="AA608" t="s">
        <v>11940</v>
      </c>
      <c r="AB608" t="s">
        <v>11941</v>
      </c>
      <c r="AC608" t="s">
        <v>11942</v>
      </c>
      <c r="AD608" t="s">
        <v>11943</v>
      </c>
      <c r="AE608" t="s">
        <v>11944</v>
      </c>
      <c r="AF608" t="s">
        <v>74</v>
      </c>
      <c r="AG608">
        <v>103</v>
      </c>
      <c r="AH608">
        <v>11</v>
      </c>
      <c r="AI608">
        <v>11</v>
      </c>
      <c r="AJ608">
        <v>2</v>
      </c>
      <c r="AK608">
        <v>16</v>
      </c>
      <c r="AL608" t="s">
        <v>197</v>
      </c>
      <c r="AM608" t="s">
        <v>198</v>
      </c>
      <c r="AN608" t="s">
        <v>199</v>
      </c>
      <c r="AO608" t="s">
        <v>3811</v>
      </c>
      <c r="AP608" t="s">
        <v>3812</v>
      </c>
      <c r="AQ608" t="s">
        <v>74</v>
      </c>
      <c r="AR608" t="s">
        <v>3813</v>
      </c>
      <c r="AS608" t="s">
        <v>3814</v>
      </c>
      <c r="AT608" t="s">
        <v>402</v>
      </c>
      <c r="AU608">
        <v>2021</v>
      </c>
      <c r="AV608">
        <v>22</v>
      </c>
      <c r="AW608">
        <v>5</v>
      </c>
      <c r="AX608" t="s">
        <v>74</v>
      </c>
      <c r="AY608" t="s">
        <v>74</v>
      </c>
      <c r="AZ608" t="s">
        <v>74</v>
      </c>
      <c r="BA608" t="s">
        <v>74</v>
      </c>
      <c r="BB608">
        <v>1105</v>
      </c>
      <c r="BC608">
        <v>1135</v>
      </c>
      <c r="BD608" t="s">
        <v>74</v>
      </c>
      <c r="BE608" t="s">
        <v>11945</v>
      </c>
      <c r="BF608" t="str">
        <f>HYPERLINK("http://dx.doi.org/10.1111/faf.12571","http://dx.doi.org/10.1111/faf.12571")</f>
        <v>http://dx.doi.org/10.1111/faf.12571</v>
      </c>
      <c r="BG608" t="s">
        <v>74</v>
      </c>
      <c r="BH608" t="s">
        <v>8134</v>
      </c>
      <c r="BI608">
        <v>31</v>
      </c>
      <c r="BJ608" t="s">
        <v>99</v>
      </c>
      <c r="BK608" t="s">
        <v>100</v>
      </c>
      <c r="BL608" t="s">
        <v>99</v>
      </c>
      <c r="BM608" t="s">
        <v>11946</v>
      </c>
      <c r="BN608" t="s">
        <v>74</v>
      </c>
      <c r="BO608" t="s">
        <v>1154</v>
      </c>
      <c r="BP608" t="s">
        <v>74</v>
      </c>
      <c r="BQ608" t="s">
        <v>74</v>
      </c>
      <c r="BR608" t="s">
        <v>102</v>
      </c>
      <c r="BS608" t="s">
        <v>11947</v>
      </c>
      <c r="BT608" t="str">
        <f>HYPERLINK("https%3A%2F%2Fwww.webofscience.com%2Fwos%2Fwoscc%2Ffull-record%2FWOS:000657546400001","View Full Record in Web of Science")</f>
        <v>View Full Record in Web of Science</v>
      </c>
    </row>
    <row r="609" spans="1:72" x14ac:dyDescent="0.15">
      <c r="A609" t="s">
        <v>72</v>
      </c>
      <c r="B609" t="s">
        <v>11948</v>
      </c>
      <c r="C609" t="s">
        <v>74</v>
      </c>
      <c r="D609" t="s">
        <v>74</v>
      </c>
      <c r="E609" t="s">
        <v>74</v>
      </c>
      <c r="F609" t="s">
        <v>11949</v>
      </c>
      <c r="G609" t="s">
        <v>74</v>
      </c>
      <c r="H609" t="s">
        <v>74</v>
      </c>
      <c r="I609" t="s">
        <v>11950</v>
      </c>
      <c r="J609" t="s">
        <v>11951</v>
      </c>
      <c r="K609" t="s">
        <v>74</v>
      </c>
      <c r="L609" t="s">
        <v>74</v>
      </c>
      <c r="M609" t="s">
        <v>78</v>
      </c>
      <c r="N609" t="s">
        <v>79</v>
      </c>
      <c r="O609" t="s">
        <v>74</v>
      </c>
      <c r="P609" t="s">
        <v>74</v>
      </c>
      <c r="Q609" t="s">
        <v>74</v>
      </c>
      <c r="R609" t="s">
        <v>74</v>
      </c>
      <c r="S609" t="s">
        <v>74</v>
      </c>
      <c r="T609" t="s">
        <v>11952</v>
      </c>
      <c r="U609" t="s">
        <v>11953</v>
      </c>
      <c r="V609" t="s">
        <v>11954</v>
      </c>
      <c r="W609" t="s">
        <v>11955</v>
      </c>
      <c r="X609" t="s">
        <v>11956</v>
      </c>
      <c r="Y609" t="s">
        <v>11957</v>
      </c>
      <c r="Z609" t="s">
        <v>11958</v>
      </c>
      <c r="AA609" t="s">
        <v>74</v>
      </c>
      <c r="AB609" t="s">
        <v>11959</v>
      </c>
      <c r="AC609" t="s">
        <v>11960</v>
      </c>
      <c r="AD609" t="s">
        <v>11961</v>
      </c>
      <c r="AE609" t="s">
        <v>11962</v>
      </c>
      <c r="AF609" t="s">
        <v>74</v>
      </c>
      <c r="AG609">
        <v>55</v>
      </c>
      <c r="AH609">
        <v>3</v>
      </c>
      <c r="AI609">
        <v>3</v>
      </c>
      <c r="AJ609">
        <v>0</v>
      </c>
      <c r="AK609">
        <v>3</v>
      </c>
      <c r="AL609" t="s">
        <v>450</v>
      </c>
      <c r="AM609" t="s">
        <v>650</v>
      </c>
      <c r="AN609" t="s">
        <v>1957</v>
      </c>
      <c r="AO609" t="s">
        <v>11963</v>
      </c>
      <c r="AP609" t="s">
        <v>11964</v>
      </c>
      <c r="AQ609" t="s">
        <v>74</v>
      </c>
      <c r="AR609" t="s">
        <v>11965</v>
      </c>
      <c r="AS609" t="s">
        <v>11966</v>
      </c>
      <c r="AT609" t="s">
        <v>204</v>
      </c>
      <c r="AU609">
        <v>2021</v>
      </c>
      <c r="AV609">
        <v>193</v>
      </c>
      <c r="AW609">
        <v>10</v>
      </c>
      <c r="AX609" t="s">
        <v>74</v>
      </c>
      <c r="AY609" t="s">
        <v>74</v>
      </c>
      <c r="AZ609" t="s">
        <v>74</v>
      </c>
      <c r="BA609" t="s">
        <v>74</v>
      </c>
      <c r="BB609">
        <v>3121</v>
      </c>
      <c r="BC609">
        <v>3138</v>
      </c>
      <c r="BD609" t="s">
        <v>74</v>
      </c>
      <c r="BE609" t="s">
        <v>11967</v>
      </c>
      <c r="BF609" t="str">
        <f>HYPERLINK("http://dx.doi.org/10.1007/s12010-021-03596-8","http://dx.doi.org/10.1007/s12010-021-03596-8")</f>
        <v>http://dx.doi.org/10.1007/s12010-021-03596-8</v>
      </c>
      <c r="BG609" t="s">
        <v>74</v>
      </c>
      <c r="BH609" t="s">
        <v>8134</v>
      </c>
      <c r="BI609">
        <v>18</v>
      </c>
      <c r="BJ609" t="s">
        <v>11968</v>
      </c>
      <c r="BK609" t="s">
        <v>128</v>
      </c>
      <c r="BL609" t="s">
        <v>11968</v>
      </c>
      <c r="BM609" t="s">
        <v>11969</v>
      </c>
      <c r="BN609">
        <v>34085170</v>
      </c>
      <c r="BO609" t="s">
        <v>74</v>
      </c>
      <c r="BP609" t="s">
        <v>74</v>
      </c>
      <c r="BQ609" t="s">
        <v>74</v>
      </c>
      <c r="BR609" t="s">
        <v>102</v>
      </c>
      <c r="BS609" t="s">
        <v>11970</v>
      </c>
      <c r="BT609" t="str">
        <f>HYPERLINK("https%3A%2F%2Fwww.webofscience.com%2Fwos%2Fwoscc%2Ffull-record%2FWOS:000657573600001","View Full Record in Web of Science")</f>
        <v>View Full Record in Web of Science</v>
      </c>
    </row>
    <row r="610" spans="1:72" x14ac:dyDescent="0.15">
      <c r="A610" t="s">
        <v>72</v>
      </c>
      <c r="B610" t="s">
        <v>11971</v>
      </c>
      <c r="C610" t="s">
        <v>74</v>
      </c>
      <c r="D610" t="s">
        <v>74</v>
      </c>
      <c r="E610" t="s">
        <v>74</v>
      </c>
      <c r="F610" t="s">
        <v>11972</v>
      </c>
      <c r="G610" t="s">
        <v>74</v>
      </c>
      <c r="H610" t="s">
        <v>74</v>
      </c>
      <c r="I610" t="s">
        <v>11973</v>
      </c>
      <c r="J610" t="s">
        <v>11974</v>
      </c>
      <c r="K610" t="s">
        <v>74</v>
      </c>
      <c r="L610" t="s">
        <v>74</v>
      </c>
      <c r="M610" t="s">
        <v>78</v>
      </c>
      <c r="N610" t="s">
        <v>79</v>
      </c>
      <c r="O610" t="s">
        <v>74</v>
      </c>
      <c r="P610" t="s">
        <v>74</v>
      </c>
      <c r="Q610" t="s">
        <v>74</v>
      </c>
      <c r="R610" t="s">
        <v>74</v>
      </c>
      <c r="S610" t="s">
        <v>74</v>
      </c>
      <c r="T610" t="s">
        <v>74</v>
      </c>
      <c r="U610" t="s">
        <v>11975</v>
      </c>
      <c r="V610" t="s">
        <v>11976</v>
      </c>
      <c r="W610" t="s">
        <v>11977</v>
      </c>
      <c r="X610" t="s">
        <v>11978</v>
      </c>
      <c r="Y610" t="s">
        <v>11979</v>
      </c>
      <c r="Z610" t="s">
        <v>11980</v>
      </c>
      <c r="AA610" t="s">
        <v>11981</v>
      </c>
      <c r="AB610" t="s">
        <v>11982</v>
      </c>
      <c r="AC610" t="s">
        <v>11983</v>
      </c>
      <c r="AD610" t="s">
        <v>11984</v>
      </c>
      <c r="AE610" t="s">
        <v>11985</v>
      </c>
      <c r="AF610" t="s">
        <v>74</v>
      </c>
      <c r="AG610">
        <v>125</v>
      </c>
      <c r="AH610">
        <v>7</v>
      </c>
      <c r="AI610">
        <v>7</v>
      </c>
      <c r="AJ610">
        <v>0</v>
      </c>
      <c r="AK610">
        <v>24</v>
      </c>
      <c r="AL610" t="s">
        <v>197</v>
      </c>
      <c r="AM610" t="s">
        <v>198</v>
      </c>
      <c r="AN610" t="s">
        <v>199</v>
      </c>
      <c r="AO610" t="s">
        <v>11986</v>
      </c>
      <c r="AP610" t="s">
        <v>11987</v>
      </c>
      <c r="AQ610" t="s">
        <v>74</v>
      </c>
      <c r="AR610" t="s">
        <v>11988</v>
      </c>
      <c r="AS610" t="s">
        <v>11989</v>
      </c>
      <c r="AT610" t="s">
        <v>535</v>
      </c>
      <c r="AU610">
        <v>2021</v>
      </c>
      <c r="AV610">
        <v>23</v>
      </c>
      <c r="AW610">
        <v>8</v>
      </c>
      <c r="AX610" t="s">
        <v>74</v>
      </c>
      <c r="AY610" t="s">
        <v>74</v>
      </c>
      <c r="AZ610" t="s">
        <v>74</v>
      </c>
      <c r="BA610" t="s">
        <v>74</v>
      </c>
      <c r="BB610">
        <v>4276</v>
      </c>
      <c r="BC610">
        <v>4294</v>
      </c>
      <c r="BD610" t="s">
        <v>74</v>
      </c>
      <c r="BE610" t="s">
        <v>11990</v>
      </c>
      <c r="BF610" t="str">
        <f>HYPERLINK("http://dx.doi.org/10.1111/1462-2920.15610","http://dx.doi.org/10.1111/1462-2920.15610")</f>
        <v>http://dx.doi.org/10.1111/1462-2920.15610</v>
      </c>
      <c r="BG610" t="s">
        <v>74</v>
      </c>
      <c r="BH610" t="s">
        <v>8134</v>
      </c>
      <c r="BI610">
        <v>19</v>
      </c>
      <c r="BJ610" t="s">
        <v>1499</v>
      </c>
      <c r="BK610" t="s">
        <v>128</v>
      </c>
      <c r="BL610" t="s">
        <v>1499</v>
      </c>
      <c r="BM610" t="s">
        <v>11991</v>
      </c>
      <c r="BN610">
        <v>34029441</v>
      </c>
      <c r="BO610" t="s">
        <v>74</v>
      </c>
      <c r="BP610" t="s">
        <v>74</v>
      </c>
      <c r="BQ610" t="s">
        <v>74</v>
      </c>
      <c r="BR610" t="s">
        <v>102</v>
      </c>
      <c r="BS610" t="s">
        <v>11992</v>
      </c>
      <c r="BT610" t="str">
        <f>HYPERLINK("https%3A%2F%2Fwww.webofscience.com%2Fwos%2Fwoscc%2Ffull-record%2FWOS:000657620700001","View Full Record in Web of Science")</f>
        <v>View Full Record in Web of Science</v>
      </c>
    </row>
    <row r="611" spans="1:72" x14ac:dyDescent="0.15">
      <c r="A611" t="s">
        <v>72</v>
      </c>
      <c r="B611" t="s">
        <v>11993</v>
      </c>
      <c r="C611" t="s">
        <v>74</v>
      </c>
      <c r="D611" t="s">
        <v>74</v>
      </c>
      <c r="E611" t="s">
        <v>74</v>
      </c>
      <c r="F611" t="s">
        <v>11993</v>
      </c>
      <c r="G611" t="s">
        <v>74</v>
      </c>
      <c r="H611" t="s">
        <v>74</v>
      </c>
      <c r="I611" t="s">
        <v>11994</v>
      </c>
      <c r="J611" t="s">
        <v>5196</v>
      </c>
      <c r="K611" t="s">
        <v>74</v>
      </c>
      <c r="L611" t="s">
        <v>74</v>
      </c>
      <c r="M611" t="s">
        <v>78</v>
      </c>
      <c r="N611" t="s">
        <v>644</v>
      </c>
      <c r="O611" t="s">
        <v>74</v>
      </c>
      <c r="P611" t="s">
        <v>74</v>
      </c>
      <c r="Q611" t="s">
        <v>74</v>
      </c>
      <c r="R611" t="s">
        <v>74</v>
      </c>
      <c r="S611" t="s">
        <v>74</v>
      </c>
      <c r="T611" t="s">
        <v>11995</v>
      </c>
      <c r="U611" t="s">
        <v>74</v>
      </c>
      <c r="V611" t="s">
        <v>11996</v>
      </c>
      <c r="W611" t="s">
        <v>74</v>
      </c>
      <c r="X611" t="s">
        <v>74</v>
      </c>
      <c r="Y611" t="s">
        <v>74</v>
      </c>
      <c r="Z611" t="s">
        <v>74</v>
      </c>
      <c r="AA611" t="s">
        <v>74</v>
      </c>
      <c r="AB611" t="s">
        <v>74</v>
      </c>
      <c r="AC611" t="s">
        <v>74</v>
      </c>
      <c r="AD611" t="s">
        <v>74</v>
      </c>
      <c r="AE611" t="s">
        <v>74</v>
      </c>
      <c r="AF611" t="s">
        <v>74</v>
      </c>
      <c r="AG611">
        <v>1</v>
      </c>
      <c r="AH611">
        <v>0</v>
      </c>
      <c r="AI611">
        <v>0</v>
      </c>
      <c r="AJ611">
        <v>0</v>
      </c>
      <c r="AK611">
        <v>8</v>
      </c>
      <c r="AL611" t="s">
        <v>4067</v>
      </c>
      <c r="AM611" t="s">
        <v>396</v>
      </c>
      <c r="AN611" t="s">
        <v>397</v>
      </c>
      <c r="AO611" t="s">
        <v>5208</v>
      </c>
      <c r="AP611" t="s">
        <v>5209</v>
      </c>
      <c r="AQ611" t="s">
        <v>74</v>
      </c>
      <c r="AR611" t="s">
        <v>5196</v>
      </c>
      <c r="AS611" t="s">
        <v>5210</v>
      </c>
      <c r="AT611" t="s">
        <v>11837</v>
      </c>
      <c r="AU611">
        <v>2021</v>
      </c>
      <c r="AV611">
        <v>594</v>
      </c>
      <c r="AW611">
        <v>7861</v>
      </c>
      <c r="AX611" t="s">
        <v>74</v>
      </c>
      <c r="AY611" t="s">
        <v>74</v>
      </c>
      <c r="AZ611" t="s">
        <v>74</v>
      </c>
      <c r="BA611" t="s">
        <v>74</v>
      </c>
      <c r="BB611">
        <v>11</v>
      </c>
      <c r="BC611">
        <v>11</v>
      </c>
      <c r="BD611" t="s">
        <v>74</v>
      </c>
      <c r="BE611" t="s">
        <v>11997</v>
      </c>
      <c r="BF611" t="str">
        <f>HYPERLINK("http://dx.doi.org/10.1038/d41586-021-01364-6","http://dx.doi.org/10.1038/d41586-021-01364-6")</f>
        <v>http://dx.doi.org/10.1038/d41586-021-01364-6</v>
      </c>
      <c r="BG611" t="s">
        <v>74</v>
      </c>
      <c r="BH611" t="s">
        <v>74</v>
      </c>
      <c r="BI611">
        <v>1</v>
      </c>
      <c r="BJ611" t="s">
        <v>2609</v>
      </c>
      <c r="BK611" t="s">
        <v>100</v>
      </c>
      <c r="BL611" t="s">
        <v>2610</v>
      </c>
      <c r="BM611" t="s">
        <v>11998</v>
      </c>
      <c r="BN611">
        <v>34035509</v>
      </c>
      <c r="BO611" t="s">
        <v>74</v>
      </c>
      <c r="BP611" t="s">
        <v>74</v>
      </c>
      <c r="BQ611" t="s">
        <v>74</v>
      </c>
      <c r="BR611" t="s">
        <v>102</v>
      </c>
      <c r="BS611" t="s">
        <v>11999</v>
      </c>
      <c r="BT611" t="str">
        <f>HYPERLINK("https%3A%2F%2Fwww.webofscience.com%2Fwos%2Fwoscc%2Ffull-record%2FWOS:000655861000005","View Full Record in Web of Science")</f>
        <v>View Full Record in Web of Science</v>
      </c>
    </row>
    <row r="612" spans="1:72" x14ac:dyDescent="0.15">
      <c r="A612" t="s">
        <v>72</v>
      </c>
      <c r="B612" t="s">
        <v>12000</v>
      </c>
      <c r="C612" t="s">
        <v>74</v>
      </c>
      <c r="D612" t="s">
        <v>74</v>
      </c>
      <c r="E612" t="s">
        <v>74</v>
      </c>
      <c r="F612" t="s">
        <v>12001</v>
      </c>
      <c r="G612" t="s">
        <v>74</v>
      </c>
      <c r="H612" t="s">
        <v>74</v>
      </c>
      <c r="I612" t="s">
        <v>12002</v>
      </c>
      <c r="J612" t="s">
        <v>4202</v>
      </c>
      <c r="K612" t="s">
        <v>74</v>
      </c>
      <c r="L612" t="s">
        <v>74</v>
      </c>
      <c r="M612" t="s">
        <v>78</v>
      </c>
      <c r="N612" t="s">
        <v>79</v>
      </c>
      <c r="O612" t="s">
        <v>74</v>
      </c>
      <c r="P612" t="s">
        <v>74</v>
      </c>
      <c r="Q612" t="s">
        <v>74</v>
      </c>
      <c r="R612" t="s">
        <v>74</v>
      </c>
      <c r="S612" t="s">
        <v>74</v>
      </c>
      <c r="T612" t="s">
        <v>12003</v>
      </c>
      <c r="U612" t="s">
        <v>12004</v>
      </c>
      <c r="V612" t="s">
        <v>12005</v>
      </c>
      <c r="W612" t="s">
        <v>12006</v>
      </c>
      <c r="X612" t="s">
        <v>12007</v>
      </c>
      <c r="Y612" t="s">
        <v>12008</v>
      </c>
      <c r="Z612" t="s">
        <v>12009</v>
      </c>
      <c r="AA612" t="s">
        <v>12010</v>
      </c>
      <c r="AB612" t="s">
        <v>12011</v>
      </c>
      <c r="AC612" t="s">
        <v>12012</v>
      </c>
      <c r="AD612" t="s">
        <v>12013</v>
      </c>
      <c r="AE612" t="s">
        <v>12014</v>
      </c>
      <c r="AF612" t="s">
        <v>74</v>
      </c>
      <c r="AG612">
        <v>49</v>
      </c>
      <c r="AH612">
        <v>11</v>
      </c>
      <c r="AI612">
        <v>14</v>
      </c>
      <c r="AJ612">
        <v>25</v>
      </c>
      <c r="AK612">
        <v>112</v>
      </c>
      <c r="AL612" t="s">
        <v>4214</v>
      </c>
      <c r="AM612" t="s">
        <v>865</v>
      </c>
      <c r="AN612" t="s">
        <v>4215</v>
      </c>
      <c r="AO612" t="s">
        <v>4216</v>
      </c>
      <c r="AP612" t="s">
        <v>4217</v>
      </c>
      <c r="AQ612" t="s">
        <v>74</v>
      </c>
      <c r="AR612" t="s">
        <v>4218</v>
      </c>
      <c r="AS612" t="s">
        <v>4219</v>
      </c>
      <c r="AT612" t="s">
        <v>3698</v>
      </c>
      <c r="AU612">
        <v>2021</v>
      </c>
      <c r="AV612">
        <v>55</v>
      </c>
      <c r="AW612">
        <v>14</v>
      </c>
      <c r="AX612" t="s">
        <v>74</v>
      </c>
      <c r="AY612" t="s">
        <v>74</v>
      </c>
      <c r="AZ612" t="s">
        <v>431</v>
      </c>
      <c r="BA612" t="s">
        <v>74</v>
      </c>
      <c r="BB612">
        <v>9601</v>
      </c>
      <c r="BC612">
        <v>9608</v>
      </c>
      <c r="BD612" t="s">
        <v>74</v>
      </c>
      <c r="BE612" t="s">
        <v>12015</v>
      </c>
      <c r="BF612" t="str">
        <f>HYPERLINK("http://dx.doi.org/10.1021/acs.est.1c01645","http://dx.doi.org/10.1021/acs.est.1c01645")</f>
        <v>http://dx.doi.org/10.1021/acs.est.1c01645</v>
      </c>
      <c r="BG612" t="s">
        <v>74</v>
      </c>
      <c r="BH612" t="s">
        <v>8134</v>
      </c>
      <c r="BI612">
        <v>8</v>
      </c>
      <c r="BJ612" t="s">
        <v>335</v>
      </c>
      <c r="BK612" t="s">
        <v>128</v>
      </c>
      <c r="BL612" t="s">
        <v>336</v>
      </c>
      <c r="BM612" t="s">
        <v>4963</v>
      </c>
      <c r="BN612">
        <v>34080838</v>
      </c>
      <c r="BO612" t="s">
        <v>6716</v>
      </c>
      <c r="BP612" t="s">
        <v>74</v>
      </c>
      <c r="BQ612" t="s">
        <v>74</v>
      </c>
      <c r="BR612" t="s">
        <v>102</v>
      </c>
      <c r="BS612" t="s">
        <v>12016</v>
      </c>
      <c r="BT612" t="str">
        <f>HYPERLINK("https%3A%2F%2Fwww.webofscience.com%2Fwos%2Fwoscc%2Ffull-record%2FWOS:000677482500022","View Full Record in Web of Science")</f>
        <v>View Full Record in Web of Science</v>
      </c>
    </row>
    <row r="613" spans="1:72" x14ac:dyDescent="0.15">
      <c r="A613" t="s">
        <v>72</v>
      </c>
      <c r="B613" t="s">
        <v>12017</v>
      </c>
      <c r="C613" t="s">
        <v>74</v>
      </c>
      <c r="D613" t="s">
        <v>74</v>
      </c>
      <c r="E613" t="s">
        <v>74</v>
      </c>
      <c r="F613" t="s">
        <v>12018</v>
      </c>
      <c r="G613" t="s">
        <v>74</v>
      </c>
      <c r="H613" t="s">
        <v>74</v>
      </c>
      <c r="I613" t="s">
        <v>12019</v>
      </c>
      <c r="J613" t="s">
        <v>5667</v>
      </c>
      <c r="K613" t="s">
        <v>74</v>
      </c>
      <c r="L613" t="s">
        <v>74</v>
      </c>
      <c r="M613" t="s">
        <v>78</v>
      </c>
      <c r="N613" t="s">
        <v>79</v>
      </c>
      <c r="O613" t="s">
        <v>74</v>
      </c>
      <c r="P613" t="s">
        <v>74</v>
      </c>
      <c r="Q613" t="s">
        <v>74</v>
      </c>
      <c r="R613" t="s">
        <v>74</v>
      </c>
      <c r="S613" t="s">
        <v>74</v>
      </c>
      <c r="T613" t="s">
        <v>12020</v>
      </c>
      <c r="U613" t="s">
        <v>12021</v>
      </c>
      <c r="V613" t="s">
        <v>12022</v>
      </c>
      <c r="W613" t="s">
        <v>12023</v>
      </c>
      <c r="X613" t="s">
        <v>12024</v>
      </c>
      <c r="Y613" t="s">
        <v>12025</v>
      </c>
      <c r="Z613" t="s">
        <v>12026</v>
      </c>
      <c r="AA613" t="s">
        <v>12027</v>
      </c>
      <c r="AB613" t="s">
        <v>12028</v>
      </c>
      <c r="AC613" t="s">
        <v>12029</v>
      </c>
      <c r="AD613" t="s">
        <v>12030</v>
      </c>
      <c r="AE613" t="s">
        <v>12031</v>
      </c>
      <c r="AF613" t="s">
        <v>74</v>
      </c>
      <c r="AG613">
        <v>68</v>
      </c>
      <c r="AH613">
        <v>11</v>
      </c>
      <c r="AI613">
        <v>13</v>
      </c>
      <c r="AJ613">
        <v>2</v>
      </c>
      <c r="AK613">
        <v>15</v>
      </c>
      <c r="AL613" t="s">
        <v>450</v>
      </c>
      <c r="AM613" t="s">
        <v>650</v>
      </c>
      <c r="AN613" t="s">
        <v>1957</v>
      </c>
      <c r="AO613" t="s">
        <v>5680</v>
      </c>
      <c r="AP613" t="s">
        <v>5681</v>
      </c>
      <c r="AQ613" t="s">
        <v>74</v>
      </c>
      <c r="AR613" t="s">
        <v>5682</v>
      </c>
      <c r="AS613" t="s">
        <v>5683</v>
      </c>
      <c r="AT613" t="s">
        <v>2651</v>
      </c>
      <c r="AU613">
        <v>2022</v>
      </c>
      <c r="AV613">
        <v>83</v>
      </c>
      <c r="AW613">
        <v>2</v>
      </c>
      <c r="AX613" t="s">
        <v>74</v>
      </c>
      <c r="AY613" t="s">
        <v>74</v>
      </c>
      <c r="AZ613" t="s">
        <v>74</v>
      </c>
      <c r="BA613" t="s">
        <v>74</v>
      </c>
      <c r="BB613">
        <v>328</v>
      </c>
      <c r="BC613">
        <v>339</v>
      </c>
      <c r="BD613" t="s">
        <v>74</v>
      </c>
      <c r="BE613" t="s">
        <v>12032</v>
      </c>
      <c r="BF613" t="str">
        <f>HYPERLINK("http://dx.doi.org/10.1007/s00248-021-01769-w","http://dx.doi.org/10.1007/s00248-021-01769-w")</f>
        <v>http://dx.doi.org/10.1007/s00248-021-01769-w</v>
      </c>
      <c r="BG613" t="s">
        <v>74</v>
      </c>
      <c r="BH613" t="s">
        <v>8134</v>
      </c>
      <c r="BI613">
        <v>12</v>
      </c>
      <c r="BJ613" t="s">
        <v>5685</v>
      </c>
      <c r="BK613" t="s">
        <v>128</v>
      </c>
      <c r="BL613" t="s">
        <v>5686</v>
      </c>
      <c r="BM613" t="s">
        <v>12033</v>
      </c>
      <c r="BN613">
        <v>34081148</v>
      </c>
      <c r="BO613" t="s">
        <v>1154</v>
      </c>
      <c r="BP613" t="s">
        <v>74</v>
      </c>
      <c r="BQ613" t="s">
        <v>74</v>
      </c>
      <c r="BR613" t="s">
        <v>102</v>
      </c>
      <c r="BS613" t="s">
        <v>12034</v>
      </c>
      <c r="BT613" t="str">
        <f>HYPERLINK("https%3A%2F%2Fwww.webofscience.com%2Fwos%2Fwoscc%2Ffull-record%2FWOS:000657567300002","View Full Record in Web of Science")</f>
        <v>View Full Record in Web of Science</v>
      </c>
    </row>
    <row r="614" spans="1:72" x14ac:dyDescent="0.15">
      <c r="A614" t="s">
        <v>72</v>
      </c>
      <c r="B614" t="s">
        <v>12035</v>
      </c>
      <c r="C614" t="s">
        <v>74</v>
      </c>
      <c r="D614" t="s">
        <v>74</v>
      </c>
      <c r="E614" t="s">
        <v>74</v>
      </c>
      <c r="F614" t="s">
        <v>12036</v>
      </c>
      <c r="G614" t="s">
        <v>74</v>
      </c>
      <c r="H614" t="s">
        <v>74</v>
      </c>
      <c r="I614" t="s">
        <v>12037</v>
      </c>
      <c r="J614" t="s">
        <v>12038</v>
      </c>
      <c r="K614" t="s">
        <v>74</v>
      </c>
      <c r="L614" t="s">
        <v>74</v>
      </c>
      <c r="M614" t="s">
        <v>78</v>
      </c>
      <c r="N614" t="s">
        <v>79</v>
      </c>
      <c r="O614" t="s">
        <v>74</v>
      </c>
      <c r="P614" t="s">
        <v>74</v>
      </c>
      <c r="Q614" t="s">
        <v>74</v>
      </c>
      <c r="R614" t="s">
        <v>74</v>
      </c>
      <c r="S614" t="s">
        <v>74</v>
      </c>
      <c r="T614" t="s">
        <v>74</v>
      </c>
      <c r="U614" t="s">
        <v>12039</v>
      </c>
      <c r="V614" t="s">
        <v>12040</v>
      </c>
      <c r="W614" t="s">
        <v>12041</v>
      </c>
      <c r="X614" t="s">
        <v>12042</v>
      </c>
      <c r="Y614" t="s">
        <v>12043</v>
      </c>
      <c r="Z614" t="s">
        <v>12044</v>
      </c>
      <c r="AA614" t="s">
        <v>12045</v>
      </c>
      <c r="AB614" t="s">
        <v>12046</v>
      </c>
      <c r="AC614" t="s">
        <v>12047</v>
      </c>
      <c r="AD614" t="s">
        <v>12048</v>
      </c>
      <c r="AE614" t="s">
        <v>12049</v>
      </c>
      <c r="AF614" t="s">
        <v>74</v>
      </c>
      <c r="AG614">
        <v>68</v>
      </c>
      <c r="AH614">
        <v>78</v>
      </c>
      <c r="AI614">
        <v>84</v>
      </c>
      <c r="AJ614">
        <v>21</v>
      </c>
      <c r="AK614">
        <v>120</v>
      </c>
      <c r="AL614" t="s">
        <v>395</v>
      </c>
      <c r="AM614" t="s">
        <v>396</v>
      </c>
      <c r="AN614" t="s">
        <v>397</v>
      </c>
      <c r="AO614" t="s">
        <v>12050</v>
      </c>
      <c r="AP614" t="s">
        <v>12051</v>
      </c>
      <c r="AQ614" t="s">
        <v>74</v>
      </c>
      <c r="AR614" t="s">
        <v>12052</v>
      </c>
      <c r="AS614" t="s">
        <v>12053</v>
      </c>
      <c r="AT614" t="s">
        <v>4571</v>
      </c>
      <c r="AU614">
        <v>2021</v>
      </c>
      <c r="AV614">
        <v>11</v>
      </c>
      <c r="AW614">
        <v>6</v>
      </c>
      <c r="AX614" t="s">
        <v>74</v>
      </c>
      <c r="AY614" t="s">
        <v>74</v>
      </c>
      <c r="AZ614" t="s">
        <v>74</v>
      </c>
      <c r="BA614" t="s">
        <v>74</v>
      </c>
      <c r="BB614">
        <v>521</v>
      </c>
      <c r="BC614" t="s">
        <v>403</v>
      </c>
      <c r="BD614" t="s">
        <v>74</v>
      </c>
      <c r="BE614" t="s">
        <v>12054</v>
      </c>
      <c r="BF614" t="str">
        <f>HYPERLINK("http://dx.doi.org/10.1038/s41558-021-01060-3","http://dx.doi.org/10.1038/s41558-021-01060-3")</f>
        <v>http://dx.doi.org/10.1038/s41558-021-01060-3</v>
      </c>
      <c r="BG614" t="s">
        <v>74</v>
      </c>
      <c r="BH614" t="s">
        <v>8134</v>
      </c>
      <c r="BI614">
        <v>21</v>
      </c>
      <c r="BJ614" t="s">
        <v>12055</v>
      </c>
      <c r="BK614" t="s">
        <v>100</v>
      </c>
      <c r="BL614" t="s">
        <v>636</v>
      </c>
      <c r="BM614" t="s">
        <v>12056</v>
      </c>
      <c r="BN614" t="s">
        <v>74</v>
      </c>
      <c r="BO614" t="s">
        <v>12057</v>
      </c>
      <c r="BP614" t="s">
        <v>74</v>
      </c>
      <c r="BQ614" t="s">
        <v>74</v>
      </c>
      <c r="BR614" t="s">
        <v>102</v>
      </c>
      <c r="BS614" t="s">
        <v>12058</v>
      </c>
      <c r="BT614" t="str">
        <f>HYPERLINK("https%3A%2F%2Fwww.webofscience.com%2Fwos%2Fwoscc%2Ffull-record%2FWOS:000657627300003","View Full Record in Web of Science")</f>
        <v>View Full Record in Web of Science</v>
      </c>
    </row>
    <row r="615" spans="1:72" x14ac:dyDescent="0.15">
      <c r="A615" t="s">
        <v>72</v>
      </c>
      <c r="B615" t="s">
        <v>12059</v>
      </c>
      <c r="C615" t="s">
        <v>74</v>
      </c>
      <c r="D615" t="s">
        <v>74</v>
      </c>
      <c r="E615" t="s">
        <v>74</v>
      </c>
      <c r="F615" t="s">
        <v>12060</v>
      </c>
      <c r="G615" t="s">
        <v>74</v>
      </c>
      <c r="H615" t="s">
        <v>74</v>
      </c>
      <c r="I615" t="s">
        <v>12061</v>
      </c>
      <c r="J615" t="s">
        <v>2331</v>
      </c>
      <c r="K615" t="s">
        <v>74</v>
      </c>
      <c r="L615" t="s">
        <v>74</v>
      </c>
      <c r="M615" t="s">
        <v>78</v>
      </c>
      <c r="N615" t="s">
        <v>700</v>
      </c>
      <c r="O615" t="s">
        <v>74</v>
      </c>
      <c r="P615" t="s">
        <v>74</v>
      </c>
      <c r="Q615" t="s">
        <v>74</v>
      </c>
      <c r="R615" t="s">
        <v>74</v>
      </c>
      <c r="S615" t="s">
        <v>74</v>
      </c>
      <c r="T615" t="s">
        <v>12062</v>
      </c>
      <c r="U615" t="s">
        <v>12063</v>
      </c>
      <c r="V615" t="s">
        <v>12064</v>
      </c>
      <c r="W615" t="s">
        <v>12065</v>
      </c>
      <c r="X615" t="s">
        <v>12066</v>
      </c>
      <c r="Y615" t="s">
        <v>12067</v>
      </c>
      <c r="Z615" t="s">
        <v>12068</v>
      </c>
      <c r="AA615" t="s">
        <v>12069</v>
      </c>
      <c r="AB615" t="s">
        <v>74</v>
      </c>
      <c r="AC615" t="s">
        <v>12070</v>
      </c>
      <c r="AD615" t="s">
        <v>12071</v>
      </c>
      <c r="AE615" t="s">
        <v>12072</v>
      </c>
      <c r="AF615" t="s">
        <v>74</v>
      </c>
      <c r="AG615">
        <v>160</v>
      </c>
      <c r="AH615">
        <v>11</v>
      </c>
      <c r="AI615">
        <v>11</v>
      </c>
      <c r="AJ615">
        <v>1</v>
      </c>
      <c r="AK615">
        <v>4</v>
      </c>
      <c r="AL615" t="s">
        <v>89</v>
      </c>
      <c r="AM615" t="s">
        <v>90</v>
      </c>
      <c r="AN615" t="s">
        <v>91</v>
      </c>
      <c r="AO615" t="s">
        <v>2343</v>
      </c>
      <c r="AP615" t="s">
        <v>2344</v>
      </c>
      <c r="AQ615" t="s">
        <v>74</v>
      </c>
      <c r="AR615" t="s">
        <v>2345</v>
      </c>
      <c r="AS615" t="s">
        <v>2346</v>
      </c>
      <c r="AT615" t="s">
        <v>402</v>
      </c>
      <c r="AU615">
        <v>2021</v>
      </c>
      <c r="AV615">
        <v>220</v>
      </c>
      <c r="AW615" t="s">
        <v>74</v>
      </c>
      <c r="AX615" t="s">
        <v>74</v>
      </c>
      <c r="AY615" t="s">
        <v>74</v>
      </c>
      <c r="AZ615" t="s">
        <v>74</v>
      </c>
      <c r="BA615" t="s">
        <v>74</v>
      </c>
      <c r="BB615" t="s">
        <v>74</v>
      </c>
      <c r="BC615" t="s">
        <v>74</v>
      </c>
      <c r="BD615">
        <v>103671</v>
      </c>
      <c r="BE615" t="s">
        <v>12073</v>
      </c>
      <c r="BF615" t="str">
        <f>HYPERLINK("http://dx.doi.org/10.1016/j.earscirev.2021.103671","http://dx.doi.org/10.1016/j.earscirev.2021.103671")</f>
        <v>http://dx.doi.org/10.1016/j.earscirev.2021.103671</v>
      </c>
      <c r="BG615" t="s">
        <v>74</v>
      </c>
      <c r="BH615" t="s">
        <v>8134</v>
      </c>
      <c r="BI615">
        <v>25</v>
      </c>
      <c r="BJ615" t="s">
        <v>405</v>
      </c>
      <c r="BK615" t="s">
        <v>128</v>
      </c>
      <c r="BL615" t="s">
        <v>406</v>
      </c>
      <c r="BM615" t="s">
        <v>12074</v>
      </c>
      <c r="BN615" t="s">
        <v>74</v>
      </c>
      <c r="BO615" t="s">
        <v>2125</v>
      </c>
      <c r="BP615" t="s">
        <v>74</v>
      </c>
      <c r="BQ615" t="s">
        <v>74</v>
      </c>
      <c r="BR615" t="s">
        <v>102</v>
      </c>
      <c r="BS615" t="s">
        <v>12075</v>
      </c>
      <c r="BT615" t="str">
        <f>HYPERLINK("https%3A%2F%2Fwww.webofscience.com%2Fwos%2Fwoscc%2Ffull-record%2FWOS:000701772400002","View Full Record in Web of Science")</f>
        <v>View Full Record in Web of Science</v>
      </c>
    </row>
    <row r="616" spans="1:72" x14ac:dyDescent="0.15">
      <c r="A616" t="s">
        <v>72</v>
      </c>
      <c r="B616" t="s">
        <v>12076</v>
      </c>
      <c r="C616" t="s">
        <v>74</v>
      </c>
      <c r="D616" t="s">
        <v>74</v>
      </c>
      <c r="E616" t="s">
        <v>74</v>
      </c>
      <c r="F616" t="s">
        <v>12077</v>
      </c>
      <c r="G616" t="s">
        <v>74</v>
      </c>
      <c r="H616" t="s">
        <v>74</v>
      </c>
      <c r="I616" t="s">
        <v>12078</v>
      </c>
      <c r="J616" t="s">
        <v>12079</v>
      </c>
      <c r="K616" t="s">
        <v>74</v>
      </c>
      <c r="L616" t="s">
        <v>74</v>
      </c>
      <c r="M616" t="s">
        <v>78</v>
      </c>
      <c r="N616" t="s">
        <v>79</v>
      </c>
      <c r="O616" t="s">
        <v>74</v>
      </c>
      <c r="P616" t="s">
        <v>74</v>
      </c>
      <c r="Q616" t="s">
        <v>74</v>
      </c>
      <c r="R616" t="s">
        <v>74</v>
      </c>
      <c r="S616" t="s">
        <v>74</v>
      </c>
      <c r="T616" t="s">
        <v>12080</v>
      </c>
      <c r="U616" t="s">
        <v>12081</v>
      </c>
      <c r="V616" t="s">
        <v>12082</v>
      </c>
      <c r="W616" t="s">
        <v>12083</v>
      </c>
      <c r="X616" t="s">
        <v>12084</v>
      </c>
      <c r="Y616" t="s">
        <v>12085</v>
      </c>
      <c r="Z616" t="s">
        <v>12086</v>
      </c>
      <c r="AA616" t="s">
        <v>74</v>
      </c>
      <c r="AB616" t="s">
        <v>12087</v>
      </c>
      <c r="AC616" t="s">
        <v>12088</v>
      </c>
      <c r="AD616" t="s">
        <v>12089</v>
      </c>
      <c r="AE616" t="s">
        <v>12090</v>
      </c>
      <c r="AF616" t="s">
        <v>74</v>
      </c>
      <c r="AG616">
        <v>70</v>
      </c>
      <c r="AH616">
        <v>4</v>
      </c>
      <c r="AI616">
        <v>6</v>
      </c>
      <c r="AJ616">
        <v>0</v>
      </c>
      <c r="AK616">
        <v>10</v>
      </c>
      <c r="AL616" t="s">
        <v>2939</v>
      </c>
      <c r="AM616" t="s">
        <v>2940</v>
      </c>
      <c r="AN616" t="s">
        <v>2941</v>
      </c>
      <c r="AO616" t="s">
        <v>12091</v>
      </c>
      <c r="AP616" t="s">
        <v>12092</v>
      </c>
      <c r="AQ616" t="s">
        <v>74</v>
      </c>
      <c r="AR616" t="s">
        <v>12093</v>
      </c>
      <c r="AS616" t="s">
        <v>12094</v>
      </c>
      <c r="AT616" t="s">
        <v>535</v>
      </c>
      <c r="AU616">
        <v>2021</v>
      </c>
      <c r="AV616">
        <v>102</v>
      </c>
      <c r="AW616">
        <v>4</v>
      </c>
      <c r="AX616" t="s">
        <v>74</v>
      </c>
      <c r="AY616" t="s">
        <v>74</v>
      </c>
      <c r="AZ616" t="s">
        <v>74</v>
      </c>
      <c r="BA616" t="s">
        <v>74</v>
      </c>
      <c r="BB616">
        <v>1000</v>
      </c>
      <c r="BC616">
        <v>1008</v>
      </c>
      <c r="BD616" t="s">
        <v>74</v>
      </c>
      <c r="BE616" t="s">
        <v>12095</v>
      </c>
      <c r="BF616" t="str">
        <f>HYPERLINK("http://dx.doi.org/10.1093/jmammal/gyab058","http://dx.doi.org/10.1093/jmammal/gyab058")</f>
        <v>http://dx.doi.org/10.1093/jmammal/gyab058</v>
      </c>
      <c r="BG616" t="s">
        <v>74</v>
      </c>
      <c r="BH616" t="s">
        <v>8134</v>
      </c>
      <c r="BI616">
        <v>9</v>
      </c>
      <c r="BJ616" t="s">
        <v>2197</v>
      </c>
      <c r="BK616" t="s">
        <v>128</v>
      </c>
      <c r="BL616" t="s">
        <v>2197</v>
      </c>
      <c r="BM616" t="s">
        <v>12096</v>
      </c>
      <c r="BN616" t="s">
        <v>74</v>
      </c>
      <c r="BO616" t="s">
        <v>74</v>
      </c>
      <c r="BP616" t="s">
        <v>74</v>
      </c>
      <c r="BQ616" t="s">
        <v>74</v>
      </c>
      <c r="BR616" t="s">
        <v>102</v>
      </c>
      <c r="BS616" t="s">
        <v>12097</v>
      </c>
      <c r="BT616" t="str">
        <f>HYPERLINK("https%3A%2F%2Fwww.webofscience.com%2Fwos%2Fwoscc%2Ffull-record%2FWOS:000687755600003","View Full Record in Web of Science")</f>
        <v>View Full Record in Web of Science</v>
      </c>
    </row>
    <row r="617" spans="1:72" x14ac:dyDescent="0.15">
      <c r="A617" t="s">
        <v>72</v>
      </c>
      <c r="B617" t="s">
        <v>12098</v>
      </c>
      <c r="C617" t="s">
        <v>74</v>
      </c>
      <c r="D617" t="s">
        <v>74</v>
      </c>
      <c r="E617" t="s">
        <v>74</v>
      </c>
      <c r="F617" t="s">
        <v>12099</v>
      </c>
      <c r="G617" t="s">
        <v>74</v>
      </c>
      <c r="H617" t="s">
        <v>74</v>
      </c>
      <c r="I617" t="s">
        <v>12100</v>
      </c>
      <c r="J617" t="s">
        <v>3187</v>
      </c>
      <c r="K617" t="s">
        <v>74</v>
      </c>
      <c r="L617" t="s">
        <v>74</v>
      </c>
      <c r="M617" t="s">
        <v>78</v>
      </c>
      <c r="N617" t="s">
        <v>79</v>
      </c>
      <c r="O617" t="s">
        <v>74</v>
      </c>
      <c r="P617" t="s">
        <v>74</v>
      </c>
      <c r="Q617" t="s">
        <v>74</v>
      </c>
      <c r="R617" t="s">
        <v>74</v>
      </c>
      <c r="S617" t="s">
        <v>74</v>
      </c>
      <c r="T617" t="s">
        <v>12101</v>
      </c>
      <c r="U617" t="s">
        <v>12102</v>
      </c>
      <c r="V617" t="s">
        <v>12103</v>
      </c>
      <c r="W617" t="s">
        <v>12104</v>
      </c>
      <c r="X617" t="s">
        <v>12105</v>
      </c>
      <c r="Y617" t="s">
        <v>12106</v>
      </c>
      <c r="Z617" t="s">
        <v>12107</v>
      </c>
      <c r="AA617" t="s">
        <v>12108</v>
      </c>
      <c r="AB617" t="s">
        <v>12109</v>
      </c>
      <c r="AC617" t="s">
        <v>74</v>
      </c>
      <c r="AD617" t="s">
        <v>74</v>
      </c>
      <c r="AE617" t="s">
        <v>74</v>
      </c>
      <c r="AF617" t="s">
        <v>74</v>
      </c>
      <c r="AG617">
        <v>47</v>
      </c>
      <c r="AH617">
        <v>9</v>
      </c>
      <c r="AI617">
        <v>9</v>
      </c>
      <c r="AJ617">
        <v>1</v>
      </c>
      <c r="AK617">
        <v>8</v>
      </c>
      <c r="AL617" t="s">
        <v>89</v>
      </c>
      <c r="AM617" t="s">
        <v>90</v>
      </c>
      <c r="AN617" t="s">
        <v>91</v>
      </c>
      <c r="AO617" t="s">
        <v>3200</v>
      </c>
      <c r="AP617" t="s">
        <v>3201</v>
      </c>
      <c r="AQ617" t="s">
        <v>74</v>
      </c>
      <c r="AR617" t="s">
        <v>3202</v>
      </c>
      <c r="AS617" t="s">
        <v>3203</v>
      </c>
      <c r="AT617" t="s">
        <v>535</v>
      </c>
      <c r="AU617">
        <v>2021</v>
      </c>
      <c r="AV617">
        <v>203</v>
      </c>
      <c r="AW617" t="s">
        <v>74</v>
      </c>
      <c r="AX617" t="s">
        <v>74</v>
      </c>
      <c r="AY617" t="s">
        <v>74</v>
      </c>
      <c r="AZ617" t="s">
        <v>74</v>
      </c>
      <c r="BA617" t="s">
        <v>74</v>
      </c>
      <c r="BB617" t="s">
        <v>74</v>
      </c>
      <c r="BC617" t="s">
        <v>74</v>
      </c>
      <c r="BD617">
        <v>103522</v>
      </c>
      <c r="BE617" t="s">
        <v>12110</v>
      </c>
      <c r="BF617" t="str">
        <f>HYPERLINK("http://dx.doi.org/10.1016/j.gloplacha.2021.103522","http://dx.doi.org/10.1016/j.gloplacha.2021.103522")</f>
        <v>http://dx.doi.org/10.1016/j.gloplacha.2021.103522</v>
      </c>
      <c r="BG617" t="s">
        <v>74</v>
      </c>
      <c r="BH617" t="s">
        <v>8134</v>
      </c>
      <c r="BI617">
        <v>11</v>
      </c>
      <c r="BJ617" t="s">
        <v>151</v>
      </c>
      <c r="BK617" t="s">
        <v>128</v>
      </c>
      <c r="BL617" t="s">
        <v>152</v>
      </c>
      <c r="BM617" t="s">
        <v>12111</v>
      </c>
      <c r="BN617" t="s">
        <v>74</v>
      </c>
      <c r="BO617" t="s">
        <v>2125</v>
      </c>
      <c r="BP617" t="s">
        <v>74</v>
      </c>
      <c r="BQ617" t="s">
        <v>74</v>
      </c>
      <c r="BR617" t="s">
        <v>102</v>
      </c>
      <c r="BS617" t="s">
        <v>12112</v>
      </c>
      <c r="BT617" t="str">
        <f>HYPERLINK("https%3A%2F%2Fwww.webofscience.com%2Fwos%2Fwoscc%2Ffull-record%2FWOS:000675884600001","View Full Record in Web of Science")</f>
        <v>View Full Record in Web of Science</v>
      </c>
    </row>
    <row r="618" spans="1:72" x14ac:dyDescent="0.15">
      <c r="A618" t="s">
        <v>72</v>
      </c>
      <c r="B618" t="s">
        <v>12113</v>
      </c>
      <c r="C618" t="s">
        <v>74</v>
      </c>
      <c r="D618" t="s">
        <v>74</v>
      </c>
      <c r="E618" t="s">
        <v>74</v>
      </c>
      <c r="F618" t="s">
        <v>12114</v>
      </c>
      <c r="G618" t="s">
        <v>74</v>
      </c>
      <c r="H618" t="s">
        <v>74</v>
      </c>
      <c r="I618" t="s">
        <v>12115</v>
      </c>
      <c r="J618" t="s">
        <v>12116</v>
      </c>
      <c r="K618" t="s">
        <v>74</v>
      </c>
      <c r="L618" t="s">
        <v>74</v>
      </c>
      <c r="M618" t="s">
        <v>78</v>
      </c>
      <c r="N618" t="s">
        <v>79</v>
      </c>
      <c r="O618" t="s">
        <v>74</v>
      </c>
      <c r="P618" t="s">
        <v>74</v>
      </c>
      <c r="Q618" t="s">
        <v>74</v>
      </c>
      <c r="R618" t="s">
        <v>74</v>
      </c>
      <c r="S618" t="s">
        <v>74</v>
      </c>
      <c r="T618" t="s">
        <v>12117</v>
      </c>
      <c r="U618" t="s">
        <v>12118</v>
      </c>
      <c r="V618" t="s">
        <v>12119</v>
      </c>
      <c r="W618" t="s">
        <v>12120</v>
      </c>
      <c r="X618" t="s">
        <v>7116</v>
      </c>
      <c r="Y618" t="s">
        <v>12121</v>
      </c>
      <c r="Z618" t="s">
        <v>12122</v>
      </c>
      <c r="AA618" t="s">
        <v>74</v>
      </c>
      <c r="AB618" t="s">
        <v>74</v>
      </c>
      <c r="AC618" t="s">
        <v>12123</v>
      </c>
      <c r="AD618" t="s">
        <v>12124</v>
      </c>
      <c r="AE618" t="s">
        <v>12125</v>
      </c>
      <c r="AF618" t="s">
        <v>74</v>
      </c>
      <c r="AG618">
        <v>21</v>
      </c>
      <c r="AH618">
        <v>1</v>
      </c>
      <c r="AI618">
        <v>1</v>
      </c>
      <c r="AJ618">
        <v>0</v>
      </c>
      <c r="AK618">
        <v>4</v>
      </c>
      <c r="AL618" t="s">
        <v>450</v>
      </c>
      <c r="AM618" t="s">
        <v>650</v>
      </c>
      <c r="AN618" t="s">
        <v>1957</v>
      </c>
      <c r="AO618" t="s">
        <v>12126</v>
      </c>
      <c r="AP618" t="s">
        <v>12127</v>
      </c>
      <c r="AQ618" t="s">
        <v>74</v>
      </c>
      <c r="AR618" t="s">
        <v>12116</v>
      </c>
      <c r="AS618" t="s">
        <v>12128</v>
      </c>
      <c r="AT618" t="s">
        <v>430</v>
      </c>
      <c r="AU618">
        <v>2021</v>
      </c>
      <c r="AV618">
        <v>31</v>
      </c>
      <c r="AW618">
        <v>4</v>
      </c>
      <c r="AX618" t="s">
        <v>74</v>
      </c>
      <c r="AY618" t="s">
        <v>74</v>
      </c>
      <c r="AZ618" t="s">
        <v>74</v>
      </c>
      <c r="BA618" t="s">
        <v>74</v>
      </c>
      <c r="BB618">
        <v>519</v>
      </c>
      <c r="BC618">
        <v>525</v>
      </c>
      <c r="BD618" t="s">
        <v>74</v>
      </c>
      <c r="BE618" t="s">
        <v>12129</v>
      </c>
      <c r="BF618" t="str">
        <f>HYPERLINK("http://dx.doi.org/10.1007/s00572-021-01037-2","http://dx.doi.org/10.1007/s00572-021-01037-2")</f>
        <v>http://dx.doi.org/10.1007/s00572-021-01037-2</v>
      </c>
      <c r="BG618" t="s">
        <v>74</v>
      </c>
      <c r="BH618" t="s">
        <v>8134</v>
      </c>
      <c r="BI618">
        <v>7</v>
      </c>
      <c r="BJ618" t="s">
        <v>12130</v>
      </c>
      <c r="BK618" t="s">
        <v>128</v>
      </c>
      <c r="BL618" t="s">
        <v>12130</v>
      </c>
      <c r="BM618" t="s">
        <v>12131</v>
      </c>
      <c r="BN618">
        <v>34080064</v>
      </c>
      <c r="BO618" t="s">
        <v>74</v>
      </c>
      <c r="BP618" t="s">
        <v>74</v>
      </c>
      <c r="BQ618" t="s">
        <v>74</v>
      </c>
      <c r="BR618" t="s">
        <v>102</v>
      </c>
      <c r="BS618" t="s">
        <v>12132</v>
      </c>
      <c r="BT618" t="str">
        <f>HYPERLINK("https%3A%2F%2Fwww.webofscience.com%2Fwos%2Fwoscc%2Ffull-record%2FWOS:000657191200001","View Full Record in Web of Science")</f>
        <v>View Full Record in Web of Science</v>
      </c>
    </row>
    <row r="619" spans="1:72" x14ac:dyDescent="0.15">
      <c r="A619" t="s">
        <v>72</v>
      </c>
      <c r="B619" t="s">
        <v>12133</v>
      </c>
      <c r="C619" t="s">
        <v>74</v>
      </c>
      <c r="D619" t="s">
        <v>74</v>
      </c>
      <c r="E619" t="s">
        <v>74</v>
      </c>
      <c r="F619" t="s">
        <v>12134</v>
      </c>
      <c r="G619" t="s">
        <v>74</v>
      </c>
      <c r="H619" t="s">
        <v>74</v>
      </c>
      <c r="I619" t="s">
        <v>12135</v>
      </c>
      <c r="J619" t="s">
        <v>12136</v>
      </c>
      <c r="K619" t="s">
        <v>74</v>
      </c>
      <c r="L619" t="s">
        <v>74</v>
      </c>
      <c r="M619" t="s">
        <v>78</v>
      </c>
      <c r="N619" t="s">
        <v>79</v>
      </c>
      <c r="O619" t="s">
        <v>74</v>
      </c>
      <c r="P619" t="s">
        <v>74</v>
      </c>
      <c r="Q619" t="s">
        <v>74</v>
      </c>
      <c r="R619" t="s">
        <v>74</v>
      </c>
      <c r="S619" t="s">
        <v>74</v>
      </c>
      <c r="T619" t="s">
        <v>12137</v>
      </c>
      <c r="U619" t="s">
        <v>12138</v>
      </c>
      <c r="V619" t="s">
        <v>12139</v>
      </c>
      <c r="W619" t="s">
        <v>12140</v>
      </c>
      <c r="X619" t="s">
        <v>12141</v>
      </c>
      <c r="Y619" t="s">
        <v>12142</v>
      </c>
      <c r="Z619" t="s">
        <v>12143</v>
      </c>
      <c r="AA619" t="s">
        <v>12144</v>
      </c>
      <c r="AB619" t="s">
        <v>12145</v>
      </c>
      <c r="AC619" t="s">
        <v>12146</v>
      </c>
      <c r="AD619" t="s">
        <v>12146</v>
      </c>
      <c r="AE619" t="s">
        <v>12147</v>
      </c>
      <c r="AF619" t="s">
        <v>74</v>
      </c>
      <c r="AG619">
        <v>68</v>
      </c>
      <c r="AH619">
        <v>3</v>
      </c>
      <c r="AI619">
        <v>3</v>
      </c>
      <c r="AJ619">
        <v>1</v>
      </c>
      <c r="AK619">
        <v>3</v>
      </c>
      <c r="AL619" t="s">
        <v>557</v>
      </c>
      <c r="AM619" t="s">
        <v>558</v>
      </c>
      <c r="AN619" t="s">
        <v>584</v>
      </c>
      <c r="AO619" t="s">
        <v>12148</v>
      </c>
      <c r="AP619" t="s">
        <v>12149</v>
      </c>
      <c r="AQ619" t="s">
        <v>74</v>
      </c>
      <c r="AR619" t="s">
        <v>12150</v>
      </c>
      <c r="AS619" t="s">
        <v>12151</v>
      </c>
      <c r="AT619" t="s">
        <v>4571</v>
      </c>
      <c r="AU619">
        <v>2021</v>
      </c>
      <c r="AV619">
        <v>149</v>
      </c>
      <c r="AW619">
        <v>6</v>
      </c>
      <c r="AX619" t="s">
        <v>74</v>
      </c>
      <c r="AY619" t="s">
        <v>74</v>
      </c>
      <c r="AZ619" t="s">
        <v>74</v>
      </c>
      <c r="BA619" t="s">
        <v>74</v>
      </c>
      <c r="BB619">
        <v>1987</v>
      </c>
      <c r="BC619">
        <v>2010</v>
      </c>
      <c r="BD619" t="s">
        <v>74</v>
      </c>
      <c r="BE619" t="s">
        <v>12152</v>
      </c>
      <c r="BF619" t="str">
        <f>HYPERLINK("http://dx.doi.org/10.1175/MWR-D-20-0314.1","http://dx.doi.org/10.1175/MWR-D-20-0314.1")</f>
        <v>http://dx.doi.org/10.1175/MWR-D-20-0314.1</v>
      </c>
      <c r="BG619" t="s">
        <v>74</v>
      </c>
      <c r="BH619" t="s">
        <v>74</v>
      </c>
      <c r="BI619">
        <v>24</v>
      </c>
      <c r="BJ619" t="s">
        <v>567</v>
      </c>
      <c r="BK619" t="s">
        <v>128</v>
      </c>
      <c r="BL619" t="s">
        <v>567</v>
      </c>
      <c r="BM619" t="s">
        <v>12153</v>
      </c>
      <c r="BN619" t="s">
        <v>74</v>
      </c>
      <c r="BO619" t="s">
        <v>74</v>
      </c>
      <c r="BP619" t="s">
        <v>74</v>
      </c>
      <c r="BQ619" t="s">
        <v>74</v>
      </c>
      <c r="BR619" t="s">
        <v>102</v>
      </c>
      <c r="BS619" t="s">
        <v>12154</v>
      </c>
      <c r="BT619" t="str">
        <f>HYPERLINK("https%3A%2F%2Fwww.webofscience.com%2Fwos%2Fwoscc%2Ffull-record%2FWOS:000747034600018","View Full Record in Web of Science")</f>
        <v>View Full Record in Web of Science</v>
      </c>
    </row>
    <row r="620" spans="1:72" x14ac:dyDescent="0.15">
      <c r="A620" t="s">
        <v>72</v>
      </c>
      <c r="B620" t="s">
        <v>12155</v>
      </c>
      <c r="C620" t="s">
        <v>74</v>
      </c>
      <c r="D620" t="s">
        <v>74</v>
      </c>
      <c r="E620" t="s">
        <v>74</v>
      </c>
      <c r="F620" t="s">
        <v>12156</v>
      </c>
      <c r="G620" t="s">
        <v>74</v>
      </c>
      <c r="H620" t="s">
        <v>74</v>
      </c>
      <c r="I620" t="s">
        <v>12157</v>
      </c>
      <c r="J620" t="s">
        <v>12158</v>
      </c>
      <c r="K620" t="s">
        <v>74</v>
      </c>
      <c r="L620" t="s">
        <v>74</v>
      </c>
      <c r="M620" t="s">
        <v>78</v>
      </c>
      <c r="N620" t="s">
        <v>79</v>
      </c>
      <c r="O620" t="s">
        <v>74</v>
      </c>
      <c r="P620" t="s">
        <v>74</v>
      </c>
      <c r="Q620" t="s">
        <v>74</v>
      </c>
      <c r="R620" t="s">
        <v>74</v>
      </c>
      <c r="S620" t="s">
        <v>74</v>
      </c>
      <c r="T620" t="s">
        <v>12159</v>
      </c>
      <c r="U620" t="s">
        <v>12160</v>
      </c>
      <c r="V620" t="s">
        <v>12161</v>
      </c>
      <c r="W620" t="s">
        <v>12162</v>
      </c>
      <c r="X620" t="s">
        <v>12163</v>
      </c>
      <c r="Y620" t="s">
        <v>12164</v>
      </c>
      <c r="Z620" t="s">
        <v>12165</v>
      </c>
      <c r="AA620" t="s">
        <v>12166</v>
      </c>
      <c r="AB620" t="s">
        <v>12167</v>
      </c>
      <c r="AC620" t="s">
        <v>74</v>
      </c>
      <c r="AD620" t="s">
        <v>74</v>
      </c>
      <c r="AE620" t="s">
        <v>74</v>
      </c>
      <c r="AF620" t="s">
        <v>74</v>
      </c>
      <c r="AG620">
        <v>61</v>
      </c>
      <c r="AH620">
        <v>0</v>
      </c>
      <c r="AI620">
        <v>0</v>
      </c>
      <c r="AJ620">
        <v>0</v>
      </c>
      <c r="AK620">
        <v>3</v>
      </c>
      <c r="AL620" t="s">
        <v>12168</v>
      </c>
      <c r="AM620" t="s">
        <v>12169</v>
      </c>
      <c r="AN620" t="s">
        <v>12170</v>
      </c>
      <c r="AO620" t="s">
        <v>12171</v>
      </c>
      <c r="AP620" t="s">
        <v>12172</v>
      </c>
      <c r="AQ620" t="s">
        <v>74</v>
      </c>
      <c r="AR620" t="s">
        <v>12173</v>
      </c>
      <c r="AS620" t="s">
        <v>12174</v>
      </c>
      <c r="AT620" t="s">
        <v>4571</v>
      </c>
      <c r="AU620">
        <v>2021</v>
      </c>
      <c r="AV620">
        <v>15</v>
      </c>
      <c r="AW620">
        <v>2</v>
      </c>
      <c r="AX620" t="s">
        <v>74</v>
      </c>
      <c r="AY620" t="s">
        <v>74</v>
      </c>
      <c r="AZ620" t="s">
        <v>74</v>
      </c>
      <c r="BA620" t="s">
        <v>74</v>
      </c>
      <c r="BB620" t="s">
        <v>74</v>
      </c>
      <c r="BC620" t="s">
        <v>74</v>
      </c>
      <c r="BD620">
        <v>2021038</v>
      </c>
      <c r="BE620" t="s">
        <v>12175</v>
      </c>
      <c r="BF620" t="str">
        <f>HYPERLINK("http://dx.doi.org/10.5572/ajae.2021.038","http://dx.doi.org/10.5572/ajae.2021.038")</f>
        <v>http://dx.doi.org/10.5572/ajae.2021.038</v>
      </c>
      <c r="BG620" t="s">
        <v>74</v>
      </c>
      <c r="BH620" t="s">
        <v>74</v>
      </c>
      <c r="BI620">
        <v>13</v>
      </c>
      <c r="BJ620" t="s">
        <v>12176</v>
      </c>
      <c r="BK620" t="s">
        <v>1819</v>
      </c>
      <c r="BL620" t="s">
        <v>12177</v>
      </c>
      <c r="BM620" t="s">
        <v>12178</v>
      </c>
      <c r="BN620" t="s">
        <v>74</v>
      </c>
      <c r="BO620" t="s">
        <v>154</v>
      </c>
      <c r="BP620" t="s">
        <v>74</v>
      </c>
      <c r="BQ620" t="s">
        <v>74</v>
      </c>
      <c r="BR620" t="s">
        <v>102</v>
      </c>
      <c r="BS620" t="s">
        <v>12179</v>
      </c>
      <c r="BT620" t="str">
        <f>HYPERLINK("https%3A%2F%2Fwww.webofscience.com%2Fwos%2Fwoscc%2Ffull-record%2FWOS:000750805100002","View Full Record in Web of Science")</f>
        <v>View Full Record in Web of Science</v>
      </c>
    </row>
    <row r="621" spans="1:72" x14ac:dyDescent="0.15">
      <c r="A621" t="s">
        <v>72</v>
      </c>
      <c r="B621" t="s">
        <v>12180</v>
      </c>
      <c r="C621" t="s">
        <v>74</v>
      </c>
      <c r="D621" t="s">
        <v>74</v>
      </c>
      <c r="E621" t="s">
        <v>74</v>
      </c>
      <c r="F621" t="s">
        <v>12181</v>
      </c>
      <c r="G621" t="s">
        <v>74</v>
      </c>
      <c r="H621" t="s">
        <v>74</v>
      </c>
      <c r="I621" t="s">
        <v>12182</v>
      </c>
      <c r="J621" t="s">
        <v>1826</v>
      </c>
      <c r="K621" t="s">
        <v>74</v>
      </c>
      <c r="L621" t="s">
        <v>74</v>
      </c>
      <c r="M621" t="s">
        <v>78</v>
      </c>
      <c r="N621" t="s">
        <v>79</v>
      </c>
      <c r="O621" t="s">
        <v>74</v>
      </c>
      <c r="P621" t="s">
        <v>74</v>
      </c>
      <c r="Q621" t="s">
        <v>74</v>
      </c>
      <c r="R621" t="s">
        <v>74</v>
      </c>
      <c r="S621" t="s">
        <v>74</v>
      </c>
      <c r="T621" t="s">
        <v>12183</v>
      </c>
      <c r="U621" t="s">
        <v>12184</v>
      </c>
      <c r="V621" t="s">
        <v>12185</v>
      </c>
      <c r="W621" t="s">
        <v>12186</v>
      </c>
      <c r="X621" t="s">
        <v>12187</v>
      </c>
      <c r="Y621" t="s">
        <v>12188</v>
      </c>
      <c r="Z621" t="s">
        <v>12189</v>
      </c>
      <c r="AA621" t="s">
        <v>74</v>
      </c>
      <c r="AB621" t="s">
        <v>74</v>
      </c>
      <c r="AC621" t="s">
        <v>12190</v>
      </c>
      <c r="AD621" t="s">
        <v>12191</v>
      </c>
      <c r="AE621" t="s">
        <v>12192</v>
      </c>
      <c r="AF621" t="s">
        <v>74</v>
      </c>
      <c r="AG621">
        <v>99</v>
      </c>
      <c r="AH621">
        <v>3</v>
      </c>
      <c r="AI621">
        <v>3</v>
      </c>
      <c r="AJ621">
        <v>1</v>
      </c>
      <c r="AK621">
        <v>2</v>
      </c>
      <c r="AL621" t="s">
        <v>557</v>
      </c>
      <c r="AM621" t="s">
        <v>558</v>
      </c>
      <c r="AN621" t="s">
        <v>584</v>
      </c>
      <c r="AO621" t="s">
        <v>1839</v>
      </c>
      <c r="AP621" t="s">
        <v>1840</v>
      </c>
      <c r="AQ621" t="s">
        <v>74</v>
      </c>
      <c r="AR621" t="s">
        <v>1841</v>
      </c>
      <c r="AS621" t="s">
        <v>1842</v>
      </c>
      <c r="AT621" t="s">
        <v>4571</v>
      </c>
      <c r="AU621">
        <v>2021</v>
      </c>
      <c r="AV621">
        <v>51</v>
      </c>
      <c r="AW621">
        <v>6</v>
      </c>
      <c r="AX621" t="s">
        <v>74</v>
      </c>
      <c r="AY621" t="s">
        <v>74</v>
      </c>
      <c r="AZ621" t="s">
        <v>74</v>
      </c>
      <c r="BA621" t="s">
        <v>74</v>
      </c>
      <c r="BB621">
        <v>1843</v>
      </c>
      <c r="BC621">
        <v>1873</v>
      </c>
      <c r="BD621" t="s">
        <v>74</v>
      </c>
      <c r="BE621" t="s">
        <v>12193</v>
      </c>
      <c r="BF621" t="str">
        <f>HYPERLINK("http://dx.doi.org/10.1175/JPO-D-20-0153.1","http://dx.doi.org/10.1175/JPO-D-20-0153.1")</f>
        <v>http://dx.doi.org/10.1175/JPO-D-20-0153.1</v>
      </c>
      <c r="BG621" t="s">
        <v>74</v>
      </c>
      <c r="BH621" t="s">
        <v>74</v>
      </c>
      <c r="BI621">
        <v>31</v>
      </c>
      <c r="BJ621" t="s">
        <v>1134</v>
      </c>
      <c r="BK621" t="s">
        <v>128</v>
      </c>
      <c r="BL621" t="s">
        <v>1134</v>
      </c>
      <c r="BM621" t="s">
        <v>12194</v>
      </c>
      <c r="BN621" t="s">
        <v>74</v>
      </c>
      <c r="BO621" t="s">
        <v>612</v>
      </c>
      <c r="BP621" t="s">
        <v>74</v>
      </c>
      <c r="BQ621" t="s">
        <v>74</v>
      </c>
      <c r="BR621" t="s">
        <v>102</v>
      </c>
      <c r="BS621" t="s">
        <v>12195</v>
      </c>
      <c r="BT621" t="str">
        <f>HYPERLINK("https%3A%2F%2Fwww.webofscience.com%2Fwos%2Fwoscc%2Ffull-record%2FWOS:000751705900008","View Full Record in Web of Science")</f>
        <v>View Full Record in Web of Science</v>
      </c>
    </row>
    <row r="622" spans="1:72" x14ac:dyDescent="0.15">
      <c r="A622" t="s">
        <v>72</v>
      </c>
      <c r="B622" t="s">
        <v>12196</v>
      </c>
      <c r="C622" t="s">
        <v>74</v>
      </c>
      <c r="D622" t="s">
        <v>74</v>
      </c>
      <c r="E622" t="s">
        <v>74</v>
      </c>
      <c r="F622" t="s">
        <v>12197</v>
      </c>
      <c r="G622" t="s">
        <v>74</v>
      </c>
      <c r="H622" t="s">
        <v>74</v>
      </c>
      <c r="I622" t="s">
        <v>12198</v>
      </c>
      <c r="J622" t="s">
        <v>12199</v>
      </c>
      <c r="K622" t="s">
        <v>74</v>
      </c>
      <c r="L622" t="s">
        <v>74</v>
      </c>
      <c r="M622" t="s">
        <v>78</v>
      </c>
      <c r="N622" t="s">
        <v>79</v>
      </c>
      <c r="O622" t="s">
        <v>74</v>
      </c>
      <c r="P622" t="s">
        <v>74</v>
      </c>
      <c r="Q622" t="s">
        <v>74</v>
      </c>
      <c r="R622" t="s">
        <v>74</v>
      </c>
      <c r="S622" t="s">
        <v>74</v>
      </c>
      <c r="T622" t="s">
        <v>12200</v>
      </c>
      <c r="U622" t="s">
        <v>12201</v>
      </c>
      <c r="V622" t="s">
        <v>12202</v>
      </c>
      <c r="W622" t="s">
        <v>12203</v>
      </c>
      <c r="X622" t="s">
        <v>12204</v>
      </c>
      <c r="Y622" t="s">
        <v>12205</v>
      </c>
      <c r="Z622" t="s">
        <v>12206</v>
      </c>
      <c r="AA622" t="s">
        <v>74</v>
      </c>
      <c r="AB622" t="s">
        <v>74</v>
      </c>
      <c r="AC622" t="s">
        <v>12207</v>
      </c>
      <c r="AD622" t="s">
        <v>12208</v>
      </c>
      <c r="AE622" t="s">
        <v>12209</v>
      </c>
      <c r="AF622" t="s">
        <v>74</v>
      </c>
      <c r="AG622">
        <v>34</v>
      </c>
      <c r="AH622">
        <v>0</v>
      </c>
      <c r="AI622">
        <v>1</v>
      </c>
      <c r="AJ622">
        <v>1</v>
      </c>
      <c r="AK622">
        <v>8</v>
      </c>
      <c r="AL622" t="s">
        <v>12210</v>
      </c>
      <c r="AM622" t="s">
        <v>12211</v>
      </c>
      <c r="AN622" t="s">
        <v>12212</v>
      </c>
      <c r="AO622" t="s">
        <v>12213</v>
      </c>
      <c r="AP622" t="s">
        <v>12214</v>
      </c>
      <c r="AQ622" t="s">
        <v>74</v>
      </c>
      <c r="AR622" t="s">
        <v>12215</v>
      </c>
      <c r="AS622" t="s">
        <v>12216</v>
      </c>
      <c r="AT622" t="s">
        <v>4571</v>
      </c>
      <c r="AU622">
        <v>2021</v>
      </c>
      <c r="AV622">
        <v>133</v>
      </c>
      <c r="AW622">
        <v>2</v>
      </c>
      <c r="AX622" t="s">
        <v>74</v>
      </c>
      <c r="AY622" t="s">
        <v>74</v>
      </c>
      <c r="AZ622" t="s">
        <v>74</v>
      </c>
      <c r="BA622" t="s">
        <v>74</v>
      </c>
      <c r="BB622">
        <v>202</v>
      </c>
      <c r="BC622">
        <v>214</v>
      </c>
      <c r="BD622" t="s">
        <v>74</v>
      </c>
      <c r="BE622" t="s">
        <v>12217</v>
      </c>
      <c r="BF622" t="str">
        <f>HYPERLINK("http://dx.doi.org/10.1676/19-00113","http://dx.doi.org/10.1676/19-00113")</f>
        <v>http://dx.doi.org/10.1676/19-00113</v>
      </c>
      <c r="BG622" t="s">
        <v>74</v>
      </c>
      <c r="BH622" t="s">
        <v>74</v>
      </c>
      <c r="BI622">
        <v>13</v>
      </c>
      <c r="BJ622" t="s">
        <v>2949</v>
      </c>
      <c r="BK622" t="s">
        <v>128</v>
      </c>
      <c r="BL622" t="s">
        <v>2197</v>
      </c>
      <c r="BM622" t="s">
        <v>12218</v>
      </c>
      <c r="BN622" t="s">
        <v>74</v>
      </c>
      <c r="BO622" t="s">
        <v>408</v>
      </c>
      <c r="BP622" t="s">
        <v>74</v>
      </c>
      <c r="BQ622" t="s">
        <v>74</v>
      </c>
      <c r="BR622" t="s">
        <v>102</v>
      </c>
      <c r="BS622" t="s">
        <v>12219</v>
      </c>
      <c r="BT622" t="str">
        <f>HYPERLINK("https%3A%2F%2Fwww.webofscience.com%2Fwos%2Fwoscc%2Ffull-record%2FWOS:000737558800003","View Full Record in Web of Science")</f>
        <v>View Full Record in Web of Science</v>
      </c>
    </row>
    <row r="623" spans="1:72" x14ac:dyDescent="0.15">
      <c r="A623" t="s">
        <v>72</v>
      </c>
      <c r="B623" t="s">
        <v>12220</v>
      </c>
      <c r="C623" t="s">
        <v>74</v>
      </c>
      <c r="D623" t="s">
        <v>74</v>
      </c>
      <c r="E623" t="s">
        <v>74</v>
      </c>
      <c r="F623" t="s">
        <v>12221</v>
      </c>
      <c r="G623" t="s">
        <v>74</v>
      </c>
      <c r="H623" t="s">
        <v>74</v>
      </c>
      <c r="I623" t="s">
        <v>12222</v>
      </c>
      <c r="J623" t="s">
        <v>12223</v>
      </c>
      <c r="K623" t="s">
        <v>74</v>
      </c>
      <c r="L623" t="s">
        <v>74</v>
      </c>
      <c r="M623" t="s">
        <v>78</v>
      </c>
      <c r="N623" t="s">
        <v>79</v>
      </c>
      <c r="O623" t="s">
        <v>74</v>
      </c>
      <c r="P623" t="s">
        <v>74</v>
      </c>
      <c r="Q623" t="s">
        <v>74</v>
      </c>
      <c r="R623" t="s">
        <v>74</v>
      </c>
      <c r="S623" t="s">
        <v>74</v>
      </c>
      <c r="T623" t="s">
        <v>12224</v>
      </c>
      <c r="U623" t="s">
        <v>12225</v>
      </c>
      <c r="V623" t="s">
        <v>12226</v>
      </c>
      <c r="W623" t="s">
        <v>12227</v>
      </c>
      <c r="X623" t="s">
        <v>12228</v>
      </c>
      <c r="Y623" t="s">
        <v>12229</v>
      </c>
      <c r="Z623" t="s">
        <v>12230</v>
      </c>
      <c r="AA623" t="s">
        <v>74</v>
      </c>
      <c r="AB623" t="s">
        <v>12231</v>
      </c>
      <c r="AC623" t="s">
        <v>12232</v>
      </c>
      <c r="AD623" t="s">
        <v>12233</v>
      </c>
      <c r="AE623" t="s">
        <v>12234</v>
      </c>
      <c r="AF623" t="s">
        <v>74</v>
      </c>
      <c r="AG623">
        <v>112</v>
      </c>
      <c r="AH623">
        <v>5</v>
      </c>
      <c r="AI623">
        <v>5</v>
      </c>
      <c r="AJ623">
        <v>3</v>
      </c>
      <c r="AK623">
        <v>12</v>
      </c>
      <c r="AL623" t="s">
        <v>450</v>
      </c>
      <c r="AM623" t="s">
        <v>650</v>
      </c>
      <c r="AN623" t="s">
        <v>1957</v>
      </c>
      <c r="AO623" t="s">
        <v>12235</v>
      </c>
      <c r="AP623" t="s">
        <v>12236</v>
      </c>
      <c r="AQ623" t="s">
        <v>74</v>
      </c>
      <c r="AR623" t="s">
        <v>12237</v>
      </c>
      <c r="AS623" t="s">
        <v>12238</v>
      </c>
      <c r="AT623" t="s">
        <v>4571</v>
      </c>
      <c r="AU623">
        <v>2021</v>
      </c>
      <c r="AV623">
        <v>80</v>
      </c>
      <c r="AW623">
        <v>12</v>
      </c>
      <c r="AX623" t="s">
        <v>74</v>
      </c>
      <c r="AY623" t="s">
        <v>74</v>
      </c>
      <c r="AZ623" t="s">
        <v>74</v>
      </c>
      <c r="BA623" t="s">
        <v>74</v>
      </c>
      <c r="BB623" t="s">
        <v>74</v>
      </c>
      <c r="BC623" t="s">
        <v>74</v>
      </c>
      <c r="BD623">
        <v>430</v>
      </c>
      <c r="BE623" t="s">
        <v>12239</v>
      </c>
      <c r="BF623" t="str">
        <f>HYPERLINK("http://dx.doi.org/10.1007/s12665-021-09713-4","http://dx.doi.org/10.1007/s12665-021-09713-4")</f>
        <v>http://dx.doi.org/10.1007/s12665-021-09713-4</v>
      </c>
      <c r="BG623" t="s">
        <v>74</v>
      </c>
      <c r="BH623" t="s">
        <v>74</v>
      </c>
      <c r="BI623">
        <v>16</v>
      </c>
      <c r="BJ623" t="s">
        <v>12240</v>
      </c>
      <c r="BK623" t="s">
        <v>128</v>
      </c>
      <c r="BL623" t="s">
        <v>12241</v>
      </c>
      <c r="BM623" t="s">
        <v>12242</v>
      </c>
      <c r="BN623" t="s">
        <v>74</v>
      </c>
      <c r="BO623" t="s">
        <v>74</v>
      </c>
      <c r="BP623" t="s">
        <v>74</v>
      </c>
      <c r="BQ623" t="s">
        <v>74</v>
      </c>
      <c r="BR623" t="s">
        <v>102</v>
      </c>
      <c r="BS623" t="s">
        <v>12243</v>
      </c>
      <c r="BT623" t="str">
        <f>HYPERLINK("https%3A%2F%2Fwww.webofscience.com%2Fwos%2Fwoscc%2Ffull-record%2FWOS:000723628500002","View Full Record in Web of Science")</f>
        <v>View Full Record in Web of Science</v>
      </c>
    </row>
    <row r="624" spans="1:72" x14ac:dyDescent="0.15">
      <c r="A624" t="s">
        <v>72</v>
      </c>
      <c r="B624" t="s">
        <v>12244</v>
      </c>
      <c r="C624" t="s">
        <v>74</v>
      </c>
      <c r="D624" t="s">
        <v>74</v>
      </c>
      <c r="E624" t="s">
        <v>74</v>
      </c>
      <c r="F624" t="s">
        <v>12245</v>
      </c>
      <c r="G624" t="s">
        <v>74</v>
      </c>
      <c r="H624" t="s">
        <v>74</v>
      </c>
      <c r="I624" t="s">
        <v>12246</v>
      </c>
      <c r="J624" t="s">
        <v>546</v>
      </c>
      <c r="K624" t="s">
        <v>74</v>
      </c>
      <c r="L624" t="s">
        <v>74</v>
      </c>
      <c r="M624" t="s">
        <v>78</v>
      </c>
      <c r="N624" t="s">
        <v>79</v>
      </c>
      <c r="O624" t="s">
        <v>74</v>
      </c>
      <c r="P624" t="s">
        <v>74</v>
      </c>
      <c r="Q624" t="s">
        <v>74</v>
      </c>
      <c r="R624" t="s">
        <v>74</v>
      </c>
      <c r="S624" t="s">
        <v>74</v>
      </c>
      <c r="T624" t="s">
        <v>12247</v>
      </c>
      <c r="U624" t="s">
        <v>12248</v>
      </c>
      <c r="V624" t="s">
        <v>12249</v>
      </c>
      <c r="W624" t="s">
        <v>12250</v>
      </c>
      <c r="X624" t="s">
        <v>12251</v>
      </c>
      <c r="Y624" t="s">
        <v>12252</v>
      </c>
      <c r="Z624" t="s">
        <v>12253</v>
      </c>
      <c r="AA624" t="s">
        <v>12254</v>
      </c>
      <c r="AB624" t="s">
        <v>12255</v>
      </c>
      <c r="AC624" t="s">
        <v>12256</v>
      </c>
      <c r="AD624" t="s">
        <v>12257</v>
      </c>
      <c r="AE624" t="s">
        <v>12258</v>
      </c>
      <c r="AF624" t="s">
        <v>74</v>
      </c>
      <c r="AG624">
        <v>89</v>
      </c>
      <c r="AH624">
        <v>57</v>
      </c>
      <c r="AI624">
        <v>58</v>
      </c>
      <c r="AJ624">
        <v>8</v>
      </c>
      <c r="AK624">
        <v>31</v>
      </c>
      <c r="AL624" t="s">
        <v>557</v>
      </c>
      <c r="AM624" t="s">
        <v>558</v>
      </c>
      <c r="AN624" t="s">
        <v>559</v>
      </c>
      <c r="AO624" t="s">
        <v>560</v>
      </c>
      <c r="AP624" t="s">
        <v>561</v>
      </c>
      <c r="AQ624" t="s">
        <v>74</v>
      </c>
      <c r="AR624" t="s">
        <v>562</v>
      </c>
      <c r="AS624" t="s">
        <v>563</v>
      </c>
      <c r="AT624" t="s">
        <v>4571</v>
      </c>
      <c r="AU624">
        <v>2021</v>
      </c>
      <c r="AV624">
        <v>102</v>
      </c>
      <c r="AW624">
        <v>6</v>
      </c>
      <c r="AX624" t="s">
        <v>74</v>
      </c>
      <c r="AY624" t="s">
        <v>74</v>
      </c>
      <c r="AZ624" t="s">
        <v>74</v>
      </c>
      <c r="BA624" t="s">
        <v>74</v>
      </c>
      <c r="BB624" t="s">
        <v>12259</v>
      </c>
      <c r="BC624" t="s">
        <v>12260</v>
      </c>
      <c r="BD624" t="s">
        <v>74</v>
      </c>
      <c r="BE624" t="s">
        <v>12261</v>
      </c>
      <c r="BF624" t="str">
        <f>HYPERLINK("http://dx.doi.org/10.1175/BAMS-D-20-0112.1","http://dx.doi.org/10.1175/BAMS-D-20-0112.1")</f>
        <v>http://dx.doi.org/10.1175/BAMS-D-20-0112.1</v>
      </c>
      <c r="BG624" t="s">
        <v>74</v>
      </c>
      <c r="BH624" t="s">
        <v>74</v>
      </c>
      <c r="BI624">
        <v>22</v>
      </c>
      <c r="BJ624" t="s">
        <v>567</v>
      </c>
      <c r="BK624" t="s">
        <v>128</v>
      </c>
      <c r="BL624" t="s">
        <v>567</v>
      </c>
      <c r="BM624" t="s">
        <v>12262</v>
      </c>
      <c r="BN624" t="s">
        <v>74</v>
      </c>
      <c r="BO624" t="s">
        <v>1845</v>
      </c>
      <c r="BP624" t="s">
        <v>74</v>
      </c>
      <c r="BQ624" t="s">
        <v>74</v>
      </c>
      <c r="BR624" t="s">
        <v>102</v>
      </c>
      <c r="BS624" t="s">
        <v>12263</v>
      </c>
      <c r="BT624" t="str">
        <f>HYPERLINK("https%3A%2F%2Fwww.webofscience.com%2Fwos%2Fwoscc%2Ffull-record%2FWOS:000718281800003","View Full Record in Web of Science")</f>
        <v>View Full Record in Web of Science</v>
      </c>
    </row>
    <row r="625" spans="1:72" x14ac:dyDescent="0.15">
      <c r="A625" t="s">
        <v>72</v>
      </c>
      <c r="B625" t="s">
        <v>12264</v>
      </c>
      <c r="C625" t="s">
        <v>74</v>
      </c>
      <c r="D625" t="s">
        <v>74</v>
      </c>
      <c r="E625" t="s">
        <v>74</v>
      </c>
      <c r="F625" t="s">
        <v>12265</v>
      </c>
      <c r="G625" t="s">
        <v>74</v>
      </c>
      <c r="H625" t="s">
        <v>74</v>
      </c>
      <c r="I625" t="s">
        <v>12266</v>
      </c>
      <c r="J625" t="s">
        <v>12267</v>
      </c>
      <c r="K625" t="s">
        <v>74</v>
      </c>
      <c r="L625" t="s">
        <v>74</v>
      </c>
      <c r="M625" t="s">
        <v>6414</v>
      </c>
      <c r="N625" t="s">
        <v>79</v>
      </c>
      <c r="O625" t="s">
        <v>74</v>
      </c>
      <c r="P625" t="s">
        <v>74</v>
      </c>
      <c r="Q625" t="s">
        <v>74</v>
      </c>
      <c r="R625" t="s">
        <v>74</v>
      </c>
      <c r="S625" t="s">
        <v>74</v>
      </c>
      <c r="T625" t="s">
        <v>12268</v>
      </c>
      <c r="U625" t="s">
        <v>12269</v>
      </c>
      <c r="V625" t="s">
        <v>12270</v>
      </c>
      <c r="W625" t="s">
        <v>12271</v>
      </c>
      <c r="X625" t="s">
        <v>12272</v>
      </c>
      <c r="Y625" t="s">
        <v>12273</v>
      </c>
      <c r="Z625" t="s">
        <v>12274</v>
      </c>
      <c r="AA625" t="s">
        <v>12275</v>
      </c>
      <c r="AB625" t="s">
        <v>12276</v>
      </c>
      <c r="AC625" t="s">
        <v>74</v>
      </c>
      <c r="AD625" t="s">
        <v>74</v>
      </c>
      <c r="AE625" t="s">
        <v>74</v>
      </c>
      <c r="AF625" t="s">
        <v>74</v>
      </c>
      <c r="AG625">
        <v>30</v>
      </c>
      <c r="AH625">
        <v>0</v>
      </c>
      <c r="AI625">
        <v>0</v>
      </c>
      <c r="AJ625">
        <v>1</v>
      </c>
      <c r="AK625">
        <v>5</v>
      </c>
      <c r="AL625" t="s">
        <v>12277</v>
      </c>
      <c r="AM625" t="s">
        <v>12278</v>
      </c>
      <c r="AN625" t="s">
        <v>12279</v>
      </c>
      <c r="AO625" t="s">
        <v>12280</v>
      </c>
      <c r="AP625" t="s">
        <v>12281</v>
      </c>
      <c r="AQ625" t="s">
        <v>74</v>
      </c>
      <c r="AR625" t="s">
        <v>12282</v>
      </c>
      <c r="AS625" t="s">
        <v>12283</v>
      </c>
      <c r="AT625" t="s">
        <v>4571</v>
      </c>
      <c r="AU625">
        <v>2021</v>
      </c>
      <c r="AV625">
        <v>78</v>
      </c>
      <c r="AW625">
        <v>1</v>
      </c>
      <c r="AX625" t="s">
        <v>74</v>
      </c>
      <c r="AY625" t="s">
        <v>74</v>
      </c>
      <c r="AZ625" t="s">
        <v>74</v>
      </c>
      <c r="BA625" t="s">
        <v>74</v>
      </c>
      <c r="BB625">
        <v>56</v>
      </c>
      <c r="BC625">
        <v>64</v>
      </c>
      <c r="BD625" t="s">
        <v>74</v>
      </c>
      <c r="BE625" t="s">
        <v>74</v>
      </c>
      <c r="BF625" t="s">
        <v>74</v>
      </c>
      <c r="BG625" t="s">
        <v>74</v>
      </c>
      <c r="BH625" t="s">
        <v>74</v>
      </c>
      <c r="BI625">
        <v>9</v>
      </c>
      <c r="BJ625" t="s">
        <v>1398</v>
      </c>
      <c r="BK625" t="s">
        <v>128</v>
      </c>
      <c r="BL625" t="s">
        <v>1398</v>
      </c>
      <c r="BM625" t="s">
        <v>12284</v>
      </c>
      <c r="BN625" t="s">
        <v>74</v>
      </c>
      <c r="BO625" t="s">
        <v>74</v>
      </c>
      <c r="BP625" t="s">
        <v>74</v>
      </c>
      <c r="BQ625" t="s">
        <v>74</v>
      </c>
      <c r="BR625" t="s">
        <v>102</v>
      </c>
      <c r="BS625" t="s">
        <v>12285</v>
      </c>
      <c r="BT625" t="str">
        <f>HYPERLINK("https%3A%2F%2Fwww.webofscience.com%2Fwos%2Fwoscc%2Ffull-record%2FWOS:000711017100005","View Full Record in Web of Science")</f>
        <v>View Full Record in Web of Science</v>
      </c>
    </row>
    <row r="626" spans="1:72" x14ac:dyDescent="0.15">
      <c r="A626" t="s">
        <v>72</v>
      </c>
      <c r="B626" t="s">
        <v>12286</v>
      </c>
      <c r="C626" t="s">
        <v>74</v>
      </c>
      <c r="D626" t="s">
        <v>74</v>
      </c>
      <c r="E626" t="s">
        <v>74</v>
      </c>
      <c r="F626" t="s">
        <v>12287</v>
      </c>
      <c r="G626" t="s">
        <v>74</v>
      </c>
      <c r="H626" t="s">
        <v>74</v>
      </c>
      <c r="I626" t="s">
        <v>12288</v>
      </c>
      <c r="J626" t="s">
        <v>12289</v>
      </c>
      <c r="K626" t="s">
        <v>74</v>
      </c>
      <c r="L626" t="s">
        <v>74</v>
      </c>
      <c r="M626" t="s">
        <v>78</v>
      </c>
      <c r="N626" t="s">
        <v>79</v>
      </c>
      <c r="O626" t="s">
        <v>74</v>
      </c>
      <c r="P626" t="s">
        <v>74</v>
      </c>
      <c r="Q626" t="s">
        <v>74</v>
      </c>
      <c r="R626" t="s">
        <v>74</v>
      </c>
      <c r="S626" t="s">
        <v>74</v>
      </c>
      <c r="T626" t="s">
        <v>12290</v>
      </c>
      <c r="U626" t="s">
        <v>74</v>
      </c>
      <c r="V626" t="s">
        <v>12291</v>
      </c>
      <c r="W626" t="s">
        <v>12292</v>
      </c>
      <c r="X626" t="s">
        <v>12293</v>
      </c>
      <c r="Y626" t="s">
        <v>12294</v>
      </c>
      <c r="Z626" t="s">
        <v>12295</v>
      </c>
      <c r="AA626" t="s">
        <v>12296</v>
      </c>
      <c r="AB626" t="s">
        <v>12297</v>
      </c>
      <c r="AC626" t="s">
        <v>12298</v>
      </c>
      <c r="AD626" t="s">
        <v>12299</v>
      </c>
      <c r="AE626" t="s">
        <v>12300</v>
      </c>
      <c r="AF626" t="s">
        <v>74</v>
      </c>
      <c r="AG626">
        <v>19</v>
      </c>
      <c r="AH626">
        <v>3</v>
      </c>
      <c r="AI626">
        <v>3</v>
      </c>
      <c r="AJ626">
        <v>0</v>
      </c>
      <c r="AK626">
        <v>0</v>
      </c>
      <c r="AL626" t="s">
        <v>6620</v>
      </c>
      <c r="AM626" t="s">
        <v>650</v>
      </c>
      <c r="AN626" t="s">
        <v>6621</v>
      </c>
      <c r="AO626" t="s">
        <v>12301</v>
      </c>
      <c r="AP626" t="s">
        <v>12302</v>
      </c>
      <c r="AQ626" t="s">
        <v>74</v>
      </c>
      <c r="AR626" t="s">
        <v>12303</v>
      </c>
      <c r="AS626" t="s">
        <v>12304</v>
      </c>
      <c r="AT626" t="s">
        <v>4571</v>
      </c>
      <c r="AU626">
        <v>2021</v>
      </c>
      <c r="AV626">
        <v>46</v>
      </c>
      <c r="AW626">
        <v>6</v>
      </c>
      <c r="AX626" t="s">
        <v>74</v>
      </c>
      <c r="AY626" t="s">
        <v>74</v>
      </c>
      <c r="AZ626" t="s">
        <v>74</v>
      </c>
      <c r="BA626" t="s">
        <v>74</v>
      </c>
      <c r="BB626">
        <v>365</v>
      </c>
      <c r="BC626">
        <v>371</v>
      </c>
      <c r="BD626" t="s">
        <v>74</v>
      </c>
      <c r="BE626" t="s">
        <v>12305</v>
      </c>
      <c r="BF626" t="str">
        <f>HYPERLINK("http://dx.doi.org/10.3103/S1068373921060029","http://dx.doi.org/10.3103/S1068373921060029")</f>
        <v>http://dx.doi.org/10.3103/S1068373921060029</v>
      </c>
      <c r="BG626" t="s">
        <v>74</v>
      </c>
      <c r="BH626" t="s">
        <v>74</v>
      </c>
      <c r="BI626">
        <v>7</v>
      </c>
      <c r="BJ626" t="s">
        <v>567</v>
      </c>
      <c r="BK626" t="s">
        <v>128</v>
      </c>
      <c r="BL626" t="s">
        <v>567</v>
      </c>
      <c r="BM626" t="s">
        <v>12306</v>
      </c>
      <c r="BN626" t="s">
        <v>74</v>
      </c>
      <c r="BO626" t="s">
        <v>74</v>
      </c>
      <c r="BP626" t="s">
        <v>74</v>
      </c>
      <c r="BQ626" t="s">
        <v>74</v>
      </c>
      <c r="BR626" t="s">
        <v>102</v>
      </c>
      <c r="BS626" t="s">
        <v>12307</v>
      </c>
      <c r="BT626" t="str">
        <f>HYPERLINK("https%3A%2F%2Fwww.webofscience.com%2Fwos%2Fwoscc%2Ffull-record%2FWOS:000701715500002","View Full Record in Web of Science")</f>
        <v>View Full Record in Web of Science</v>
      </c>
    </row>
    <row r="627" spans="1:72" x14ac:dyDescent="0.15">
      <c r="A627" t="s">
        <v>72</v>
      </c>
      <c r="B627" t="s">
        <v>12308</v>
      </c>
      <c r="C627" t="s">
        <v>74</v>
      </c>
      <c r="D627" t="s">
        <v>74</v>
      </c>
      <c r="E627" t="s">
        <v>74</v>
      </c>
      <c r="F627" t="s">
        <v>12309</v>
      </c>
      <c r="G627" t="s">
        <v>74</v>
      </c>
      <c r="H627" t="s">
        <v>74</v>
      </c>
      <c r="I627" t="s">
        <v>12310</v>
      </c>
      <c r="J627" t="s">
        <v>6632</v>
      </c>
      <c r="K627" t="s">
        <v>74</v>
      </c>
      <c r="L627" t="s">
        <v>74</v>
      </c>
      <c r="M627" t="s">
        <v>78</v>
      </c>
      <c r="N627" t="s">
        <v>79</v>
      </c>
      <c r="O627" t="s">
        <v>74</v>
      </c>
      <c r="P627" t="s">
        <v>74</v>
      </c>
      <c r="Q627" t="s">
        <v>74</v>
      </c>
      <c r="R627" t="s">
        <v>74</v>
      </c>
      <c r="S627" t="s">
        <v>74</v>
      </c>
      <c r="T627" t="s">
        <v>12311</v>
      </c>
      <c r="U627" t="s">
        <v>12312</v>
      </c>
      <c r="V627" t="s">
        <v>12313</v>
      </c>
      <c r="W627" t="s">
        <v>12314</v>
      </c>
      <c r="X627" t="s">
        <v>12315</v>
      </c>
      <c r="Y627" t="s">
        <v>12316</v>
      </c>
      <c r="Z627" t="s">
        <v>12317</v>
      </c>
      <c r="AA627" t="s">
        <v>74</v>
      </c>
      <c r="AB627" t="s">
        <v>74</v>
      </c>
      <c r="AC627" t="s">
        <v>74</v>
      </c>
      <c r="AD627" t="s">
        <v>74</v>
      </c>
      <c r="AE627" t="s">
        <v>74</v>
      </c>
      <c r="AF627" t="s">
        <v>74</v>
      </c>
      <c r="AG627">
        <v>31</v>
      </c>
      <c r="AH627">
        <v>5</v>
      </c>
      <c r="AI627">
        <v>5</v>
      </c>
      <c r="AJ627">
        <v>2</v>
      </c>
      <c r="AK627">
        <v>7</v>
      </c>
      <c r="AL627" t="s">
        <v>450</v>
      </c>
      <c r="AM627" t="s">
        <v>650</v>
      </c>
      <c r="AN627" t="s">
        <v>1957</v>
      </c>
      <c r="AO627" t="s">
        <v>6644</v>
      </c>
      <c r="AP627" t="s">
        <v>6645</v>
      </c>
      <c r="AQ627" t="s">
        <v>74</v>
      </c>
      <c r="AR627" t="s">
        <v>6646</v>
      </c>
      <c r="AS627" t="s">
        <v>6647</v>
      </c>
      <c r="AT627" t="s">
        <v>4571</v>
      </c>
      <c r="AU627">
        <v>2021</v>
      </c>
      <c r="AV627">
        <v>40</v>
      </c>
      <c r="AW627">
        <v>6</v>
      </c>
      <c r="AX627" t="s">
        <v>74</v>
      </c>
      <c r="AY627" t="s">
        <v>74</v>
      </c>
      <c r="AZ627" t="s">
        <v>74</v>
      </c>
      <c r="BA627" t="s">
        <v>74</v>
      </c>
      <c r="BB627">
        <v>92</v>
      </c>
      <c r="BC627">
        <v>99</v>
      </c>
      <c r="BD627" t="s">
        <v>74</v>
      </c>
      <c r="BE627" t="s">
        <v>12318</v>
      </c>
      <c r="BF627" t="str">
        <f>HYPERLINK("http://dx.doi.org/10.1007/s13131-020-1611-3","http://dx.doi.org/10.1007/s13131-020-1611-3")</f>
        <v>http://dx.doi.org/10.1007/s13131-020-1611-3</v>
      </c>
      <c r="BG627" t="s">
        <v>74</v>
      </c>
      <c r="BH627" t="s">
        <v>74</v>
      </c>
      <c r="BI627">
        <v>8</v>
      </c>
      <c r="BJ627" t="s">
        <v>1134</v>
      </c>
      <c r="BK627" t="s">
        <v>128</v>
      </c>
      <c r="BL627" t="s">
        <v>1134</v>
      </c>
      <c r="BM627" t="s">
        <v>12319</v>
      </c>
      <c r="BN627" t="s">
        <v>74</v>
      </c>
      <c r="BO627" t="s">
        <v>74</v>
      </c>
      <c r="BP627" t="s">
        <v>74</v>
      </c>
      <c r="BQ627" t="s">
        <v>74</v>
      </c>
      <c r="BR627" t="s">
        <v>102</v>
      </c>
      <c r="BS627" t="s">
        <v>12320</v>
      </c>
      <c r="BT627" t="str">
        <f>HYPERLINK("https%3A%2F%2Fwww.webofscience.com%2Fwos%2Fwoscc%2Ffull-record%2FWOS:000698674400011","View Full Record in Web of Science")</f>
        <v>View Full Record in Web of Science</v>
      </c>
    </row>
    <row r="628" spans="1:72" x14ac:dyDescent="0.15">
      <c r="A628" t="s">
        <v>72</v>
      </c>
      <c r="B628" t="s">
        <v>12321</v>
      </c>
      <c r="C628" t="s">
        <v>74</v>
      </c>
      <c r="D628" t="s">
        <v>74</v>
      </c>
      <c r="E628" t="s">
        <v>74</v>
      </c>
      <c r="F628" t="s">
        <v>12322</v>
      </c>
      <c r="G628" t="s">
        <v>74</v>
      </c>
      <c r="H628" t="s">
        <v>74</v>
      </c>
      <c r="I628" t="s">
        <v>12323</v>
      </c>
      <c r="J628" t="s">
        <v>12324</v>
      </c>
      <c r="K628" t="s">
        <v>74</v>
      </c>
      <c r="L628" t="s">
        <v>74</v>
      </c>
      <c r="M628" t="s">
        <v>78</v>
      </c>
      <c r="N628" t="s">
        <v>79</v>
      </c>
      <c r="O628" t="s">
        <v>74</v>
      </c>
      <c r="P628" t="s">
        <v>74</v>
      </c>
      <c r="Q628" t="s">
        <v>74</v>
      </c>
      <c r="R628" t="s">
        <v>74</v>
      </c>
      <c r="S628" t="s">
        <v>74</v>
      </c>
      <c r="T628" t="s">
        <v>12325</v>
      </c>
      <c r="U628" t="s">
        <v>12326</v>
      </c>
      <c r="V628" t="s">
        <v>12327</v>
      </c>
      <c r="W628" t="s">
        <v>12328</v>
      </c>
      <c r="X628" t="s">
        <v>12329</v>
      </c>
      <c r="Y628" t="s">
        <v>12330</v>
      </c>
      <c r="Z628" t="s">
        <v>12331</v>
      </c>
      <c r="AA628" t="s">
        <v>12332</v>
      </c>
      <c r="AB628" t="s">
        <v>12333</v>
      </c>
      <c r="AC628" t="s">
        <v>12334</v>
      </c>
      <c r="AD628" t="s">
        <v>12335</v>
      </c>
      <c r="AE628" t="s">
        <v>12336</v>
      </c>
      <c r="AF628" t="s">
        <v>74</v>
      </c>
      <c r="AG628">
        <v>28</v>
      </c>
      <c r="AH628">
        <v>4</v>
      </c>
      <c r="AI628">
        <v>4</v>
      </c>
      <c r="AJ628">
        <v>1</v>
      </c>
      <c r="AK628">
        <v>49</v>
      </c>
      <c r="AL628" t="s">
        <v>6362</v>
      </c>
      <c r="AM628" t="s">
        <v>865</v>
      </c>
      <c r="AN628" t="s">
        <v>6363</v>
      </c>
      <c r="AO628" t="s">
        <v>12337</v>
      </c>
      <c r="AP628" t="s">
        <v>12338</v>
      </c>
      <c r="AQ628" t="s">
        <v>74</v>
      </c>
      <c r="AR628" t="s">
        <v>12339</v>
      </c>
      <c r="AS628" t="s">
        <v>12340</v>
      </c>
      <c r="AT628" t="s">
        <v>4571</v>
      </c>
      <c r="AU628">
        <v>2021</v>
      </c>
      <c r="AV628">
        <v>87</v>
      </c>
      <c r="AW628">
        <v>12</v>
      </c>
      <c r="AX628" t="s">
        <v>74</v>
      </c>
      <c r="AY628" t="s">
        <v>74</v>
      </c>
      <c r="AZ628" t="s">
        <v>74</v>
      </c>
      <c r="BA628" t="s">
        <v>74</v>
      </c>
      <c r="BB628" t="s">
        <v>74</v>
      </c>
      <c r="BC628" t="s">
        <v>74</v>
      </c>
      <c r="BD628" t="s">
        <v>12341</v>
      </c>
      <c r="BE628" t="s">
        <v>12342</v>
      </c>
      <c r="BF628" t="str">
        <f>HYPERLINK("http://dx.doi.org/10.1128/AEM.00412-21","http://dx.doi.org/10.1128/AEM.00412-21")</f>
        <v>http://dx.doi.org/10.1128/AEM.00412-21</v>
      </c>
      <c r="BG628" t="s">
        <v>74</v>
      </c>
      <c r="BH628" t="s">
        <v>74</v>
      </c>
      <c r="BI628">
        <v>13</v>
      </c>
      <c r="BJ628" t="s">
        <v>4573</v>
      </c>
      <c r="BK628" t="s">
        <v>128</v>
      </c>
      <c r="BL628" t="s">
        <v>4573</v>
      </c>
      <c r="BM628" t="s">
        <v>12343</v>
      </c>
      <c r="BN628">
        <v>33771786</v>
      </c>
      <c r="BO628" t="s">
        <v>238</v>
      </c>
      <c r="BP628" t="s">
        <v>74</v>
      </c>
      <c r="BQ628" t="s">
        <v>74</v>
      </c>
      <c r="BR628" t="s">
        <v>102</v>
      </c>
      <c r="BS628" t="s">
        <v>12344</v>
      </c>
      <c r="BT628" t="str">
        <f>HYPERLINK("https%3A%2F%2Fwww.webofscience.com%2Fwos%2Fwoscc%2Ffull-record%2FWOS:000693242900016","View Full Record in Web of Science")</f>
        <v>View Full Record in Web of Science</v>
      </c>
    </row>
    <row r="629" spans="1:72" x14ac:dyDescent="0.15">
      <c r="A629" t="s">
        <v>72</v>
      </c>
      <c r="B629" t="s">
        <v>12345</v>
      </c>
      <c r="C629" t="s">
        <v>74</v>
      </c>
      <c r="D629" t="s">
        <v>74</v>
      </c>
      <c r="E629" t="s">
        <v>74</v>
      </c>
      <c r="F629" t="s">
        <v>12346</v>
      </c>
      <c r="G629" t="s">
        <v>74</v>
      </c>
      <c r="H629" t="s">
        <v>74</v>
      </c>
      <c r="I629" t="s">
        <v>12347</v>
      </c>
      <c r="J629" t="s">
        <v>12348</v>
      </c>
      <c r="K629" t="s">
        <v>74</v>
      </c>
      <c r="L629" t="s">
        <v>74</v>
      </c>
      <c r="M629" t="s">
        <v>78</v>
      </c>
      <c r="N629" t="s">
        <v>79</v>
      </c>
      <c r="O629" t="s">
        <v>74</v>
      </c>
      <c r="P629" t="s">
        <v>74</v>
      </c>
      <c r="Q629" t="s">
        <v>74</v>
      </c>
      <c r="R629" t="s">
        <v>74</v>
      </c>
      <c r="S629" t="s">
        <v>74</v>
      </c>
      <c r="T629" t="s">
        <v>12349</v>
      </c>
      <c r="U629" t="s">
        <v>12350</v>
      </c>
      <c r="V629" t="s">
        <v>12351</v>
      </c>
      <c r="W629" t="s">
        <v>12352</v>
      </c>
      <c r="X629" t="s">
        <v>12353</v>
      </c>
      <c r="Y629" t="s">
        <v>12354</v>
      </c>
      <c r="Z629" t="s">
        <v>12355</v>
      </c>
      <c r="AA629" t="s">
        <v>74</v>
      </c>
      <c r="AB629" t="s">
        <v>74</v>
      </c>
      <c r="AC629" t="s">
        <v>74</v>
      </c>
      <c r="AD629" t="s">
        <v>74</v>
      </c>
      <c r="AE629" t="s">
        <v>74</v>
      </c>
      <c r="AF629" t="s">
        <v>74</v>
      </c>
      <c r="AG629">
        <v>29</v>
      </c>
      <c r="AH629">
        <v>0</v>
      </c>
      <c r="AI629">
        <v>0</v>
      </c>
      <c r="AJ629">
        <v>0</v>
      </c>
      <c r="AK629">
        <v>2</v>
      </c>
      <c r="AL629" t="s">
        <v>12356</v>
      </c>
      <c r="AM629" t="s">
        <v>12357</v>
      </c>
      <c r="AN629" t="s">
        <v>12358</v>
      </c>
      <c r="AO629" t="s">
        <v>12359</v>
      </c>
      <c r="AP629" t="s">
        <v>12360</v>
      </c>
      <c r="AQ629" t="s">
        <v>74</v>
      </c>
      <c r="AR629" t="s">
        <v>12361</v>
      </c>
      <c r="AS629" t="s">
        <v>12362</v>
      </c>
      <c r="AT629" t="s">
        <v>4571</v>
      </c>
      <c r="AU629">
        <v>2021</v>
      </c>
      <c r="AV629">
        <v>6</v>
      </c>
      <c r="AW629">
        <v>1</v>
      </c>
      <c r="AX629" t="s">
        <v>74</v>
      </c>
      <c r="AY629" t="s">
        <v>74</v>
      </c>
      <c r="AZ629" t="s">
        <v>74</v>
      </c>
      <c r="BA629" t="s">
        <v>74</v>
      </c>
      <c r="BB629">
        <v>40</v>
      </c>
      <c r="BC629">
        <v>65</v>
      </c>
      <c r="BD629" t="s">
        <v>74</v>
      </c>
      <c r="BE629" t="s">
        <v>12363</v>
      </c>
      <c r="BF629" t="str">
        <f>HYPERLINK("http://dx.doi.org/10.1163/24519391-06010003","http://dx.doi.org/10.1163/24519391-06010003")</f>
        <v>http://dx.doi.org/10.1163/24519391-06010003</v>
      </c>
      <c r="BG629" t="s">
        <v>74</v>
      </c>
      <c r="BH629" t="s">
        <v>74</v>
      </c>
      <c r="BI629">
        <v>26</v>
      </c>
      <c r="BJ629" t="s">
        <v>12364</v>
      </c>
      <c r="BK629" t="s">
        <v>1819</v>
      </c>
      <c r="BL629" t="s">
        <v>12365</v>
      </c>
      <c r="BM629" t="s">
        <v>12366</v>
      </c>
      <c r="BN629" t="s">
        <v>74</v>
      </c>
      <c r="BO629" t="s">
        <v>74</v>
      </c>
      <c r="BP629" t="s">
        <v>74</v>
      </c>
      <c r="BQ629" t="s">
        <v>74</v>
      </c>
      <c r="BR629" t="s">
        <v>102</v>
      </c>
      <c r="BS629" t="s">
        <v>12367</v>
      </c>
      <c r="BT629" t="str">
        <f>HYPERLINK("https%3A%2F%2Fwww.webofscience.com%2Fwos%2Fwoscc%2Ffull-record%2FWOS:000680039300003","View Full Record in Web of Science")</f>
        <v>View Full Record in Web of Science</v>
      </c>
    </row>
    <row r="630" spans="1:72" x14ac:dyDescent="0.15">
      <c r="A630" t="s">
        <v>72</v>
      </c>
      <c r="B630" t="s">
        <v>12368</v>
      </c>
      <c r="C630" t="s">
        <v>74</v>
      </c>
      <c r="D630" t="s">
        <v>74</v>
      </c>
      <c r="E630" t="s">
        <v>74</v>
      </c>
      <c r="F630" t="s">
        <v>12369</v>
      </c>
      <c r="G630" t="s">
        <v>74</v>
      </c>
      <c r="H630" t="s">
        <v>74</v>
      </c>
      <c r="I630" t="s">
        <v>12370</v>
      </c>
      <c r="J630" t="s">
        <v>12371</v>
      </c>
      <c r="K630" t="s">
        <v>74</v>
      </c>
      <c r="L630" t="s">
        <v>74</v>
      </c>
      <c r="M630" t="s">
        <v>78</v>
      </c>
      <c r="N630" t="s">
        <v>79</v>
      </c>
      <c r="O630" t="s">
        <v>74</v>
      </c>
      <c r="P630" t="s">
        <v>74</v>
      </c>
      <c r="Q630" t="s">
        <v>74</v>
      </c>
      <c r="R630" t="s">
        <v>74</v>
      </c>
      <c r="S630" t="s">
        <v>74</v>
      </c>
      <c r="T630" t="s">
        <v>12372</v>
      </c>
      <c r="U630" t="s">
        <v>12373</v>
      </c>
      <c r="V630" t="s">
        <v>12374</v>
      </c>
      <c r="W630" t="s">
        <v>12375</v>
      </c>
      <c r="X630" t="s">
        <v>12376</v>
      </c>
      <c r="Y630" t="s">
        <v>12377</v>
      </c>
      <c r="Z630" t="s">
        <v>12378</v>
      </c>
      <c r="AA630" t="s">
        <v>12379</v>
      </c>
      <c r="AB630" t="s">
        <v>12380</v>
      </c>
      <c r="AC630" t="s">
        <v>12381</v>
      </c>
      <c r="AD630" t="s">
        <v>12382</v>
      </c>
      <c r="AE630" t="s">
        <v>12383</v>
      </c>
      <c r="AF630" t="s">
        <v>74</v>
      </c>
      <c r="AG630">
        <v>51</v>
      </c>
      <c r="AH630">
        <v>12</v>
      </c>
      <c r="AI630">
        <v>16</v>
      </c>
      <c r="AJ630">
        <v>1</v>
      </c>
      <c r="AK630">
        <v>32</v>
      </c>
      <c r="AL630" t="s">
        <v>1101</v>
      </c>
      <c r="AM630" t="s">
        <v>1102</v>
      </c>
      <c r="AN630" t="s">
        <v>1103</v>
      </c>
      <c r="AO630" t="s">
        <v>74</v>
      </c>
      <c r="AP630" t="s">
        <v>12384</v>
      </c>
      <c r="AQ630" t="s">
        <v>74</v>
      </c>
      <c r="AR630" t="s">
        <v>12385</v>
      </c>
      <c r="AS630" t="s">
        <v>12386</v>
      </c>
      <c r="AT630" t="s">
        <v>4571</v>
      </c>
      <c r="AU630">
        <v>2021</v>
      </c>
      <c r="AV630">
        <v>5</v>
      </c>
      <c r="AW630">
        <v>2</v>
      </c>
      <c r="AX630" t="s">
        <v>74</v>
      </c>
      <c r="AY630" t="s">
        <v>74</v>
      </c>
      <c r="AZ630" t="s">
        <v>74</v>
      </c>
      <c r="BA630" t="s">
        <v>74</v>
      </c>
      <c r="BB630" t="s">
        <v>74</v>
      </c>
      <c r="BC630" t="s">
        <v>74</v>
      </c>
      <c r="BD630">
        <v>43</v>
      </c>
      <c r="BE630" t="s">
        <v>12387</v>
      </c>
      <c r="BF630" t="str">
        <f>HYPERLINK("http://dx.doi.org/10.3390/drones5020043","http://dx.doi.org/10.3390/drones5020043")</f>
        <v>http://dx.doi.org/10.3390/drones5020043</v>
      </c>
      <c r="BG630" t="s">
        <v>74</v>
      </c>
      <c r="BH630" t="s">
        <v>74</v>
      </c>
      <c r="BI630">
        <v>20</v>
      </c>
      <c r="BJ630" t="s">
        <v>7660</v>
      </c>
      <c r="BK630" t="s">
        <v>128</v>
      </c>
      <c r="BL630" t="s">
        <v>7660</v>
      </c>
      <c r="BM630" t="s">
        <v>12388</v>
      </c>
      <c r="BN630" t="s">
        <v>74</v>
      </c>
      <c r="BO630" t="s">
        <v>638</v>
      </c>
      <c r="BP630" t="s">
        <v>74</v>
      </c>
      <c r="BQ630" t="s">
        <v>74</v>
      </c>
      <c r="BR630" t="s">
        <v>102</v>
      </c>
      <c r="BS630" t="s">
        <v>12389</v>
      </c>
      <c r="BT630" t="str">
        <f>HYPERLINK("https%3A%2F%2Fwww.webofscience.com%2Fwos%2Fwoscc%2Ffull-record%2FWOS:000683003500001","View Full Record in Web of Science")</f>
        <v>View Full Record in Web of Science</v>
      </c>
    </row>
    <row r="631" spans="1:72" x14ac:dyDescent="0.15">
      <c r="A631" t="s">
        <v>72</v>
      </c>
      <c r="B631" t="s">
        <v>12390</v>
      </c>
      <c r="C631" t="s">
        <v>74</v>
      </c>
      <c r="D631" t="s">
        <v>74</v>
      </c>
      <c r="E631" t="s">
        <v>74</v>
      </c>
      <c r="F631" t="s">
        <v>12391</v>
      </c>
      <c r="G631" t="s">
        <v>74</v>
      </c>
      <c r="H631" t="s">
        <v>74</v>
      </c>
      <c r="I631" t="s">
        <v>12392</v>
      </c>
      <c r="J631" t="s">
        <v>4330</v>
      </c>
      <c r="K631" t="s">
        <v>74</v>
      </c>
      <c r="L631" t="s">
        <v>74</v>
      </c>
      <c r="M631" t="s">
        <v>78</v>
      </c>
      <c r="N631" t="s">
        <v>79</v>
      </c>
      <c r="O631" t="s">
        <v>74</v>
      </c>
      <c r="P631" t="s">
        <v>74</v>
      </c>
      <c r="Q631" t="s">
        <v>74</v>
      </c>
      <c r="R631" t="s">
        <v>74</v>
      </c>
      <c r="S631" t="s">
        <v>74</v>
      </c>
      <c r="T631" t="s">
        <v>12393</v>
      </c>
      <c r="U631" t="s">
        <v>12394</v>
      </c>
      <c r="V631" t="s">
        <v>12395</v>
      </c>
      <c r="W631" t="s">
        <v>12396</v>
      </c>
      <c r="X631" t="s">
        <v>12397</v>
      </c>
      <c r="Y631" t="s">
        <v>12398</v>
      </c>
      <c r="Z631" t="s">
        <v>12399</v>
      </c>
      <c r="AA631" t="s">
        <v>12400</v>
      </c>
      <c r="AB631" t="s">
        <v>12401</v>
      </c>
      <c r="AC631" t="s">
        <v>12402</v>
      </c>
      <c r="AD631" t="s">
        <v>12403</v>
      </c>
      <c r="AE631" t="s">
        <v>12404</v>
      </c>
      <c r="AF631" t="s">
        <v>74</v>
      </c>
      <c r="AG631">
        <v>90</v>
      </c>
      <c r="AH631">
        <v>4</v>
      </c>
      <c r="AI631">
        <v>4</v>
      </c>
      <c r="AJ631">
        <v>2</v>
      </c>
      <c r="AK631">
        <v>13</v>
      </c>
      <c r="AL631" t="s">
        <v>281</v>
      </c>
      <c r="AM631" t="s">
        <v>228</v>
      </c>
      <c r="AN631" t="s">
        <v>282</v>
      </c>
      <c r="AO631" t="s">
        <v>4342</v>
      </c>
      <c r="AP631" t="s">
        <v>4343</v>
      </c>
      <c r="AQ631" t="s">
        <v>74</v>
      </c>
      <c r="AR631" t="s">
        <v>4344</v>
      </c>
      <c r="AS631" t="s">
        <v>4345</v>
      </c>
      <c r="AT631" t="s">
        <v>535</v>
      </c>
      <c r="AU631">
        <v>2021</v>
      </c>
      <c r="AV631">
        <v>169</v>
      </c>
      <c r="AW631" t="s">
        <v>74</v>
      </c>
      <c r="AX631" t="s">
        <v>74</v>
      </c>
      <c r="AY631" t="s">
        <v>74</v>
      </c>
      <c r="AZ631" t="s">
        <v>74</v>
      </c>
      <c r="BA631" t="s">
        <v>74</v>
      </c>
      <c r="BB631" t="s">
        <v>74</v>
      </c>
      <c r="BC631" t="s">
        <v>74</v>
      </c>
      <c r="BD631">
        <v>112464</v>
      </c>
      <c r="BE631" t="s">
        <v>12405</v>
      </c>
      <c r="BF631" t="str">
        <f>HYPERLINK("http://dx.doi.org/10.1016/j.marpolbul.2021.112464","http://dx.doi.org/10.1016/j.marpolbul.2021.112464")</f>
        <v>http://dx.doi.org/10.1016/j.marpolbul.2021.112464</v>
      </c>
      <c r="BG631" t="s">
        <v>74</v>
      </c>
      <c r="BH631" t="s">
        <v>8134</v>
      </c>
      <c r="BI631">
        <v>10</v>
      </c>
      <c r="BJ631" t="s">
        <v>127</v>
      </c>
      <c r="BK631" t="s">
        <v>128</v>
      </c>
      <c r="BL631" t="s">
        <v>129</v>
      </c>
      <c r="BM631" t="s">
        <v>12406</v>
      </c>
      <c r="BN631">
        <v>34087666</v>
      </c>
      <c r="BO631" t="s">
        <v>74</v>
      </c>
      <c r="BP631" t="s">
        <v>74</v>
      </c>
      <c r="BQ631" t="s">
        <v>74</v>
      </c>
      <c r="BR631" t="s">
        <v>102</v>
      </c>
      <c r="BS631" t="s">
        <v>12407</v>
      </c>
      <c r="BT631" t="str">
        <f>HYPERLINK("https%3A%2F%2Fwww.webofscience.com%2Fwos%2Fwoscc%2Ffull-record%2FWOS:000679317100012","View Full Record in Web of Science")</f>
        <v>View Full Record in Web of Science</v>
      </c>
    </row>
    <row r="632" spans="1:72" x14ac:dyDescent="0.15">
      <c r="A632" t="s">
        <v>72</v>
      </c>
      <c r="B632" t="s">
        <v>12408</v>
      </c>
      <c r="C632" t="s">
        <v>74</v>
      </c>
      <c r="D632" t="s">
        <v>74</v>
      </c>
      <c r="E632" t="s">
        <v>74</v>
      </c>
      <c r="F632" t="s">
        <v>12409</v>
      </c>
      <c r="G632" t="s">
        <v>74</v>
      </c>
      <c r="H632" t="s">
        <v>74</v>
      </c>
      <c r="I632" t="s">
        <v>12410</v>
      </c>
      <c r="J632" t="s">
        <v>12411</v>
      </c>
      <c r="K632" t="s">
        <v>74</v>
      </c>
      <c r="L632" t="s">
        <v>74</v>
      </c>
      <c r="M632" t="s">
        <v>78</v>
      </c>
      <c r="N632" t="s">
        <v>79</v>
      </c>
      <c r="O632" t="s">
        <v>74</v>
      </c>
      <c r="P632" t="s">
        <v>74</v>
      </c>
      <c r="Q632" t="s">
        <v>74</v>
      </c>
      <c r="R632" t="s">
        <v>74</v>
      </c>
      <c r="S632" t="s">
        <v>74</v>
      </c>
      <c r="T632" t="s">
        <v>12412</v>
      </c>
      <c r="U632" t="s">
        <v>12413</v>
      </c>
      <c r="V632" t="s">
        <v>12414</v>
      </c>
      <c r="W632" t="s">
        <v>12415</v>
      </c>
      <c r="X632" t="s">
        <v>12416</v>
      </c>
      <c r="Y632" t="s">
        <v>12417</v>
      </c>
      <c r="Z632" t="s">
        <v>12418</v>
      </c>
      <c r="AA632" t="s">
        <v>12419</v>
      </c>
      <c r="AB632" t="s">
        <v>12420</v>
      </c>
      <c r="AC632" t="s">
        <v>12421</v>
      </c>
      <c r="AD632" t="s">
        <v>12422</v>
      </c>
      <c r="AE632" t="s">
        <v>12423</v>
      </c>
      <c r="AF632" t="s">
        <v>74</v>
      </c>
      <c r="AG632">
        <v>84</v>
      </c>
      <c r="AH632">
        <v>8</v>
      </c>
      <c r="AI632">
        <v>8</v>
      </c>
      <c r="AJ632">
        <v>3</v>
      </c>
      <c r="AK632">
        <v>13</v>
      </c>
      <c r="AL632" t="s">
        <v>89</v>
      </c>
      <c r="AM632" t="s">
        <v>90</v>
      </c>
      <c r="AN632" t="s">
        <v>91</v>
      </c>
      <c r="AO632" t="s">
        <v>12424</v>
      </c>
      <c r="AP632" t="s">
        <v>12425</v>
      </c>
      <c r="AQ632" t="s">
        <v>74</v>
      </c>
      <c r="AR632" t="s">
        <v>12426</v>
      </c>
      <c r="AS632" t="s">
        <v>12427</v>
      </c>
      <c r="AT632" t="s">
        <v>535</v>
      </c>
      <c r="AU632">
        <v>2021</v>
      </c>
      <c r="AV632">
        <v>241</v>
      </c>
      <c r="AW632" t="s">
        <v>74</v>
      </c>
      <c r="AX632" t="s">
        <v>74</v>
      </c>
      <c r="AY632" t="s">
        <v>74</v>
      </c>
      <c r="AZ632" t="s">
        <v>74</v>
      </c>
      <c r="BA632" t="s">
        <v>74</v>
      </c>
      <c r="BB632" t="s">
        <v>74</v>
      </c>
      <c r="BC632" t="s">
        <v>74</v>
      </c>
      <c r="BD632">
        <v>105358</v>
      </c>
      <c r="BE632" t="s">
        <v>12428</v>
      </c>
      <c r="BF632" t="str">
        <f>HYPERLINK("http://dx.doi.org/10.1016/j.applanim.2021.105358","http://dx.doi.org/10.1016/j.applanim.2021.105358")</f>
        <v>http://dx.doi.org/10.1016/j.applanim.2021.105358</v>
      </c>
      <c r="BG632" t="s">
        <v>74</v>
      </c>
      <c r="BH632" t="s">
        <v>8134</v>
      </c>
      <c r="BI632">
        <v>10</v>
      </c>
      <c r="BJ632" t="s">
        <v>12429</v>
      </c>
      <c r="BK632" t="s">
        <v>100</v>
      </c>
      <c r="BL632" t="s">
        <v>12430</v>
      </c>
      <c r="BM632" t="s">
        <v>12431</v>
      </c>
      <c r="BN632" t="s">
        <v>74</v>
      </c>
      <c r="BO632" t="s">
        <v>74</v>
      </c>
      <c r="BP632" t="s">
        <v>74</v>
      </c>
      <c r="BQ632" t="s">
        <v>74</v>
      </c>
      <c r="BR632" t="s">
        <v>102</v>
      </c>
      <c r="BS632" t="s">
        <v>12432</v>
      </c>
      <c r="BT632" t="str">
        <f>HYPERLINK("https%3A%2F%2Fwww.webofscience.com%2Fwos%2Fwoscc%2Ffull-record%2FWOS:000679441200007","View Full Record in Web of Science")</f>
        <v>View Full Record in Web of Science</v>
      </c>
    </row>
    <row r="633" spans="1:72" x14ac:dyDescent="0.15">
      <c r="A633" t="s">
        <v>72</v>
      </c>
      <c r="B633" t="s">
        <v>12433</v>
      </c>
      <c r="C633" t="s">
        <v>74</v>
      </c>
      <c r="D633" t="s">
        <v>74</v>
      </c>
      <c r="E633" t="s">
        <v>74</v>
      </c>
      <c r="F633" t="s">
        <v>12434</v>
      </c>
      <c r="G633" t="s">
        <v>74</v>
      </c>
      <c r="H633" t="s">
        <v>74</v>
      </c>
      <c r="I633" t="s">
        <v>12435</v>
      </c>
      <c r="J633" t="s">
        <v>7755</v>
      </c>
      <c r="K633" t="s">
        <v>74</v>
      </c>
      <c r="L633" t="s">
        <v>74</v>
      </c>
      <c r="M633" t="s">
        <v>78</v>
      </c>
      <c r="N633" t="s">
        <v>79</v>
      </c>
      <c r="O633" t="s">
        <v>74</v>
      </c>
      <c r="P633" t="s">
        <v>74</v>
      </c>
      <c r="Q633" t="s">
        <v>74</v>
      </c>
      <c r="R633" t="s">
        <v>74</v>
      </c>
      <c r="S633" t="s">
        <v>74</v>
      </c>
      <c r="T633" t="s">
        <v>74</v>
      </c>
      <c r="U633" t="s">
        <v>12436</v>
      </c>
      <c r="V633" t="s">
        <v>12437</v>
      </c>
      <c r="W633" t="s">
        <v>12438</v>
      </c>
      <c r="X633" t="s">
        <v>12439</v>
      </c>
      <c r="Y633" t="s">
        <v>12440</v>
      </c>
      <c r="Z633" t="s">
        <v>12441</v>
      </c>
      <c r="AA633" t="s">
        <v>12442</v>
      </c>
      <c r="AB633" t="s">
        <v>12443</v>
      </c>
      <c r="AC633" t="s">
        <v>12444</v>
      </c>
      <c r="AD633" t="s">
        <v>12445</v>
      </c>
      <c r="AE633" t="s">
        <v>12446</v>
      </c>
      <c r="AF633" t="s">
        <v>74</v>
      </c>
      <c r="AG633">
        <v>36</v>
      </c>
      <c r="AH633">
        <v>43</v>
      </c>
      <c r="AI633">
        <v>50</v>
      </c>
      <c r="AJ633">
        <v>1</v>
      </c>
      <c r="AK633">
        <v>8</v>
      </c>
      <c r="AL633" t="s">
        <v>7767</v>
      </c>
      <c r="AM633" t="s">
        <v>865</v>
      </c>
      <c r="AN633" t="s">
        <v>7768</v>
      </c>
      <c r="AO633" t="s">
        <v>7769</v>
      </c>
      <c r="AP633" t="s">
        <v>74</v>
      </c>
      <c r="AQ633" t="s">
        <v>74</v>
      </c>
      <c r="AR633" t="s">
        <v>7770</v>
      </c>
      <c r="AS633" t="s">
        <v>7771</v>
      </c>
      <c r="AT633" t="s">
        <v>4571</v>
      </c>
      <c r="AU633">
        <v>2021</v>
      </c>
      <c r="AV633">
        <v>7</v>
      </c>
      <c r="AW633">
        <v>24</v>
      </c>
      <c r="AX633" t="s">
        <v>74</v>
      </c>
      <c r="AY633" t="s">
        <v>74</v>
      </c>
      <c r="AZ633" t="s">
        <v>74</v>
      </c>
      <c r="BA633" t="s">
        <v>74</v>
      </c>
      <c r="BB633" t="s">
        <v>74</v>
      </c>
      <c r="BC633" t="s">
        <v>74</v>
      </c>
      <c r="BD633" t="s">
        <v>12447</v>
      </c>
      <c r="BE633" t="s">
        <v>12448</v>
      </c>
      <c r="BF633" t="str">
        <f>HYPERLINK("http://dx.doi.org/10.1126/sciadv.abg3080","http://dx.doi.org/10.1126/sciadv.abg3080")</f>
        <v>http://dx.doi.org/10.1126/sciadv.abg3080</v>
      </c>
      <c r="BG633" t="s">
        <v>74</v>
      </c>
      <c r="BH633" t="s">
        <v>74</v>
      </c>
      <c r="BI633">
        <v>6</v>
      </c>
      <c r="BJ633" t="s">
        <v>2609</v>
      </c>
      <c r="BK633" t="s">
        <v>128</v>
      </c>
      <c r="BL633" t="s">
        <v>2610</v>
      </c>
      <c r="BM633" t="s">
        <v>12449</v>
      </c>
      <c r="BN633">
        <v>34117064</v>
      </c>
      <c r="BO633" t="s">
        <v>588</v>
      </c>
      <c r="BP633" t="s">
        <v>74</v>
      </c>
      <c r="BQ633" t="s">
        <v>74</v>
      </c>
      <c r="BR633" t="s">
        <v>102</v>
      </c>
      <c r="BS633" t="s">
        <v>12450</v>
      </c>
      <c r="BT633" t="str">
        <f>HYPERLINK("https%3A%2F%2Fwww.webofscience.com%2Fwos%2Fwoscc%2Ffull-record%2FWOS:000677572900013","View Full Record in Web of Science")</f>
        <v>View Full Record in Web of Science</v>
      </c>
    </row>
    <row r="634" spans="1:72" x14ac:dyDescent="0.15">
      <c r="A634" t="s">
        <v>72</v>
      </c>
      <c r="B634" t="s">
        <v>12451</v>
      </c>
      <c r="C634" t="s">
        <v>74</v>
      </c>
      <c r="D634" t="s">
        <v>74</v>
      </c>
      <c r="E634" t="s">
        <v>74</v>
      </c>
      <c r="F634" t="s">
        <v>12452</v>
      </c>
      <c r="G634" t="s">
        <v>74</v>
      </c>
      <c r="H634" t="s">
        <v>74</v>
      </c>
      <c r="I634" t="s">
        <v>12453</v>
      </c>
      <c r="J634" t="s">
        <v>1248</v>
      </c>
      <c r="K634" t="s">
        <v>74</v>
      </c>
      <c r="L634" t="s">
        <v>74</v>
      </c>
      <c r="M634" t="s">
        <v>78</v>
      </c>
      <c r="N634" t="s">
        <v>79</v>
      </c>
      <c r="O634" t="s">
        <v>74</v>
      </c>
      <c r="P634" t="s">
        <v>74</v>
      </c>
      <c r="Q634" t="s">
        <v>74</v>
      </c>
      <c r="R634" t="s">
        <v>74</v>
      </c>
      <c r="S634" t="s">
        <v>74</v>
      </c>
      <c r="T634" t="s">
        <v>12454</v>
      </c>
      <c r="U634" t="s">
        <v>12455</v>
      </c>
      <c r="V634" t="s">
        <v>12456</v>
      </c>
      <c r="W634" t="s">
        <v>12457</v>
      </c>
      <c r="X634" t="s">
        <v>12458</v>
      </c>
      <c r="Y634" t="s">
        <v>12459</v>
      </c>
      <c r="Z634" t="s">
        <v>12460</v>
      </c>
      <c r="AA634" t="s">
        <v>12461</v>
      </c>
      <c r="AB634" t="s">
        <v>12462</v>
      </c>
      <c r="AC634" t="s">
        <v>12463</v>
      </c>
      <c r="AD634" t="s">
        <v>12464</v>
      </c>
      <c r="AE634" t="s">
        <v>12465</v>
      </c>
      <c r="AF634" t="s">
        <v>74</v>
      </c>
      <c r="AG634">
        <v>67</v>
      </c>
      <c r="AH634">
        <v>15</v>
      </c>
      <c r="AI634">
        <v>15</v>
      </c>
      <c r="AJ634">
        <v>3</v>
      </c>
      <c r="AK634">
        <v>13</v>
      </c>
      <c r="AL634" t="s">
        <v>864</v>
      </c>
      <c r="AM634" t="s">
        <v>865</v>
      </c>
      <c r="AN634" t="s">
        <v>866</v>
      </c>
      <c r="AO634" t="s">
        <v>1261</v>
      </c>
      <c r="AP634" t="s">
        <v>1262</v>
      </c>
      <c r="AQ634" t="s">
        <v>74</v>
      </c>
      <c r="AR634" t="s">
        <v>1263</v>
      </c>
      <c r="AS634" t="s">
        <v>1264</v>
      </c>
      <c r="AT634" t="s">
        <v>4571</v>
      </c>
      <c r="AU634">
        <v>2021</v>
      </c>
      <c r="AV634">
        <v>126</v>
      </c>
      <c r="AW634">
        <v>6</v>
      </c>
      <c r="AX634" t="s">
        <v>74</v>
      </c>
      <c r="AY634" t="s">
        <v>74</v>
      </c>
      <c r="AZ634" t="s">
        <v>74</v>
      </c>
      <c r="BA634" t="s">
        <v>74</v>
      </c>
      <c r="BB634" t="s">
        <v>74</v>
      </c>
      <c r="BC634" t="s">
        <v>74</v>
      </c>
      <c r="BD634" t="s">
        <v>12466</v>
      </c>
      <c r="BE634" t="s">
        <v>12467</v>
      </c>
      <c r="BF634" t="str">
        <f>HYPERLINK("http://dx.doi.org/10.1029/2020JA029094","http://dx.doi.org/10.1029/2020JA029094")</f>
        <v>http://dx.doi.org/10.1029/2020JA029094</v>
      </c>
      <c r="BG634" t="s">
        <v>74</v>
      </c>
      <c r="BH634" t="s">
        <v>74</v>
      </c>
      <c r="BI634">
        <v>19</v>
      </c>
      <c r="BJ634" t="s">
        <v>1267</v>
      </c>
      <c r="BK634" t="s">
        <v>128</v>
      </c>
      <c r="BL634" t="s">
        <v>1267</v>
      </c>
      <c r="BM634" t="s">
        <v>12468</v>
      </c>
      <c r="BN634" t="s">
        <v>74</v>
      </c>
      <c r="BO634" t="s">
        <v>74</v>
      </c>
      <c r="BP634" t="s">
        <v>74</v>
      </c>
      <c r="BQ634" t="s">
        <v>74</v>
      </c>
      <c r="BR634" t="s">
        <v>102</v>
      </c>
      <c r="BS634" t="s">
        <v>12469</v>
      </c>
      <c r="BT634" t="str">
        <f>HYPERLINK("https%3A%2F%2Fwww.webofscience.com%2Fwos%2Fwoscc%2Ffull-record%2FWOS:000675837200046","View Full Record in Web of Science")</f>
        <v>View Full Record in Web of Science</v>
      </c>
    </row>
    <row r="635" spans="1:72" x14ac:dyDescent="0.15">
      <c r="A635" t="s">
        <v>72</v>
      </c>
      <c r="B635" t="s">
        <v>12470</v>
      </c>
      <c r="C635" t="s">
        <v>74</v>
      </c>
      <c r="D635" t="s">
        <v>74</v>
      </c>
      <c r="E635" t="s">
        <v>74</v>
      </c>
      <c r="F635" t="s">
        <v>12471</v>
      </c>
      <c r="G635" t="s">
        <v>74</v>
      </c>
      <c r="H635" t="s">
        <v>74</v>
      </c>
      <c r="I635" t="s">
        <v>12472</v>
      </c>
      <c r="J635" t="s">
        <v>1248</v>
      </c>
      <c r="K635" t="s">
        <v>74</v>
      </c>
      <c r="L635" t="s">
        <v>74</v>
      </c>
      <c r="M635" t="s">
        <v>78</v>
      </c>
      <c r="N635" t="s">
        <v>79</v>
      </c>
      <c r="O635" t="s">
        <v>74</v>
      </c>
      <c r="P635" t="s">
        <v>74</v>
      </c>
      <c r="Q635" t="s">
        <v>74</v>
      </c>
      <c r="R635" t="s">
        <v>74</v>
      </c>
      <c r="S635" t="s">
        <v>74</v>
      </c>
      <c r="T635" t="s">
        <v>74</v>
      </c>
      <c r="U635" t="s">
        <v>12473</v>
      </c>
      <c r="V635" t="s">
        <v>12474</v>
      </c>
      <c r="W635" t="s">
        <v>12475</v>
      </c>
      <c r="X635" t="s">
        <v>12476</v>
      </c>
      <c r="Y635" t="s">
        <v>12477</v>
      </c>
      <c r="Z635" t="s">
        <v>12478</v>
      </c>
      <c r="AA635" t="s">
        <v>12479</v>
      </c>
      <c r="AB635" t="s">
        <v>12480</v>
      </c>
      <c r="AC635" t="s">
        <v>12481</v>
      </c>
      <c r="AD635" t="s">
        <v>12482</v>
      </c>
      <c r="AE635" t="s">
        <v>12483</v>
      </c>
      <c r="AF635" t="s">
        <v>74</v>
      </c>
      <c r="AG635">
        <v>91</v>
      </c>
      <c r="AH635">
        <v>21</v>
      </c>
      <c r="AI635">
        <v>22</v>
      </c>
      <c r="AJ635">
        <v>5</v>
      </c>
      <c r="AK635">
        <v>32</v>
      </c>
      <c r="AL635" t="s">
        <v>864</v>
      </c>
      <c r="AM635" t="s">
        <v>865</v>
      </c>
      <c r="AN635" t="s">
        <v>866</v>
      </c>
      <c r="AO635" t="s">
        <v>1261</v>
      </c>
      <c r="AP635" t="s">
        <v>1262</v>
      </c>
      <c r="AQ635" t="s">
        <v>74</v>
      </c>
      <c r="AR635" t="s">
        <v>1263</v>
      </c>
      <c r="AS635" t="s">
        <v>1264</v>
      </c>
      <c r="AT635" t="s">
        <v>4571</v>
      </c>
      <c r="AU635">
        <v>2021</v>
      </c>
      <c r="AV635">
        <v>126</v>
      </c>
      <c r="AW635">
        <v>6</v>
      </c>
      <c r="AX635" t="s">
        <v>74</v>
      </c>
      <c r="AY635" t="s">
        <v>74</v>
      </c>
      <c r="AZ635" t="s">
        <v>74</v>
      </c>
      <c r="BA635" t="s">
        <v>74</v>
      </c>
      <c r="BB635" t="s">
        <v>74</v>
      </c>
      <c r="BC635" t="s">
        <v>74</v>
      </c>
      <c r="BD635" t="s">
        <v>12484</v>
      </c>
      <c r="BE635" t="s">
        <v>12485</v>
      </c>
      <c r="BF635" t="str">
        <f>HYPERLINK("http://dx.doi.org/10.1029/2021JA029286","http://dx.doi.org/10.1029/2021JA029286")</f>
        <v>http://dx.doi.org/10.1029/2021JA029286</v>
      </c>
      <c r="BG635" t="s">
        <v>74</v>
      </c>
      <c r="BH635" t="s">
        <v>74</v>
      </c>
      <c r="BI635">
        <v>20</v>
      </c>
      <c r="BJ635" t="s">
        <v>1267</v>
      </c>
      <c r="BK635" t="s">
        <v>128</v>
      </c>
      <c r="BL635" t="s">
        <v>1267</v>
      </c>
      <c r="BM635" t="s">
        <v>12468</v>
      </c>
      <c r="BN635" t="s">
        <v>74</v>
      </c>
      <c r="BO635" t="s">
        <v>2125</v>
      </c>
      <c r="BP635" t="s">
        <v>74</v>
      </c>
      <c r="BQ635" t="s">
        <v>74</v>
      </c>
      <c r="BR635" t="s">
        <v>102</v>
      </c>
      <c r="BS635" t="s">
        <v>12486</v>
      </c>
      <c r="BT635" t="str">
        <f>HYPERLINK("https%3A%2F%2Fwww.webofscience.com%2Fwos%2Fwoscc%2Ffull-record%2FWOS:000675837200035","View Full Record in Web of Science")</f>
        <v>View Full Record in Web of Science</v>
      </c>
    </row>
    <row r="636" spans="1:72" x14ac:dyDescent="0.15">
      <c r="A636" t="s">
        <v>72</v>
      </c>
      <c r="B636" t="s">
        <v>12487</v>
      </c>
      <c r="C636" t="s">
        <v>74</v>
      </c>
      <c r="D636" t="s">
        <v>74</v>
      </c>
      <c r="E636" t="s">
        <v>74</v>
      </c>
      <c r="F636" t="s">
        <v>12488</v>
      </c>
      <c r="G636" t="s">
        <v>74</v>
      </c>
      <c r="H636" t="s">
        <v>74</v>
      </c>
      <c r="I636" t="s">
        <v>12489</v>
      </c>
      <c r="J636" t="s">
        <v>12490</v>
      </c>
      <c r="K636" t="s">
        <v>74</v>
      </c>
      <c r="L636" t="s">
        <v>74</v>
      </c>
      <c r="M636" t="s">
        <v>78</v>
      </c>
      <c r="N636" t="s">
        <v>79</v>
      </c>
      <c r="O636" t="s">
        <v>74</v>
      </c>
      <c r="P636" t="s">
        <v>74</v>
      </c>
      <c r="Q636" t="s">
        <v>74</v>
      </c>
      <c r="R636" t="s">
        <v>74</v>
      </c>
      <c r="S636" t="s">
        <v>74</v>
      </c>
      <c r="T636" t="s">
        <v>12491</v>
      </c>
      <c r="U636" t="s">
        <v>12492</v>
      </c>
      <c r="V636" t="s">
        <v>12493</v>
      </c>
      <c r="W636" t="s">
        <v>12494</v>
      </c>
      <c r="X636" t="s">
        <v>12495</v>
      </c>
      <c r="Y636" t="s">
        <v>12496</v>
      </c>
      <c r="Z636" t="s">
        <v>12497</v>
      </c>
      <c r="AA636" t="s">
        <v>12498</v>
      </c>
      <c r="AB636" t="s">
        <v>12499</v>
      </c>
      <c r="AC636" t="s">
        <v>12500</v>
      </c>
      <c r="AD636" t="s">
        <v>12501</v>
      </c>
      <c r="AE636" t="s">
        <v>12502</v>
      </c>
      <c r="AF636" t="s">
        <v>74</v>
      </c>
      <c r="AG636">
        <v>47</v>
      </c>
      <c r="AH636">
        <v>6</v>
      </c>
      <c r="AI636">
        <v>6</v>
      </c>
      <c r="AJ636">
        <v>0</v>
      </c>
      <c r="AK636">
        <v>5</v>
      </c>
      <c r="AL636" t="s">
        <v>12503</v>
      </c>
      <c r="AM636" t="s">
        <v>12504</v>
      </c>
      <c r="AN636" t="s">
        <v>12505</v>
      </c>
      <c r="AO636" t="s">
        <v>12506</v>
      </c>
      <c r="AP636" t="s">
        <v>12507</v>
      </c>
      <c r="AQ636" t="s">
        <v>74</v>
      </c>
      <c r="AR636" t="s">
        <v>12508</v>
      </c>
      <c r="AS636" t="s">
        <v>12509</v>
      </c>
      <c r="AT636" t="s">
        <v>4571</v>
      </c>
      <c r="AU636">
        <v>2021</v>
      </c>
      <c r="AV636">
        <v>15</v>
      </c>
      <c r="AW636">
        <v>2</v>
      </c>
      <c r="AX636" t="s">
        <v>74</v>
      </c>
      <c r="AY636" t="s">
        <v>74</v>
      </c>
      <c r="AZ636" t="s">
        <v>74</v>
      </c>
      <c r="BA636" t="s">
        <v>74</v>
      </c>
      <c r="BB636">
        <v>556</v>
      </c>
      <c r="BC636">
        <v>571</v>
      </c>
      <c r="BD636" t="s">
        <v>74</v>
      </c>
      <c r="BE636" t="s">
        <v>12510</v>
      </c>
      <c r="BF636" t="str">
        <f>HYPERLINK("http://dx.doi.org/10.1214/21-AOAS1443","http://dx.doi.org/10.1214/21-AOAS1443")</f>
        <v>http://dx.doi.org/10.1214/21-AOAS1443</v>
      </c>
      <c r="BG636" t="s">
        <v>74</v>
      </c>
      <c r="BH636" t="s">
        <v>74</v>
      </c>
      <c r="BI636">
        <v>16</v>
      </c>
      <c r="BJ636" t="s">
        <v>12511</v>
      </c>
      <c r="BK636" t="s">
        <v>128</v>
      </c>
      <c r="BL636" t="s">
        <v>12512</v>
      </c>
      <c r="BM636" t="s">
        <v>12513</v>
      </c>
      <c r="BN636" t="s">
        <v>74</v>
      </c>
      <c r="BO636" t="s">
        <v>908</v>
      </c>
      <c r="BP636" t="s">
        <v>74</v>
      </c>
      <c r="BQ636" t="s">
        <v>74</v>
      </c>
      <c r="BR636" t="s">
        <v>102</v>
      </c>
      <c r="BS636" t="s">
        <v>12514</v>
      </c>
      <c r="BT636" t="str">
        <f>HYPERLINK("https%3A%2F%2Fwww.webofscience.com%2Fwos%2Fwoscc%2Ffull-record%2FWOS:000674675200002","View Full Record in Web of Science")</f>
        <v>View Full Record in Web of Science</v>
      </c>
    </row>
    <row r="637" spans="1:72" x14ac:dyDescent="0.15">
      <c r="A637" t="s">
        <v>72</v>
      </c>
      <c r="B637" t="s">
        <v>12515</v>
      </c>
      <c r="C637" t="s">
        <v>74</v>
      </c>
      <c r="D637" t="s">
        <v>74</v>
      </c>
      <c r="E637" t="s">
        <v>74</v>
      </c>
      <c r="F637" t="s">
        <v>12516</v>
      </c>
      <c r="G637" t="s">
        <v>74</v>
      </c>
      <c r="H637" t="s">
        <v>74</v>
      </c>
      <c r="I637" t="s">
        <v>12517</v>
      </c>
      <c r="J637" t="s">
        <v>12518</v>
      </c>
      <c r="K637" t="s">
        <v>74</v>
      </c>
      <c r="L637" t="s">
        <v>74</v>
      </c>
      <c r="M637" t="s">
        <v>78</v>
      </c>
      <c r="N637" t="s">
        <v>79</v>
      </c>
      <c r="O637" t="s">
        <v>74</v>
      </c>
      <c r="P637" t="s">
        <v>74</v>
      </c>
      <c r="Q637" t="s">
        <v>74</v>
      </c>
      <c r="R637" t="s">
        <v>74</v>
      </c>
      <c r="S637" t="s">
        <v>74</v>
      </c>
      <c r="T637" t="s">
        <v>74</v>
      </c>
      <c r="U637" t="s">
        <v>12519</v>
      </c>
      <c r="V637" t="s">
        <v>12520</v>
      </c>
      <c r="W637" t="s">
        <v>12521</v>
      </c>
      <c r="X637" t="s">
        <v>12522</v>
      </c>
      <c r="Y637" t="s">
        <v>12523</v>
      </c>
      <c r="Z637" t="s">
        <v>12524</v>
      </c>
      <c r="AA637" t="s">
        <v>74</v>
      </c>
      <c r="AB637" t="s">
        <v>12525</v>
      </c>
      <c r="AC637" t="s">
        <v>12526</v>
      </c>
      <c r="AD637" t="s">
        <v>12527</v>
      </c>
      <c r="AE637" t="s">
        <v>12528</v>
      </c>
      <c r="AF637" t="s">
        <v>74</v>
      </c>
      <c r="AG637">
        <v>163</v>
      </c>
      <c r="AH637">
        <v>4</v>
      </c>
      <c r="AI637">
        <v>5</v>
      </c>
      <c r="AJ637">
        <v>1</v>
      </c>
      <c r="AK637">
        <v>6</v>
      </c>
      <c r="AL637" t="s">
        <v>12529</v>
      </c>
      <c r="AM637" t="s">
        <v>12530</v>
      </c>
      <c r="AN637" t="s">
        <v>12531</v>
      </c>
      <c r="AO637" t="s">
        <v>12532</v>
      </c>
      <c r="AP637" t="s">
        <v>12533</v>
      </c>
      <c r="AQ637" t="s">
        <v>74</v>
      </c>
      <c r="AR637" t="s">
        <v>12534</v>
      </c>
      <c r="AS637" t="s">
        <v>12535</v>
      </c>
      <c r="AT637" t="s">
        <v>4571</v>
      </c>
      <c r="AU637">
        <v>2021</v>
      </c>
      <c r="AV637">
        <v>91</v>
      </c>
      <c r="AW637">
        <v>6</v>
      </c>
      <c r="AX637" t="s">
        <v>74</v>
      </c>
      <c r="AY637" t="s">
        <v>74</v>
      </c>
      <c r="AZ637" t="s">
        <v>74</v>
      </c>
      <c r="BA637" t="s">
        <v>74</v>
      </c>
      <c r="BB637">
        <v>611</v>
      </c>
      <c r="BC637">
        <v>635</v>
      </c>
      <c r="BD637" t="s">
        <v>74</v>
      </c>
      <c r="BE637" t="s">
        <v>12536</v>
      </c>
      <c r="BF637" t="str">
        <f>HYPERLINK("http://dx.doi.org/10.2110/jsr.2021.004","http://dx.doi.org/10.2110/jsr.2021.004")</f>
        <v>http://dx.doi.org/10.2110/jsr.2021.004</v>
      </c>
      <c r="BG637" t="s">
        <v>74</v>
      </c>
      <c r="BH637" t="s">
        <v>74</v>
      </c>
      <c r="BI637">
        <v>25</v>
      </c>
      <c r="BJ637" t="s">
        <v>406</v>
      </c>
      <c r="BK637" t="s">
        <v>128</v>
      </c>
      <c r="BL637" t="s">
        <v>406</v>
      </c>
      <c r="BM637" t="s">
        <v>12537</v>
      </c>
      <c r="BN637" t="s">
        <v>74</v>
      </c>
      <c r="BO637" t="s">
        <v>74</v>
      </c>
      <c r="BP637" t="s">
        <v>74</v>
      </c>
      <c r="BQ637" t="s">
        <v>74</v>
      </c>
      <c r="BR637" t="s">
        <v>102</v>
      </c>
      <c r="BS637" t="s">
        <v>12538</v>
      </c>
      <c r="BT637" t="str">
        <f>HYPERLINK("https%3A%2F%2Fwww.webofscience.com%2Fwos%2Fwoscc%2Ffull-record%2FWOS:000674772000003","View Full Record in Web of Science")</f>
        <v>View Full Record in Web of Science</v>
      </c>
    </row>
    <row r="638" spans="1:72" x14ac:dyDescent="0.15">
      <c r="A638" t="s">
        <v>72</v>
      </c>
      <c r="B638" t="s">
        <v>12539</v>
      </c>
      <c r="C638" t="s">
        <v>74</v>
      </c>
      <c r="D638" t="s">
        <v>74</v>
      </c>
      <c r="E638" t="s">
        <v>74</v>
      </c>
      <c r="F638" t="s">
        <v>12540</v>
      </c>
      <c r="G638" t="s">
        <v>74</v>
      </c>
      <c r="H638" t="s">
        <v>74</v>
      </c>
      <c r="I638" t="s">
        <v>12541</v>
      </c>
      <c r="J638" t="s">
        <v>12542</v>
      </c>
      <c r="K638" t="s">
        <v>74</v>
      </c>
      <c r="L638" t="s">
        <v>74</v>
      </c>
      <c r="M638" t="s">
        <v>78</v>
      </c>
      <c r="N638" t="s">
        <v>700</v>
      </c>
      <c r="O638" t="s">
        <v>74</v>
      </c>
      <c r="P638" t="s">
        <v>74</v>
      </c>
      <c r="Q638" t="s">
        <v>74</v>
      </c>
      <c r="R638" t="s">
        <v>74</v>
      </c>
      <c r="S638" t="s">
        <v>74</v>
      </c>
      <c r="T638" t="s">
        <v>74</v>
      </c>
      <c r="U638" t="s">
        <v>12543</v>
      </c>
      <c r="V638" t="s">
        <v>12544</v>
      </c>
      <c r="W638" t="s">
        <v>12545</v>
      </c>
      <c r="X638" t="s">
        <v>12546</v>
      </c>
      <c r="Y638" t="s">
        <v>12547</v>
      </c>
      <c r="Z638" t="s">
        <v>12548</v>
      </c>
      <c r="AA638" t="s">
        <v>12549</v>
      </c>
      <c r="AB638" t="s">
        <v>12550</v>
      </c>
      <c r="AC638" t="s">
        <v>12551</v>
      </c>
      <c r="AD638" t="s">
        <v>12552</v>
      </c>
      <c r="AE638" t="s">
        <v>12553</v>
      </c>
      <c r="AF638" t="s">
        <v>74</v>
      </c>
      <c r="AG638">
        <v>128</v>
      </c>
      <c r="AH638">
        <v>33</v>
      </c>
      <c r="AI638">
        <v>36</v>
      </c>
      <c r="AJ638">
        <v>5</v>
      </c>
      <c r="AK638">
        <v>48</v>
      </c>
      <c r="AL638" t="s">
        <v>864</v>
      </c>
      <c r="AM638" t="s">
        <v>865</v>
      </c>
      <c r="AN638" t="s">
        <v>866</v>
      </c>
      <c r="AO638" t="s">
        <v>12554</v>
      </c>
      <c r="AP638" t="s">
        <v>12555</v>
      </c>
      <c r="AQ638" t="s">
        <v>74</v>
      </c>
      <c r="AR638" t="s">
        <v>12556</v>
      </c>
      <c r="AS638" t="s">
        <v>12557</v>
      </c>
      <c r="AT638" t="s">
        <v>4571</v>
      </c>
      <c r="AU638">
        <v>2021</v>
      </c>
      <c r="AV638">
        <v>59</v>
      </c>
      <c r="AW638">
        <v>2</v>
      </c>
      <c r="AX638" t="s">
        <v>74</v>
      </c>
      <c r="AY638" t="s">
        <v>74</v>
      </c>
      <c r="AZ638" t="s">
        <v>74</v>
      </c>
      <c r="BA638" t="s">
        <v>74</v>
      </c>
      <c r="BB638" t="s">
        <v>74</v>
      </c>
      <c r="BC638" t="s">
        <v>74</v>
      </c>
      <c r="BD638" t="s">
        <v>12558</v>
      </c>
      <c r="BE638" t="s">
        <v>12559</v>
      </c>
      <c r="BF638" t="str">
        <f>HYPERLINK("http://dx.doi.org/10.1029/2020RG000727","http://dx.doi.org/10.1029/2020RG000727")</f>
        <v>http://dx.doi.org/10.1029/2020RG000727</v>
      </c>
      <c r="BG638" t="s">
        <v>74</v>
      </c>
      <c r="BH638" t="s">
        <v>74</v>
      </c>
      <c r="BI638">
        <v>20</v>
      </c>
      <c r="BJ638" t="s">
        <v>289</v>
      </c>
      <c r="BK638" t="s">
        <v>128</v>
      </c>
      <c r="BL638" t="s">
        <v>289</v>
      </c>
      <c r="BM638" t="s">
        <v>12560</v>
      </c>
      <c r="BN638" t="s">
        <v>74</v>
      </c>
      <c r="BO638" t="s">
        <v>514</v>
      </c>
      <c r="BP638" t="s">
        <v>74</v>
      </c>
      <c r="BQ638" t="s">
        <v>74</v>
      </c>
      <c r="BR638" t="s">
        <v>102</v>
      </c>
      <c r="BS638" t="s">
        <v>12561</v>
      </c>
      <c r="BT638" t="str">
        <f>HYPERLINK("https%3A%2F%2Fwww.webofscience.com%2Fwos%2Fwoscc%2Ffull-record%2FWOS:000667476800001","View Full Record in Web of Science")</f>
        <v>View Full Record in Web of Science</v>
      </c>
    </row>
    <row r="639" spans="1:72" x14ac:dyDescent="0.15">
      <c r="A639" t="s">
        <v>72</v>
      </c>
      <c r="B639" t="s">
        <v>12562</v>
      </c>
      <c r="C639" t="s">
        <v>74</v>
      </c>
      <c r="D639" t="s">
        <v>74</v>
      </c>
      <c r="E639" t="s">
        <v>74</v>
      </c>
      <c r="F639" t="s">
        <v>12563</v>
      </c>
      <c r="G639" t="s">
        <v>74</v>
      </c>
      <c r="H639" t="s">
        <v>74</v>
      </c>
      <c r="I639" t="s">
        <v>12564</v>
      </c>
      <c r="J639" t="s">
        <v>12542</v>
      </c>
      <c r="K639" t="s">
        <v>74</v>
      </c>
      <c r="L639" t="s">
        <v>74</v>
      </c>
      <c r="M639" t="s">
        <v>78</v>
      </c>
      <c r="N639" t="s">
        <v>700</v>
      </c>
      <c r="O639" t="s">
        <v>74</v>
      </c>
      <c r="P639" t="s">
        <v>74</v>
      </c>
      <c r="Q639" t="s">
        <v>74</v>
      </c>
      <c r="R639" t="s">
        <v>74</v>
      </c>
      <c r="S639" t="s">
        <v>74</v>
      </c>
      <c r="T639" t="s">
        <v>74</v>
      </c>
      <c r="U639" t="s">
        <v>12565</v>
      </c>
      <c r="V639" t="s">
        <v>12566</v>
      </c>
      <c r="W639" t="s">
        <v>12567</v>
      </c>
      <c r="X639" t="s">
        <v>12568</v>
      </c>
      <c r="Y639" t="s">
        <v>12569</v>
      </c>
      <c r="Z639" t="s">
        <v>12570</v>
      </c>
      <c r="AA639" t="s">
        <v>12571</v>
      </c>
      <c r="AB639" t="s">
        <v>12572</v>
      </c>
      <c r="AC639" t="s">
        <v>74</v>
      </c>
      <c r="AD639" t="s">
        <v>74</v>
      </c>
      <c r="AE639" t="s">
        <v>74</v>
      </c>
      <c r="AF639" t="s">
        <v>74</v>
      </c>
      <c r="AG639">
        <v>331</v>
      </c>
      <c r="AH639">
        <v>47</v>
      </c>
      <c r="AI639">
        <v>55</v>
      </c>
      <c r="AJ639">
        <v>10</v>
      </c>
      <c r="AK639">
        <v>55</v>
      </c>
      <c r="AL639" t="s">
        <v>864</v>
      </c>
      <c r="AM639" t="s">
        <v>865</v>
      </c>
      <c r="AN639" t="s">
        <v>866</v>
      </c>
      <c r="AO639" t="s">
        <v>12554</v>
      </c>
      <c r="AP639" t="s">
        <v>12555</v>
      </c>
      <c r="AQ639" t="s">
        <v>74</v>
      </c>
      <c r="AR639" t="s">
        <v>12556</v>
      </c>
      <c r="AS639" t="s">
        <v>12557</v>
      </c>
      <c r="AT639" t="s">
        <v>4571</v>
      </c>
      <c r="AU639">
        <v>2021</v>
      </c>
      <c r="AV639">
        <v>59</v>
      </c>
      <c r="AW639">
        <v>2</v>
      </c>
      <c r="AX639" t="s">
        <v>74</v>
      </c>
      <c r="AY639" t="s">
        <v>74</v>
      </c>
      <c r="AZ639" t="s">
        <v>74</v>
      </c>
      <c r="BA639" t="s">
        <v>74</v>
      </c>
      <c r="BB639" t="s">
        <v>74</v>
      </c>
      <c r="BC639" t="s">
        <v>74</v>
      </c>
      <c r="BD639" t="s">
        <v>12573</v>
      </c>
      <c r="BE639" t="s">
        <v>12574</v>
      </c>
      <c r="BF639" t="str">
        <f>HYPERLINK("http://dx.doi.org/10.1029/2020RG000712","http://dx.doi.org/10.1029/2020RG000712")</f>
        <v>http://dx.doi.org/10.1029/2020RG000712</v>
      </c>
      <c r="BG639" t="s">
        <v>74</v>
      </c>
      <c r="BH639" t="s">
        <v>74</v>
      </c>
      <c r="BI639">
        <v>65</v>
      </c>
      <c r="BJ639" t="s">
        <v>289</v>
      </c>
      <c r="BK639" t="s">
        <v>128</v>
      </c>
      <c r="BL639" t="s">
        <v>289</v>
      </c>
      <c r="BM639" t="s">
        <v>12560</v>
      </c>
      <c r="BN639" t="s">
        <v>74</v>
      </c>
      <c r="BO639" t="s">
        <v>238</v>
      </c>
      <c r="BP639" t="s">
        <v>74</v>
      </c>
      <c r="BQ639" t="s">
        <v>74</v>
      </c>
      <c r="BR639" t="s">
        <v>102</v>
      </c>
      <c r="BS639" t="s">
        <v>12575</v>
      </c>
      <c r="BT639" t="str">
        <f>HYPERLINK("https%3A%2F%2Fwww.webofscience.com%2Fwos%2Fwoscc%2Ffull-record%2FWOS:000667476800008","View Full Record in Web of Science")</f>
        <v>View Full Record in Web of Science</v>
      </c>
    </row>
    <row r="640" spans="1:72" x14ac:dyDescent="0.15">
      <c r="A640" t="s">
        <v>72</v>
      </c>
      <c r="B640" t="s">
        <v>12576</v>
      </c>
      <c r="C640" t="s">
        <v>74</v>
      </c>
      <c r="D640" t="s">
        <v>74</v>
      </c>
      <c r="E640" t="s">
        <v>74</v>
      </c>
      <c r="F640" t="s">
        <v>12577</v>
      </c>
      <c r="G640" t="s">
        <v>74</v>
      </c>
      <c r="H640" t="s">
        <v>74</v>
      </c>
      <c r="I640" t="s">
        <v>12578</v>
      </c>
      <c r="J640" t="s">
        <v>12542</v>
      </c>
      <c r="K640" t="s">
        <v>74</v>
      </c>
      <c r="L640" t="s">
        <v>74</v>
      </c>
      <c r="M640" t="s">
        <v>78</v>
      </c>
      <c r="N640" t="s">
        <v>700</v>
      </c>
      <c r="O640" t="s">
        <v>74</v>
      </c>
      <c r="P640" t="s">
        <v>74</v>
      </c>
      <c r="Q640" t="s">
        <v>74</v>
      </c>
      <c r="R640" t="s">
        <v>74</v>
      </c>
      <c r="S640" t="s">
        <v>74</v>
      </c>
      <c r="T640" t="s">
        <v>12579</v>
      </c>
      <c r="U640" t="s">
        <v>12580</v>
      </c>
      <c r="V640" t="s">
        <v>12581</v>
      </c>
      <c r="W640" t="s">
        <v>12582</v>
      </c>
      <c r="X640" t="s">
        <v>12583</v>
      </c>
      <c r="Y640" t="s">
        <v>12584</v>
      </c>
      <c r="Z640" t="s">
        <v>12585</v>
      </c>
      <c r="AA640" t="s">
        <v>12586</v>
      </c>
      <c r="AB640" t="s">
        <v>12587</v>
      </c>
      <c r="AC640" t="s">
        <v>12588</v>
      </c>
      <c r="AD640" t="s">
        <v>12589</v>
      </c>
      <c r="AE640" t="s">
        <v>12590</v>
      </c>
      <c r="AF640" t="s">
        <v>74</v>
      </c>
      <c r="AG640">
        <v>307</v>
      </c>
      <c r="AH640">
        <v>39</v>
      </c>
      <c r="AI640">
        <v>38</v>
      </c>
      <c r="AJ640">
        <v>12</v>
      </c>
      <c r="AK640">
        <v>57</v>
      </c>
      <c r="AL640" t="s">
        <v>864</v>
      </c>
      <c r="AM640" t="s">
        <v>865</v>
      </c>
      <c r="AN640" t="s">
        <v>866</v>
      </c>
      <c r="AO640" t="s">
        <v>12554</v>
      </c>
      <c r="AP640" t="s">
        <v>12555</v>
      </c>
      <c r="AQ640" t="s">
        <v>74</v>
      </c>
      <c r="AR640" t="s">
        <v>12556</v>
      </c>
      <c r="AS640" t="s">
        <v>12557</v>
      </c>
      <c r="AT640" t="s">
        <v>4571</v>
      </c>
      <c r="AU640">
        <v>2021</v>
      </c>
      <c r="AV640">
        <v>59</v>
      </c>
      <c r="AW640">
        <v>2</v>
      </c>
      <c r="AX640" t="s">
        <v>74</v>
      </c>
      <c r="AY640" t="s">
        <v>74</v>
      </c>
      <c r="AZ640" t="s">
        <v>74</v>
      </c>
      <c r="BA640" t="s">
        <v>74</v>
      </c>
      <c r="BB640" t="s">
        <v>74</v>
      </c>
      <c r="BC640" t="s">
        <v>74</v>
      </c>
      <c r="BD640" t="s">
        <v>12591</v>
      </c>
      <c r="BE640" t="s">
        <v>12592</v>
      </c>
      <c r="BF640" t="str">
        <f>HYPERLINK("http://dx.doi.org/10.1029/2020RG000702","http://dx.doi.org/10.1029/2020RG000702")</f>
        <v>http://dx.doi.org/10.1029/2020RG000702</v>
      </c>
      <c r="BG640" t="s">
        <v>74</v>
      </c>
      <c r="BH640" t="s">
        <v>74</v>
      </c>
      <c r="BI640">
        <v>82</v>
      </c>
      <c r="BJ640" t="s">
        <v>289</v>
      </c>
      <c r="BK640" t="s">
        <v>128</v>
      </c>
      <c r="BL640" t="s">
        <v>289</v>
      </c>
      <c r="BM640" t="s">
        <v>12560</v>
      </c>
      <c r="BN640" t="s">
        <v>74</v>
      </c>
      <c r="BO640" t="s">
        <v>209</v>
      </c>
      <c r="BP640" t="s">
        <v>74</v>
      </c>
      <c r="BQ640" t="s">
        <v>74</v>
      </c>
      <c r="BR640" t="s">
        <v>102</v>
      </c>
      <c r="BS640" t="s">
        <v>12593</v>
      </c>
      <c r="BT640" t="str">
        <f>HYPERLINK("https%3A%2F%2Fwww.webofscience.com%2Fwos%2Fwoscc%2Ffull-record%2FWOS:000667476800006","View Full Record in Web of Science")</f>
        <v>View Full Record in Web of Science</v>
      </c>
    </row>
    <row r="641" spans="1:72" x14ac:dyDescent="0.15">
      <c r="A641" t="s">
        <v>72</v>
      </c>
      <c r="B641" t="s">
        <v>12594</v>
      </c>
      <c r="C641" t="s">
        <v>74</v>
      </c>
      <c r="D641" t="s">
        <v>74</v>
      </c>
      <c r="E641" t="s">
        <v>74</v>
      </c>
      <c r="F641" t="s">
        <v>12595</v>
      </c>
      <c r="G641" t="s">
        <v>74</v>
      </c>
      <c r="H641" t="s">
        <v>74</v>
      </c>
      <c r="I641" t="s">
        <v>12596</v>
      </c>
      <c r="J641" t="s">
        <v>7755</v>
      </c>
      <c r="K641" t="s">
        <v>74</v>
      </c>
      <c r="L641" t="s">
        <v>74</v>
      </c>
      <c r="M641" t="s">
        <v>78</v>
      </c>
      <c r="N641" t="s">
        <v>79</v>
      </c>
      <c r="O641" t="s">
        <v>74</v>
      </c>
      <c r="P641" t="s">
        <v>74</v>
      </c>
      <c r="Q641" t="s">
        <v>74</v>
      </c>
      <c r="R641" t="s">
        <v>74</v>
      </c>
      <c r="S641" t="s">
        <v>74</v>
      </c>
      <c r="T641" t="s">
        <v>74</v>
      </c>
      <c r="U641" t="s">
        <v>12597</v>
      </c>
      <c r="V641" t="s">
        <v>12598</v>
      </c>
      <c r="W641" t="s">
        <v>12599</v>
      </c>
      <c r="X641" t="s">
        <v>12600</v>
      </c>
      <c r="Y641" t="s">
        <v>12601</v>
      </c>
      <c r="Z641" t="s">
        <v>12602</v>
      </c>
      <c r="AA641" t="s">
        <v>12603</v>
      </c>
      <c r="AB641" t="s">
        <v>12604</v>
      </c>
      <c r="AC641" t="s">
        <v>12605</v>
      </c>
      <c r="AD641" t="s">
        <v>12606</v>
      </c>
      <c r="AE641" t="s">
        <v>12607</v>
      </c>
      <c r="AF641" t="s">
        <v>74</v>
      </c>
      <c r="AG641">
        <v>91</v>
      </c>
      <c r="AH641">
        <v>28</v>
      </c>
      <c r="AI641">
        <v>29</v>
      </c>
      <c r="AJ641">
        <v>3</v>
      </c>
      <c r="AK641">
        <v>29</v>
      </c>
      <c r="AL641" t="s">
        <v>7767</v>
      </c>
      <c r="AM641" t="s">
        <v>865</v>
      </c>
      <c r="AN641" t="s">
        <v>7768</v>
      </c>
      <c r="AO641" t="s">
        <v>7769</v>
      </c>
      <c r="AP641" t="s">
        <v>74</v>
      </c>
      <c r="AQ641" t="s">
        <v>74</v>
      </c>
      <c r="AR641" t="s">
        <v>7770</v>
      </c>
      <c r="AS641" t="s">
        <v>7771</v>
      </c>
      <c r="AT641" t="s">
        <v>4571</v>
      </c>
      <c r="AU641">
        <v>2021</v>
      </c>
      <c r="AV641">
        <v>7</v>
      </c>
      <c r="AW641">
        <v>26</v>
      </c>
      <c r="AX641" t="s">
        <v>74</v>
      </c>
      <c r="AY641" t="s">
        <v>74</v>
      </c>
      <c r="AZ641" t="s">
        <v>74</v>
      </c>
      <c r="BA641" t="s">
        <v>74</v>
      </c>
      <c r="BB641" t="s">
        <v>74</v>
      </c>
      <c r="BC641" t="s">
        <v>74</v>
      </c>
      <c r="BD641" t="s">
        <v>12608</v>
      </c>
      <c r="BE641" t="s">
        <v>12609</v>
      </c>
      <c r="BF641" t="str">
        <f>HYPERLINK("http://dx.doi.org/10.1126/sciadv.abf5326","http://dx.doi.org/10.1126/sciadv.abf5326")</f>
        <v>http://dx.doi.org/10.1126/sciadv.abf5326</v>
      </c>
      <c r="BG641" t="s">
        <v>74</v>
      </c>
      <c r="BH641" t="s">
        <v>74</v>
      </c>
      <c r="BI641">
        <v>17</v>
      </c>
      <c r="BJ641" t="s">
        <v>2609</v>
      </c>
      <c r="BK641" t="s">
        <v>128</v>
      </c>
      <c r="BL641" t="s">
        <v>2610</v>
      </c>
      <c r="BM641" t="s">
        <v>12610</v>
      </c>
      <c r="BN641">
        <v>34172440</v>
      </c>
      <c r="BO641" t="s">
        <v>238</v>
      </c>
      <c r="BP641" t="s">
        <v>74</v>
      </c>
      <c r="BQ641" t="s">
        <v>74</v>
      </c>
      <c r="BR641" t="s">
        <v>102</v>
      </c>
      <c r="BS641" t="s">
        <v>12611</v>
      </c>
      <c r="BT641" t="str">
        <f>HYPERLINK("https%3A%2F%2Fwww.webofscience.com%2Fwos%2Fwoscc%2Ffull-record%2FWOS:000669960200006","View Full Record in Web of Science")</f>
        <v>View Full Record in Web of Science</v>
      </c>
    </row>
    <row r="642" spans="1:72" x14ac:dyDescent="0.15">
      <c r="A642" t="s">
        <v>72</v>
      </c>
      <c r="B642" t="s">
        <v>12612</v>
      </c>
      <c r="C642" t="s">
        <v>74</v>
      </c>
      <c r="D642" t="s">
        <v>74</v>
      </c>
      <c r="E642" t="s">
        <v>74</v>
      </c>
      <c r="F642" t="s">
        <v>12613</v>
      </c>
      <c r="G642" t="s">
        <v>74</v>
      </c>
      <c r="H642" t="s">
        <v>74</v>
      </c>
      <c r="I642" t="s">
        <v>12614</v>
      </c>
      <c r="J642" t="s">
        <v>12615</v>
      </c>
      <c r="K642" t="s">
        <v>74</v>
      </c>
      <c r="L642" t="s">
        <v>74</v>
      </c>
      <c r="M642" t="s">
        <v>78</v>
      </c>
      <c r="N642" t="s">
        <v>79</v>
      </c>
      <c r="O642" t="s">
        <v>74</v>
      </c>
      <c r="P642" t="s">
        <v>74</v>
      </c>
      <c r="Q642" t="s">
        <v>74</v>
      </c>
      <c r="R642" t="s">
        <v>74</v>
      </c>
      <c r="S642" t="s">
        <v>74</v>
      </c>
      <c r="T642" t="s">
        <v>12616</v>
      </c>
      <c r="U642" t="s">
        <v>12617</v>
      </c>
      <c r="V642" t="s">
        <v>12618</v>
      </c>
      <c r="W642" t="s">
        <v>12619</v>
      </c>
      <c r="X642" t="s">
        <v>12620</v>
      </c>
      <c r="Y642" t="s">
        <v>12621</v>
      </c>
      <c r="Z642" t="s">
        <v>12622</v>
      </c>
      <c r="AA642" t="s">
        <v>12623</v>
      </c>
      <c r="AB642" t="s">
        <v>12624</v>
      </c>
      <c r="AC642" t="s">
        <v>12625</v>
      </c>
      <c r="AD642" t="s">
        <v>12626</v>
      </c>
      <c r="AE642" t="s">
        <v>12627</v>
      </c>
      <c r="AF642" t="s">
        <v>74</v>
      </c>
      <c r="AG642">
        <v>31</v>
      </c>
      <c r="AH642">
        <v>3</v>
      </c>
      <c r="AI642">
        <v>4</v>
      </c>
      <c r="AJ642">
        <v>0</v>
      </c>
      <c r="AK642">
        <v>7</v>
      </c>
      <c r="AL642" t="s">
        <v>12628</v>
      </c>
      <c r="AM642" t="s">
        <v>12169</v>
      </c>
      <c r="AN642" t="s">
        <v>12629</v>
      </c>
      <c r="AO642" t="s">
        <v>12630</v>
      </c>
      <c r="AP642" t="s">
        <v>12631</v>
      </c>
      <c r="AQ642" t="s">
        <v>74</v>
      </c>
      <c r="AR642" t="s">
        <v>12632</v>
      </c>
      <c r="AS642" t="s">
        <v>12633</v>
      </c>
      <c r="AT642" t="s">
        <v>4571</v>
      </c>
      <c r="AU642">
        <v>2021</v>
      </c>
      <c r="AV642">
        <v>36</v>
      </c>
      <c r="AW642">
        <v>2</v>
      </c>
      <c r="AX642" t="s">
        <v>74</v>
      </c>
      <c r="AY642" t="s">
        <v>74</v>
      </c>
      <c r="AZ642" t="s">
        <v>74</v>
      </c>
      <c r="BA642" t="s">
        <v>74</v>
      </c>
      <c r="BB642">
        <v>111</v>
      </c>
      <c r="BC642">
        <v>121</v>
      </c>
      <c r="BD642" t="s">
        <v>74</v>
      </c>
      <c r="BE642" t="s">
        <v>12634</v>
      </c>
      <c r="BF642" t="str">
        <f>HYPERLINK("http://dx.doi.org/10.4490/algae.2021.36.5.6","http://dx.doi.org/10.4490/algae.2021.36.5.6")</f>
        <v>http://dx.doi.org/10.4490/algae.2021.36.5.6</v>
      </c>
      <c r="BG642" t="s">
        <v>74</v>
      </c>
      <c r="BH642" t="s">
        <v>74</v>
      </c>
      <c r="BI642">
        <v>11</v>
      </c>
      <c r="BJ642" t="s">
        <v>3393</v>
      </c>
      <c r="BK642" t="s">
        <v>128</v>
      </c>
      <c r="BL642" t="s">
        <v>3393</v>
      </c>
      <c r="BM642" t="s">
        <v>12635</v>
      </c>
      <c r="BN642" t="s">
        <v>74</v>
      </c>
      <c r="BO642" t="s">
        <v>2630</v>
      </c>
      <c r="BP642" t="s">
        <v>74</v>
      </c>
      <c r="BQ642" t="s">
        <v>74</v>
      </c>
      <c r="BR642" t="s">
        <v>102</v>
      </c>
      <c r="BS642" t="s">
        <v>12636</v>
      </c>
      <c r="BT642" t="str">
        <f>HYPERLINK("https%3A%2F%2Fwww.webofscience.com%2Fwos%2Fwoscc%2Ffull-record%2FWOS:000669885400003","View Full Record in Web of Science")</f>
        <v>View Full Record in Web of Science</v>
      </c>
    </row>
    <row r="643" spans="1:72" x14ac:dyDescent="0.15">
      <c r="A643" t="s">
        <v>72</v>
      </c>
      <c r="B643" t="s">
        <v>12637</v>
      </c>
      <c r="C643" t="s">
        <v>74</v>
      </c>
      <c r="D643" t="s">
        <v>74</v>
      </c>
      <c r="E643" t="s">
        <v>74</v>
      </c>
      <c r="F643" t="s">
        <v>12638</v>
      </c>
      <c r="G643" t="s">
        <v>74</v>
      </c>
      <c r="H643" t="s">
        <v>74</v>
      </c>
      <c r="I643" t="s">
        <v>12639</v>
      </c>
      <c r="J643" t="s">
        <v>1564</v>
      </c>
      <c r="K643" t="s">
        <v>74</v>
      </c>
      <c r="L643" t="s">
        <v>74</v>
      </c>
      <c r="M643" t="s">
        <v>78</v>
      </c>
      <c r="N643" t="s">
        <v>79</v>
      </c>
      <c r="O643" t="s">
        <v>74</v>
      </c>
      <c r="P643" t="s">
        <v>74</v>
      </c>
      <c r="Q643" t="s">
        <v>74</v>
      </c>
      <c r="R643" t="s">
        <v>74</v>
      </c>
      <c r="S643" t="s">
        <v>74</v>
      </c>
      <c r="T643" t="s">
        <v>12640</v>
      </c>
      <c r="U643" t="s">
        <v>12641</v>
      </c>
      <c r="V643" t="s">
        <v>12642</v>
      </c>
      <c r="W643" t="s">
        <v>12643</v>
      </c>
      <c r="X643" t="s">
        <v>12644</v>
      </c>
      <c r="Y643" t="s">
        <v>12645</v>
      </c>
      <c r="Z643" t="s">
        <v>12646</v>
      </c>
      <c r="AA643" t="s">
        <v>12647</v>
      </c>
      <c r="AB643" t="s">
        <v>12648</v>
      </c>
      <c r="AC643" t="s">
        <v>12649</v>
      </c>
      <c r="AD643" t="s">
        <v>12650</v>
      </c>
      <c r="AE643" t="s">
        <v>12651</v>
      </c>
      <c r="AF643" t="s">
        <v>74</v>
      </c>
      <c r="AG643">
        <v>53</v>
      </c>
      <c r="AH643">
        <v>18</v>
      </c>
      <c r="AI643">
        <v>19</v>
      </c>
      <c r="AJ643">
        <v>1</v>
      </c>
      <c r="AK643">
        <v>8</v>
      </c>
      <c r="AL643" t="s">
        <v>864</v>
      </c>
      <c r="AM643" t="s">
        <v>865</v>
      </c>
      <c r="AN643" t="s">
        <v>866</v>
      </c>
      <c r="AO643" t="s">
        <v>74</v>
      </c>
      <c r="AP643" t="s">
        <v>1577</v>
      </c>
      <c r="AQ643" t="s">
        <v>74</v>
      </c>
      <c r="AR643" t="s">
        <v>1564</v>
      </c>
      <c r="AS643" t="s">
        <v>1578</v>
      </c>
      <c r="AT643" t="s">
        <v>4571</v>
      </c>
      <c r="AU643">
        <v>2021</v>
      </c>
      <c r="AV643">
        <v>9</v>
      </c>
      <c r="AW643">
        <v>6</v>
      </c>
      <c r="AX643" t="s">
        <v>74</v>
      </c>
      <c r="AY643" t="s">
        <v>74</v>
      </c>
      <c r="AZ643" t="s">
        <v>74</v>
      </c>
      <c r="BA643" t="s">
        <v>74</v>
      </c>
      <c r="BB643" t="s">
        <v>74</v>
      </c>
      <c r="BC643" t="s">
        <v>74</v>
      </c>
      <c r="BD643" t="s">
        <v>12652</v>
      </c>
      <c r="BE643" t="s">
        <v>12653</v>
      </c>
      <c r="BF643" t="str">
        <f>HYPERLINK("http://dx.doi.org/10.1029/2020EF001873","http://dx.doi.org/10.1029/2020EF001873")</f>
        <v>http://dx.doi.org/10.1029/2020EF001873</v>
      </c>
      <c r="BG643" t="s">
        <v>74</v>
      </c>
      <c r="BH643" t="s">
        <v>74</v>
      </c>
      <c r="BI643">
        <v>21</v>
      </c>
      <c r="BJ643" t="s">
        <v>1044</v>
      </c>
      <c r="BK643" t="s">
        <v>128</v>
      </c>
      <c r="BL643" t="s">
        <v>1045</v>
      </c>
      <c r="BM643" t="s">
        <v>12654</v>
      </c>
      <c r="BN643" t="s">
        <v>74</v>
      </c>
      <c r="BO643" t="s">
        <v>1377</v>
      </c>
      <c r="BP643" t="s">
        <v>74</v>
      </c>
      <c r="BQ643" t="s">
        <v>74</v>
      </c>
      <c r="BR643" t="s">
        <v>102</v>
      </c>
      <c r="BS643" t="s">
        <v>12655</v>
      </c>
      <c r="BT643" t="str">
        <f>HYPERLINK("https%3A%2F%2Fwww.webofscience.com%2Fwos%2Fwoscc%2Ffull-record%2FWOS:000666656400010","View Full Record in Web of Science")</f>
        <v>View Full Record in Web of Science</v>
      </c>
    </row>
    <row r="644" spans="1:72" x14ac:dyDescent="0.15">
      <c r="A644" t="s">
        <v>72</v>
      </c>
      <c r="B644" t="s">
        <v>12656</v>
      </c>
      <c r="C644" t="s">
        <v>74</v>
      </c>
      <c r="D644" t="s">
        <v>74</v>
      </c>
      <c r="E644" t="s">
        <v>74</v>
      </c>
      <c r="F644" t="s">
        <v>12657</v>
      </c>
      <c r="G644" t="s">
        <v>74</v>
      </c>
      <c r="H644" t="s">
        <v>74</v>
      </c>
      <c r="I644" t="s">
        <v>12658</v>
      </c>
      <c r="J644" t="s">
        <v>7155</v>
      </c>
      <c r="K644" t="s">
        <v>74</v>
      </c>
      <c r="L644" t="s">
        <v>74</v>
      </c>
      <c r="M644" t="s">
        <v>78</v>
      </c>
      <c r="N644" t="s">
        <v>79</v>
      </c>
      <c r="O644" t="s">
        <v>74</v>
      </c>
      <c r="P644" t="s">
        <v>74</v>
      </c>
      <c r="Q644" t="s">
        <v>74</v>
      </c>
      <c r="R644" t="s">
        <v>74</v>
      </c>
      <c r="S644" t="s">
        <v>74</v>
      </c>
      <c r="T644" t="s">
        <v>12659</v>
      </c>
      <c r="U644" t="s">
        <v>12660</v>
      </c>
      <c r="V644" t="s">
        <v>12661</v>
      </c>
      <c r="W644" t="s">
        <v>12662</v>
      </c>
      <c r="X644" t="s">
        <v>12663</v>
      </c>
      <c r="Y644" t="s">
        <v>12664</v>
      </c>
      <c r="Z644" t="s">
        <v>12665</v>
      </c>
      <c r="AA644" t="s">
        <v>74</v>
      </c>
      <c r="AB644" t="s">
        <v>12666</v>
      </c>
      <c r="AC644" t="s">
        <v>12667</v>
      </c>
      <c r="AD644" t="s">
        <v>12668</v>
      </c>
      <c r="AE644" t="s">
        <v>12669</v>
      </c>
      <c r="AF644" t="s">
        <v>74</v>
      </c>
      <c r="AG644">
        <v>105</v>
      </c>
      <c r="AH644">
        <v>8</v>
      </c>
      <c r="AI644">
        <v>8</v>
      </c>
      <c r="AJ644">
        <v>1</v>
      </c>
      <c r="AK644">
        <v>4</v>
      </c>
      <c r="AL644" t="s">
        <v>864</v>
      </c>
      <c r="AM644" t="s">
        <v>865</v>
      </c>
      <c r="AN644" t="s">
        <v>866</v>
      </c>
      <c r="AO644" t="s">
        <v>7168</v>
      </c>
      <c r="AP644" t="s">
        <v>7169</v>
      </c>
      <c r="AQ644" t="s">
        <v>74</v>
      </c>
      <c r="AR644" t="s">
        <v>7170</v>
      </c>
      <c r="AS644" t="s">
        <v>7171</v>
      </c>
      <c r="AT644" t="s">
        <v>4571</v>
      </c>
      <c r="AU644">
        <v>2021</v>
      </c>
      <c r="AV644">
        <v>126</v>
      </c>
      <c r="AW644">
        <v>6</v>
      </c>
      <c r="AX644" t="s">
        <v>74</v>
      </c>
      <c r="AY644" t="s">
        <v>74</v>
      </c>
      <c r="AZ644" t="s">
        <v>74</v>
      </c>
      <c r="BA644" t="s">
        <v>74</v>
      </c>
      <c r="BB644" t="s">
        <v>74</v>
      </c>
      <c r="BC644" t="s">
        <v>74</v>
      </c>
      <c r="BD644" t="s">
        <v>12670</v>
      </c>
      <c r="BE644" t="s">
        <v>12671</v>
      </c>
      <c r="BF644" t="str">
        <f>HYPERLINK("http://dx.doi.org/10.1029/2020JF005827","http://dx.doi.org/10.1029/2020JF005827")</f>
        <v>http://dx.doi.org/10.1029/2020JF005827</v>
      </c>
      <c r="BG644" t="s">
        <v>74</v>
      </c>
      <c r="BH644" t="s">
        <v>74</v>
      </c>
      <c r="BI644">
        <v>20</v>
      </c>
      <c r="BJ644" t="s">
        <v>405</v>
      </c>
      <c r="BK644" t="s">
        <v>128</v>
      </c>
      <c r="BL644" t="s">
        <v>406</v>
      </c>
      <c r="BM644" t="s">
        <v>12672</v>
      </c>
      <c r="BN644" t="s">
        <v>74</v>
      </c>
      <c r="BO644" t="s">
        <v>8570</v>
      </c>
      <c r="BP644" t="s">
        <v>74</v>
      </c>
      <c r="BQ644" t="s">
        <v>74</v>
      </c>
      <c r="BR644" t="s">
        <v>102</v>
      </c>
      <c r="BS644" t="s">
        <v>12673</v>
      </c>
      <c r="BT644" t="str">
        <f>HYPERLINK("https%3A%2F%2Fwww.webofscience.com%2Fwos%2Fwoscc%2Ffull-record%2FWOS:000666410300014","View Full Record in Web of Science")</f>
        <v>View Full Record in Web of Science</v>
      </c>
    </row>
    <row r="645" spans="1:72" x14ac:dyDescent="0.15">
      <c r="A645" t="s">
        <v>72</v>
      </c>
      <c r="B645" t="s">
        <v>12674</v>
      </c>
      <c r="C645" t="s">
        <v>74</v>
      </c>
      <c r="D645" t="s">
        <v>74</v>
      </c>
      <c r="E645" t="s">
        <v>74</v>
      </c>
      <c r="F645" t="s">
        <v>12675</v>
      </c>
      <c r="G645" t="s">
        <v>74</v>
      </c>
      <c r="H645" t="s">
        <v>74</v>
      </c>
      <c r="I645" t="s">
        <v>12676</v>
      </c>
      <c r="J645" t="s">
        <v>7155</v>
      </c>
      <c r="K645" t="s">
        <v>74</v>
      </c>
      <c r="L645" t="s">
        <v>74</v>
      </c>
      <c r="M645" t="s">
        <v>78</v>
      </c>
      <c r="N645" t="s">
        <v>79</v>
      </c>
      <c r="O645" t="s">
        <v>74</v>
      </c>
      <c r="P645" t="s">
        <v>74</v>
      </c>
      <c r="Q645" t="s">
        <v>74</v>
      </c>
      <c r="R645" t="s">
        <v>74</v>
      </c>
      <c r="S645" t="s">
        <v>74</v>
      </c>
      <c r="T645" t="s">
        <v>12677</v>
      </c>
      <c r="U645" t="s">
        <v>12678</v>
      </c>
      <c r="V645" t="s">
        <v>12679</v>
      </c>
      <c r="W645" t="s">
        <v>12680</v>
      </c>
      <c r="X645" t="s">
        <v>12681</v>
      </c>
      <c r="Y645" t="s">
        <v>12682</v>
      </c>
      <c r="Z645" t="s">
        <v>12683</v>
      </c>
      <c r="AA645" t="s">
        <v>12684</v>
      </c>
      <c r="AB645" t="s">
        <v>12685</v>
      </c>
      <c r="AC645" t="s">
        <v>12686</v>
      </c>
      <c r="AD645" t="s">
        <v>12687</v>
      </c>
      <c r="AE645" t="s">
        <v>12688</v>
      </c>
      <c r="AF645" t="s">
        <v>74</v>
      </c>
      <c r="AG645">
        <v>49</v>
      </c>
      <c r="AH645">
        <v>4</v>
      </c>
      <c r="AI645">
        <v>4</v>
      </c>
      <c r="AJ645">
        <v>1</v>
      </c>
      <c r="AK645">
        <v>15</v>
      </c>
      <c r="AL645" t="s">
        <v>864</v>
      </c>
      <c r="AM645" t="s">
        <v>865</v>
      </c>
      <c r="AN645" t="s">
        <v>866</v>
      </c>
      <c r="AO645" t="s">
        <v>7168</v>
      </c>
      <c r="AP645" t="s">
        <v>7169</v>
      </c>
      <c r="AQ645" t="s">
        <v>74</v>
      </c>
      <c r="AR645" t="s">
        <v>7170</v>
      </c>
      <c r="AS645" t="s">
        <v>7171</v>
      </c>
      <c r="AT645" t="s">
        <v>4571</v>
      </c>
      <c r="AU645">
        <v>2021</v>
      </c>
      <c r="AV645">
        <v>126</v>
      </c>
      <c r="AW645">
        <v>6</v>
      </c>
      <c r="AX645" t="s">
        <v>74</v>
      </c>
      <c r="AY645" t="s">
        <v>74</v>
      </c>
      <c r="AZ645" t="s">
        <v>74</v>
      </c>
      <c r="BA645" t="s">
        <v>74</v>
      </c>
      <c r="BB645" t="s">
        <v>74</v>
      </c>
      <c r="BC645" t="s">
        <v>74</v>
      </c>
      <c r="BD645" t="s">
        <v>12689</v>
      </c>
      <c r="BE645" t="s">
        <v>12690</v>
      </c>
      <c r="BF645" t="str">
        <f>HYPERLINK("http://dx.doi.org/10.1029/2020JF005966","http://dx.doi.org/10.1029/2020JF005966")</f>
        <v>http://dx.doi.org/10.1029/2020JF005966</v>
      </c>
      <c r="BG645" t="s">
        <v>74</v>
      </c>
      <c r="BH645" t="s">
        <v>74</v>
      </c>
      <c r="BI645">
        <v>16</v>
      </c>
      <c r="BJ645" t="s">
        <v>405</v>
      </c>
      <c r="BK645" t="s">
        <v>128</v>
      </c>
      <c r="BL645" t="s">
        <v>406</v>
      </c>
      <c r="BM645" t="s">
        <v>12672</v>
      </c>
      <c r="BN645" t="s">
        <v>74</v>
      </c>
      <c r="BO645" t="s">
        <v>1154</v>
      </c>
      <c r="BP645" t="s">
        <v>74</v>
      </c>
      <c r="BQ645" t="s">
        <v>74</v>
      </c>
      <c r="BR645" t="s">
        <v>102</v>
      </c>
      <c r="BS645" t="s">
        <v>12691</v>
      </c>
      <c r="BT645" t="str">
        <f>HYPERLINK("https%3A%2F%2Fwww.webofscience.com%2Fwos%2Fwoscc%2Ffull-record%2FWOS:000666410300002","View Full Record in Web of Science")</f>
        <v>View Full Record in Web of Science</v>
      </c>
    </row>
    <row r="646" spans="1:72" x14ac:dyDescent="0.15">
      <c r="A646" t="s">
        <v>72</v>
      </c>
      <c r="B646" t="s">
        <v>12692</v>
      </c>
      <c r="C646" t="s">
        <v>74</v>
      </c>
      <c r="D646" t="s">
        <v>74</v>
      </c>
      <c r="E646" t="s">
        <v>74</v>
      </c>
      <c r="F646" t="s">
        <v>12693</v>
      </c>
      <c r="G646" t="s">
        <v>74</v>
      </c>
      <c r="H646" t="s">
        <v>74</v>
      </c>
      <c r="I646" t="s">
        <v>12694</v>
      </c>
      <c r="J646" t="s">
        <v>6928</v>
      </c>
      <c r="K646" t="s">
        <v>74</v>
      </c>
      <c r="L646" t="s">
        <v>74</v>
      </c>
      <c r="M646" t="s">
        <v>78</v>
      </c>
      <c r="N646" t="s">
        <v>79</v>
      </c>
      <c r="O646" t="s">
        <v>74</v>
      </c>
      <c r="P646" t="s">
        <v>74</v>
      </c>
      <c r="Q646" t="s">
        <v>74</v>
      </c>
      <c r="R646" t="s">
        <v>74</v>
      </c>
      <c r="S646" t="s">
        <v>74</v>
      </c>
      <c r="T646" t="s">
        <v>12695</v>
      </c>
      <c r="U646" t="s">
        <v>12696</v>
      </c>
      <c r="V646" t="s">
        <v>12697</v>
      </c>
      <c r="W646" t="s">
        <v>12698</v>
      </c>
      <c r="X646" t="s">
        <v>12699</v>
      </c>
      <c r="Y646" t="s">
        <v>12700</v>
      </c>
      <c r="Z646" t="s">
        <v>12701</v>
      </c>
      <c r="AA646" t="s">
        <v>12702</v>
      </c>
      <c r="AB646" t="s">
        <v>12703</v>
      </c>
      <c r="AC646" t="s">
        <v>12704</v>
      </c>
      <c r="AD646" t="s">
        <v>12705</v>
      </c>
      <c r="AE646" t="s">
        <v>12706</v>
      </c>
      <c r="AF646" t="s">
        <v>74</v>
      </c>
      <c r="AG646">
        <v>66</v>
      </c>
      <c r="AH646">
        <v>8</v>
      </c>
      <c r="AI646">
        <v>8</v>
      </c>
      <c r="AJ646">
        <v>1</v>
      </c>
      <c r="AK646">
        <v>9</v>
      </c>
      <c r="AL646" t="s">
        <v>864</v>
      </c>
      <c r="AM646" t="s">
        <v>865</v>
      </c>
      <c r="AN646" t="s">
        <v>866</v>
      </c>
      <c r="AO646" t="s">
        <v>6941</v>
      </c>
      <c r="AP646" t="s">
        <v>6942</v>
      </c>
      <c r="AQ646" t="s">
        <v>74</v>
      </c>
      <c r="AR646" t="s">
        <v>6943</v>
      </c>
      <c r="AS646" t="s">
        <v>6944</v>
      </c>
      <c r="AT646" t="s">
        <v>4571</v>
      </c>
      <c r="AU646">
        <v>2021</v>
      </c>
      <c r="AV646">
        <v>126</v>
      </c>
      <c r="AW646">
        <v>6</v>
      </c>
      <c r="AX646" t="s">
        <v>74</v>
      </c>
      <c r="AY646" t="s">
        <v>74</v>
      </c>
      <c r="AZ646" t="s">
        <v>74</v>
      </c>
      <c r="BA646" t="s">
        <v>74</v>
      </c>
      <c r="BB646" t="s">
        <v>74</v>
      </c>
      <c r="BC646" t="s">
        <v>74</v>
      </c>
      <c r="BD646" t="s">
        <v>12707</v>
      </c>
      <c r="BE646" t="s">
        <v>12708</v>
      </c>
      <c r="BF646" t="str">
        <f>HYPERLINK("http://dx.doi.org/10.1029/2021JE006862","http://dx.doi.org/10.1029/2021JE006862")</f>
        <v>http://dx.doi.org/10.1029/2021JE006862</v>
      </c>
      <c r="BG646" t="s">
        <v>74</v>
      </c>
      <c r="BH646" t="s">
        <v>74</v>
      </c>
      <c r="BI646">
        <v>18</v>
      </c>
      <c r="BJ646" t="s">
        <v>289</v>
      </c>
      <c r="BK646" t="s">
        <v>128</v>
      </c>
      <c r="BL646" t="s">
        <v>289</v>
      </c>
      <c r="BM646" t="s">
        <v>12709</v>
      </c>
      <c r="BN646" t="s">
        <v>74</v>
      </c>
      <c r="BO646" t="s">
        <v>74</v>
      </c>
      <c r="BP646" t="s">
        <v>74</v>
      </c>
      <c r="BQ646" t="s">
        <v>74</v>
      </c>
      <c r="BR646" t="s">
        <v>102</v>
      </c>
      <c r="BS646" t="s">
        <v>12710</v>
      </c>
      <c r="BT646" t="str">
        <f>HYPERLINK("https%3A%2F%2Fwww.webofscience.com%2Fwos%2Fwoscc%2Ffull-record%2FWOS:000666399700008","View Full Record in Web of Science")</f>
        <v>View Full Record in Web of Science</v>
      </c>
    </row>
    <row r="647" spans="1:72" x14ac:dyDescent="0.15">
      <c r="A647" t="s">
        <v>72</v>
      </c>
      <c r="B647" t="s">
        <v>12711</v>
      </c>
      <c r="C647" t="s">
        <v>74</v>
      </c>
      <c r="D647" t="s">
        <v>74</v>
      </c>
      <c r="E647" t="s">
        <v>74</v>
      </c>
      <c r="F647" t="s">
        <v>12712</v>
      </c>
      <c r="G647" t="s">
        <v>74</v>
      </c>
      <c r="H647" t="s">
        <v>74</v>
      </c>
      <c r="I647" t="s">
        <v>12713</v>
      </c>
      <c r="J647" t="s">
        <v>12714</v>
      </c>
      <c r="K647" t="s">
        <v>74</v>
      </c>
      <c r="L647" t="s">
        <v>74</v>
      </c>
      <c r="M647" t="s">
        <v>78</v>
      </c>
      <c r="N647" t="s">
        <v>79</v>
      </c>
      <c r="O647" t="s">
        <v>74</v>
      </c>
      <c r="P647" t="s">
        <v>74</v>
      </c>
      <c r="Q647" t="s">
        <v>74</v>
      </c>
      <c r="R647" t="s">
        <v>74</v>
      </c>
      <c r="S647" t="s">
        <v>74</v>
      </c>
      <c r="T647" t="s">
        <v>74</v>
      </c>
      <c r="U647" t="s">
        <v>12715</v>
      </c>
      <c r="V647" t="s">
        <v>12716</v>
      </c>
      <c r="W647" t="s">
        <v>12717</v>
      </c>
      <c r="X647" t="s">
        <v>12718</v>
      </c>
      <c r="Y647" t="s">
        <v>12719</v>
      </c>
      <c r="Z647" t="s">
        <v>74</v>
      </c>
      <c r="AA647" t="s">
        <v>74</v>
      </c>
      <c r="AB647" t="s">
        <v>74</v>
      </c>
      <c r="AC647" t="s">
        <v>74</v>
      </c>
      <c r="AD647" t="s">
        <v>74</v>
      </c>
      <c r="AE647" t="s">
        <v>74</v>
      </c>
      <c r="AF647" t="s">
        <v>74</v>
      </c>
      <c r="AG647">
        <v>69</v>
      </c>
      <c r="AH647">
        <v>0</v>
      </c>
      <c r="AI647">
        <v>1</v>
      </c>
      <c r="AJ647">
        <v>0</v>
      </c>
      <c r="AK647">
        <v>4</v>
      </c>
      <c r="AL647" t="s">
        <v>12720</v>
      </c>
      <c r="AM647" t="s">
        <v>12721</v>
      </c>
      <c r="AN647" t="s">
        <v>12722</v>
      </c>
      <c r="AO647" t="s">
        <v>12723</v>
      </c>
      <c r="AP647" t="s">
        <v>12724</v>
      </c>
      <c r="AQ647" t="s">
        <v>74</v>
      </c>
      <c r="AR647" t="s">
        <v>12725</v>
      </c>
      <c r="AS647" t="s">
        <v>12726</v>
      </c>
      <c r="AT647" t="s">
        <v>4571</v>
      </c>
      <c r="AU647">
        <v>2021</v>
      </c>
      <c r="AV647">
        <v>23</v>
      </c>
      <c r="AW647">
        <v>2</v>
      </c>
      <c r="AX647" t="s">
        <v>74</v>
      </c>
      <c r="AY647" t="s">
        <v>74</v>
      </c>
      <c r="AZ647" t="s">
        <v>74</v>
      </c>
      <c r="BA647" t="s">
        <v>74</v>
      </c>
      <c r="BB647">
        <v>3</v>
      </c>
      <c r="BC647">
        <v>33</v>
      </c>
      <c r="BD647" t="s">
        <v>74</v>
      </c>
      <c r="BE647" t="s">
        <v>12727</v>
      </c>
      <c r="BF647" t="str">
        <f>HYPERLINK("http://dx.doi.org/10.1353/lvn.2021.0013","http://dx.doi.org/10.1353/lvn.2021.0013")</f>
        <v>http://dx.doi.org/10.1353/lvn.2021.0013</v>
      </c>
      <c r="BG647" t="s">
        <v>74</v>
      </c>
      <c r="BH647" t="s">
        <v>74</v>
      </c>
      <c r="BI647">
        <v>31</v>
      </c>
      <c r="BJ647" t="s">
        <v>12728</v>
      </c>
      <c r="BK647" t="s">
        <v>9263</v>
      </c>
      <c r="BL647" t="s">
        <v>9262</v>
      </c>
      <c r="BM647" t="s">
        <v>12729</v>
      </c>
      <c r="BN647" t="s">
        <v>74</v>
      </c>
      <c r="BO647" t="s">
        <v>74</v>
      </c>
      <c r="BP647" t="s">
        <v>74</v>
      </c>
      <c r="BQ647" t="s">
        <v>74</v>
      </c>
      <c r="BR647" t="s">
        <v>102</v>
      </c>
      <c r="BS647" t="s">
        <v>12730</v>
      </c>
      <c r="BT647" t="str">
        <f>HYPERLINK("https%3A%2F%2Fwww.webofscience.com%2Fwos%2Fwoscc%2Ffull-record%2FWOS:000668215400001","View Full Record in Web of Science")</f>
        <v>View Full Record in Web of Science</v>
      </c>
    </row>
    <row r="648" spans="1:72" x14ac:dyDescent="0.15">
      <c r="A648" t="s">
        <v>72</v>
      </c>
      <c r="B648" t="s">
        <v>12731</v>
      </c>
      <c r="C648" t="s">
        <v>74</v>
      </c>
      <c r="D648" t="s">
        <v>74</v>
      </c>
      <c r="E648" t="s">
        <v>74</v>
      </c>
      <c r="F648" t="s">
        <v>12732</v>
      </c>
      <c r="G648" t="s">
        <v>74</v>
      </c>
      <c r="H648" t="s">
        <v>74</v>
      </c>
      <c r="I648" t="s">
        <v>12733</v>
      </c>
      <c r="J648" t="s">
        <v>1115</v>
      </c>
      <c r="K648" t="s">
        <v>74</v>
      </c>
      <c r="L648" t="s">
        <v>74</v>
      </c>
      <c r="M648" t="s">
        <v>78</v>
      </c>
      <c r="N648" t="s">
        <v>79</v>
      </c>
      <c r="O648" t="s">
        <v>74</v>
      </c>
      <c r="P648" t="s">
        <v>74</v>
      </c>
      <c r="Q648" t="s">
        <v>74</v>
      </c>
      <c r="R648" t="s">
        <v>74</v>
      </c>
      <c r="S648" t="s">
        <v>74</v>
      </c>
      <c r="T648" t="s">
        <v>12734</v>
      </c>
      <c r="U648" t="s">
        <v>12735</v>
      </c>
      <c r="V648" t="s">
        <v>12736</v>
      </c>
      <c r="W648" t="s">
        <v>12737</v>
      </c>
      <c r="X648" t="s">
        <v>12738</v>
      </c>
      <c r="Y648" t="s">
        <v>12739</v>
      </c>
      <c r="Z648" t="s">
        <v>12740</v>
      </c>
      <c r="AA648" t="s">
        <v>12741</v>
      </c>
      <c r="AB648" t="s">
        <v>12742</v>
      </c>
      <c r="AC648" t="s">
        <v>12743</v>
      </c>
      <c r="AD648" t="s">
        <v>12744</v>
      </c>
      <c r="AE648" t="s">
        <v>12745</v>
      </c>
      <c r="AF648" t="s">
        <v>74</v>
      </c>
      <c r="AG648">
        <v>61</v>
      </c>
      <c r="AH648">
        <v>1</v>
      </c>
      <c r="AI648">
        <v>1</v>
      </c>
      <c r="AJ648">
        <v>1</v>
      </c>
      <c r="AK648">
        <v>11</v>
      </c>
      <c r="AL648" t="s">
        <v>864</v>
      </c>
      <c r="AM648" t="s">
        <v>865</v>
      </c>
      <c r="AN648" t="s">
        <v>866</v>
      </c>
      <c r="AO648" t="s">
        <v>1128</v>
      </c>
      <c r="AP648" t="s">
        <v>1129</v>
      </c>
      <c r="AQ648" t="s">
        <v>74</v>
      </c>
      <c r="AR648" t="s">
        <v>1130</v>
      </c>
      <c r="AS648" t="s">
        <v>1131</v>
      </c>
      <c r="AT648" t="s">
        <v>4571</v>
      </c>
      <c r="AU648">
        <v>2021</v>
      </c>
      <c r="AV648">
        <v>126</v>
      </c>
      <c r="AW648">
        <v>6</v>
      </c>
      <c r="AX648" t="s">
        <v>74</v>
      </c>
      <c r="AY648" t="s">
        <v>74</v>
      </c>
      <c r="AZ648" t="s">
        <v>74</v>
      </c>
      <c r="BA648" t="s">
        <v>74</v>
      </c>
      <c r="BB648" t="s">
        <v>74</v>
      </c>
      <c r="BC648" t="s">
        <v>74</v>
      </c>
      <c r="BD648" t="s">
        <v>12746</v>
      </c>
      <c r="BE648" t="s">
        <v>12747</v>
      </c>
      <c r="BF648" t="str">
        <f>HYPERLINK("http://dx.doi.org/10.1029/2021JC017173","http://dx.doi.org/10.1029/2021JC017173")</f>
        <v>http://dx.doi.org/10.1029/2021JC017173</v>
      </c>
      <c r="BG648" t="s">
        <v>74</v>
      </c>
      <c r="BH648" t="s">
        <v>74</v>
      </c>
      <c r="BI648">
        <v>20</v>
      </c>
      <c r="BJ648" t="s">
        <v>1134</v>
      </c>
      <c r="BK648" t="s">
        <v>128</v>
      </c>
      <c r="BL648" t="s">
        <v>1134</v>
      </c>
      <c r="BM648" t="s">
        <v>12748</v>
      </c>
      <c r="BN648" t="s">
        <v>74</v>
      </c>
      <c r="BO648" t="s">
        <v>74</v>
      </c>
      <c r="BP648" t="s">
        <v>74</v>
      </c>
      <c r="BQ648" t="s">
        <v>74</v>
      </c>
      <c r="BR648" t="s">
        <v>102</v>
      </c>
      <c r="BS648" t="s">
        <v>12749</v>
      </c>
      <c r="BT648" t="str">
        <f>HYPERLINK("https%3A%2F%2Fwww.webofscience.com%2Fwos%2Fwoscc%2Ffull-record%2FWOS:000665203500024","View Full Record in Web of Science")</f>
        <v>View Full Record in Web of Science</v>
      </c>
    </row>
    <row r="649" spans="1:72" x14ac:dyDescent="0.15">
      <c r="A649" t="s">
        <v>72</v>
      </c>
      <c r="B649" t="s">
        <v>12750</v>
      </c>
      <c r="C649" t="s">
        <v>74</v>
      </c>
      <c r="D649" t="s">
        <v>74</v>
      </c>
      <c r="E649" t="s">
        <v>74</v>
      </c>
      <c r="F649" t="s">
        <v>12751</v>
      </c>
      <c r="G649" t="s">
        <v>74</v>
      </c>
      <c r="H649" t="s">
        <v>74</v>
      </c>
      <c r="I649" t="s">
        <v>12752</v>
      </c>
      <c r="J649" t="s">
        <v>1115</v>
      </c>
      <c r="K649" t="s">
        <v>74</v>
      </c>
      <c r="L649" t="s">
        <v>74</v>
      </c>
      <c r="M649" t="s">
        <v>78</v>
      </c>
      <c r="N649" t="s">
        <v>79</v>
      </c>
      <c r="O649" t="s">
        <v>74</v>
      </c>
      <c r="P649" t="s">
        <v>74</v>
      </c>
      <c r="Q649" t="s">
        <v>74</v>
      </c>
      <c r="R649" t="s">
        <v>74</v>
      </c>
      <c r="S649" t="s">
        <v>74</v>
      </c>
      <c r="T649" t="s">
        <v>12753</v>
      </c>
      <c r="U649" t="s">
        <v>12754</v>
      </c>
      <c r="V649" t="s">
        <v>12755</v>
      </c>
      <c r="W649" t="s">
        <v>12756</v>
      </c>
      <c r="X649" t="s">
        <v>12757</v>
      </c>
      <c r="Y649" t="s">
        <v>12758</v>
      </c>
      <c r="Z649" t="s">
        <v>12759</v>
      </c>
      <c r="AA649" t="s">
        <v>12760</v>
      </c>
      <c r="AB649" t="s">
        <v>12761</v>
      </c>
      <c r="AC649" t="s">
        <v>12762</v>
      </c>
      <c r="AD649" t="s">
        <v>12763</v>
      </c>
      <c r="AE649" t="s">
        <v>12764</v>
      </c>
      <c r="AF649" t="s">
        <v>74</v>
      </c>
      <c r="AG649">
        <v>72</v>
      </c>
      <c r="AH649">
        <v>9</v>
      </c>
      <c r="AI649">
        <v>10</v>
      </c>
      <c r="AJ649">
        <v>0</v>
      </c>
      <c r="AK649">
        <v>7</v>
      </c>
      <c r="AL649" t="s">
        <v>864</v>
      </c>
      <c r="AM649" t="s">
        <v>865</v>
      </c>
      <c r="AN649" t="s">
        <v>866</v>
      </c>
      <c r="AO649" t="s">
        <v>1128</v>
      </c>
      <c r="AP649" t="s">
        <v>1129</v>
      </c>
      <c r="AQ649" t="s">
        <v>74</v>
      </c>
      <c r="AR649" t="s">
        <v>1130</v>
      </c>
      <c r="AS649" t="s">
        <v>1131</v>
      </c>
      <c r="AT649" t="s">
        <v>4571</v>
      </c>
      <c r="AU649">
        <v>2021</v>
      </c>
      <c r="AV649">
        <v>126</v>
      </c>
      <c r="AW649">
        <v>6</v>
      </c>
      <c r="AX649" t="s">
        <v>74</v>
      </c>
      <c r="AY649" t="s">
        <v>74</v>
      </c>
      <c r="AZ649" t="s">
        <v>74</v>
      </c>
      <c r="BA649" t="s">
        <v>74</v>
      </c>
      <c r="BB649" t="s">
        <v>74</v>
      </c>
      <c r="BC649" t="s">
        <v>74</v>
      </c>
      <c r="BD649" t="s">
        <v>12765</v>
      </c>
      <c r="BE649" t="s">
        <v>12766</v>
      </c>
      <c r="BF649" t="str">
        <f>HYPERLINK("http://dx.doi.org/10.1029/2021JC017172","http://dx.doi.org/10.1029/2021JC017172")</f>
        <v>http://dx.doi.org/10.1029/2021JC017172</v>
      </c>
      <c r="BG649" t="s">
        <v>74</v>
      </c>
      <c r="BH649" t="s">
        <v>74</v>
      </c>
      <c r="BI649">
        <v>22</v>
      </c>
      <c r="BJ649" t="s">
        <v>1134</v>
      </c>
      <c r="BK649" t="s">
        <v>128</v>
      </c>
      <c r="BL649" t="s">
        <v>1134</v>
      </c>
      <c r="BM649" t="s">
        <v>12748</v>
      </c>
      <c r="BN649" t="s">
        <v>74</v>
      </c>
      <c r="BO649" t="s">
        <v>2125</v>
      </c>
      <c r="BP649" t="s">
        <v>74</v>
      </c>
      <c r="BQ649" t="s">
        <v>74</v>
      </c>
      <c r="BR649" t="s">
        <v>102</v>
      </c>
      <c r="BS649" t="s">
        <v>12767</v>
      </c>
      <c r="BT649" t="str">
        <f>HYPERLINK("https%3A%2F%2Fwww.webofscience.com%2Fwos%2Fwoscc%2Ffull-record%2FWOS:000665203500022","View Full Record in Web of Science")</f>
        <v>View Full Record in Web of Science</v>
      </c>
    </row>
    <row r="650" spans="1:72" x14ac:dyDescent="0.15">
      <c r="A650" t="s">
        <v>72</v>
      </c>
      <c r="B650" t="s">
        <v>12768</v>
      </c>
      <c r="C650" t="s">
        <v>74</v>
      </c>
      <c r="D650" t="s">
        <v>74</v>
      </c>
      <c r="E650" t="s">
        <v>74</v>
      </c>
      <c r="F650" t="s">
        <v>12769</v>
      </c>
      <c r="G650" t="s">
        <v>74</v>
      </c>
      <c r="H650" t="s">
        <v>74</v>
      </c>
      <c r="I650" t="s">
        <v>12770</v>
      </c>
      <c r="J650" t="s">
        <v>1115</v>
      </c>
      <c r="K650" t="s">
        <v>74</v>
      </c>
      <c r="L650" t="s">
        <v>74</v>
      </c>
      <c r="M650" t="s">
        <v>78</v>
      </c>
      <c r="N650" t="s">
        <v>79</v>
      </c>
      <c r="O650" t="s">
        <v>74</v>
      </c>
      <c r="P650" t="s">
        <v>74</v>
      </c>
      <c r="Q650" t="s">
        <v>74</v>
      </c>
      <c r="R650" t="s">
        <v>74</v>
      </c>
      <c r="S650" t="s">
        <v>74</v>
      </c>
      <c r="T650" t="s">
        <v>12771</v>
      </c>
      <c r="U650" t="s">
        <v>12772</v>
      </c>
      <c r="V650" t="s">
        <v>12773</v>
      </c>
      <c r="W650" t="s">
        <v>12774</v>
      </c>
      <c r="X650" t="s">
        <v>2640</v>
      </c>
      <c r="Y650" t="s">
        <v>12775</v>
      </c>
      <c r="Z650" t="s">
        <v>12776</v>
      </c>
      <c r="AA650" t="s">
        <v>12777</v>
      </c>
      <c r="AB650" t="s">
        <v>12778</v>
      </c>
      <c r="AC650" t="s">
        <v>12779</v>
      </c>
      <c r="AD650" t="s">
        <v>12780</v>
      </c>
      <c r="AE650" t="s">
        <v>12781</v>
      </c>
      <c r="AF650" t="s">
        <v>74</v>
      </c>
      <c r="AG650">
        <v>68</v>
      </c>
      <c r="AH650">
        <v>5</v>
      </c>
      <c r="AI650">
        <v>6</v>
      </c>
      <c r="AJ650">
        <v>0</v>
      </c>
      <c r="AK650">
        <v>5</v>
      </c>
      <c r="AL650" t="s">
        <v>864</v>
      </c>
      <c r="AM650" t="s">
        <v>865</v>
      </c>
      <c r="AN650" t="s">
        <v>866</v>
      </c>
      <c r="AO650" t="s">
        <v>1128</v>
      </c>
      <c r="AP650" t="s">
        <v>1129</v>
      </c>
      <c r="AQ650" t="s">
        <v>74</v>
      </c>
      <c r="AR650" t="s">
        <v>1130</v>
      </c>
      <c r="AS650" t="s">
        <v>1131</v>
      </c>
      <c r="AT650" t="s">
        <v>4571</v>
      </c>
      <c r="AU650">
        <v>2021</v>
      </c>
      <c r="AV650">
        <v>126</v>
      </c>
      <c r="AW650">
        <v>6</v>
      </c>
      <c r="AX650" t="s">
        <v>74</v>
      </c>
      <c r="AY650" t="s">
        <v>74</v>
      </c>
      <c r="AZ650" t="s">
        <v>74</v>
      </c>
      <c r="BA650" t="s">
        <v>74</v>
      </c>
      <c r="BB650" t="s">
        <v>74</v>
      </c>
      <c r="BC650" t="s">
        <v>74</v>
      </c>
      <c r="BD650" t="s">
        <v>12782</v>
      </c>
      <c r="BE650" t="s">
        <v>12783</v>
      </c>
      <c r="BF650" t="str">
        <f>HYPERLINK("http://dx.doi.org/10.1029/2020JC017106","http://dx.doi.org/10.1029/2020JC017106")</f>
        <v>http://dx.doi.org/10.1029/2020JC017106</v>
      </c>
      <c r="BG650" t="s">
        <v>74</v>
      </c>
      <c r="BH650" t="s">
        <v>74</v>
      </c>
      <c r="BI650">
        <v>21</v>
      </c>
      <c r="BJ650" t="s">
        <v>1134</v>
      </c>
      <c r="BK650" t="s">
        <v>128</v>
      </c>
      <c r="BL650" t="s">
        <v>1134</v>
      </c>
      <c r="BM650" t="s">
        <v>12748</v>
      </c>
      <c r="BN650" t="s">
        <v>74</v>
      </c>
      <c r="BO650" t="s">
        <v>2199</v>
      </c>
      <c r="BP650" t="s">
        <v>74</v>
      </c>
      <c r="BQ650" t="s">
        <v>74</v>
      </c>
      <c r="BR650" t="s">
        <v>102</v>
      </c>
      <c r="BS650" t="s">
        <v>12784</v>
      </c>
      <c r="BT650" t="str">
        <f>HYPERLINK("https%3A%2F%2Fwww.webofscience.com%2Fwos%2Fwoscc%2Ffull-record%2FWOS:000665203500029","View Full Record in Web of Science")</f>
        <v>View Full Record in Web of Science</v>
      </c>
    </row>
    <row r="651" spans="1:72" x14ac:dyDescent="0.15">
      <c r="A651" t="s">
        <v>72</v>
      </c>
      <c r="B651" t="s">
        <v>12785</v>
      </c>
      <c r="C651" t="s">
        <v>74</v>
      </c>
      <c r="D651" t="s">
        <v>74</v>
      </c>
      <c r="E651" t="s">
        <v>74</v>
      </c>
      <c r="F651" t="s">
        <v>12786</v>
      </c>
      <c r="G651" t="s">
        <v>74</v>
      </c>
      <c r="H651" t="s">
        <v>74</v>
      </c>
      <c r="I651" t="s">
        <v>12787</v>
      </c>
      <c r="J651" t="s">
        <v>1115</v>
      </c>
      <c r="K651" t="s">
        <v>74</v>
      </c>
      <c r="L651" t="s">
        <v>74</v>
      </c>
      <c r="M651" t="s">
        <v>78</v>
      </c>
      <c r="N651" t="s">
        <v>79</v>
      </c>
      <c r="O651" t="s">
        <v>74</v>
      </c>
      <c r="P651" t="s">
        <v>74</v>
      </c>
      <c r="Q651" t="s">
        <v>74</v>
      </c>
      <c r="R651" t="s">
        <v>74</v>
      </c>
      <c r="S651" t="s">
        <v>74</v>
      </c>
      <c r="T651" t="s">
        <v>12788</v>
      </c>
      <c r="U651" t="s">
        <v>12789</v>
      </c>
      <c r="V651" t="s">
        <v>12790</v>
      </c>
      <c r="W651" t="s">
        <v>12791</v>
      </c>
      <c r="X651" t="s">
        <v>12792</v>
      </c>
      <c r="Y651" t="s">
        <v>12793</v>
      </c>
      <c r="Z651" t="s">
        <v>12794</v>
      </c>
      <c r="AA651" t="s">
        <v>12795</v>
      </c>
      <c r="AB651" t="s">
        <v>74</v>
      </c>
      <c r="AC651" t="s">
        <v>12796</v>
      </c>
      <c r="AD651" t="s">
        <v>12797</v>
      </c>
      <c r="AE651" t="s">
        <v>12798</v>
      </c>
      <c r="AF651" t="s">
        <v>74</v>
      </c>
      <c r="AG651">
        <v>65</v>
      </c>
      <c r="AH651">
        <v>5</v>
      </c>
      <c r="AI651">
        <v>6</v>
      </c>
      <c r="AJ651">
        <v>1</v>
      </c>
      <c r="AK651">
        <v>9</v>
      </c>
      <c r="AL651" t="s">
        <v>864</v>
      </c>
      <c r="AM651" t="s">
        <v>865</v>
      </c>
      <c r="AN651" t="s">
        <v>866</v>
      </c>
      <c r="AO651" t="s">
        <v>1128</v>
      </c>
      <c r="AP651" t="s">
        <v>1129</v>
      </c>
      <c r="AQ651" t="s">
        <v>74</v>
      </c>
      <c r="AR651" t="s">
        <v>1130</v>
      </c>
      <c r="AS651" t="s">
        <v>1131</v>
      </c>
      <c r="AT651" t="s">
        <v>4571</v>
      </c>
      <c r="AU651">
        <v>2021</v>
      </c>
      <c r="AV651">
        <v>126</v>
      </c>
      <c r="AW651">
        <v>6</v>
      </c>
      <c r="AX651" t="s">
        <v>74</v>
      </c>
      <c r="AY651" t="s">
        <v>74</v>
      </c>
      <c r="AZ651" t="s">
        <v>74</v>
      </c>
      <c r="BA651" t="s">
        <v>74</v>
      </c>
      <c r="BB651" t="s">
        <v>74</v>
      </c>
      <c r="BC651" t="s">
        <v>74</v>
      </c>
      <c r="BD651" t="s">
        <v>12799</v>
      </c>
      <c r="BE651" t="s">
        <v>12800</v>
      </c>
      <c r="BF651" t="str">
        <f>HYPERLINK("http://dx.doi.org/10.1029/2020JC016613","http://dx.doi.org/10.1029/2020JC016613")</f>
        <v>http://dx.doi.org/10.1029/2020JC016613</v>
      </c>
      <c r="BG651" t="s">
        <v>74</v>
      </c>
      <c r="BH651" t="s">
        <v>74</v>
      </c>
      <c r="BI651">
        <v>20</v>
      </c>
      <c r="BJ651" t="s">
        <v>1134</v>
      </c>
      <c r="BK651" t="s">
        <v>128</v>
      </c>
      <c r="BL651" t="s">
        <v>1134</v>
      </c>
      <c r="BM651" t="s">
        <v>12748</v>
      </c>
      <c r="BN651" t="s">
        <v>74</v>
      </c>
      <c r="BO651" t="s">
        <v>74</v>
      </c>
      <c r="BP651" t="s">
        <v>74</v>
      </c>
      <c r="BQ651" t="s">
        <v>74</v>
      </c>
      <c r="BR651" t="s">
        <v>102</v>
      </c>
      <c r="BS651" t="s">
        <v>12801</v>
      </c>
      <c r="BT651" t="str">
        <f>HYPERLINK("https%3A%2F%2Fwww.webofscience.com%2Fwos%2Fwoscc%2Ffull-record%2FWOS:000665203500013","View Full Record in Web of Science")</f>
        <v>View Full Record in Web of Science</v>
      </c>
    </row>
    <row r="652" spans="1:72" x14ac:dyDescent="0.15">
      <c r="A652" t="s">
        <v>72</v>
      </c>
      <c r="B652" t="s">
        <v>12802</v>
      </c>
      <c r="C652" t="s">
        <v>74</v>
      </c>
      <c r="D652" t="s">
        <v>74</v>
      </c>
      <c r="E652" t="s">
        <v>74</v>
      </c>
      <c r="F652" t="s">
        <v>12803</v>
      </c>
      <c r="G652" t="s">
        <v>74</v>
      </c>
      <c r="H652" t="s">
        <v>74</v>
      </c>
      <c r="I652" t="s">
        <v>12804</v>
      </c>
      <c r="J652" t="s">
        <v>1115</v>
      </c>
      <c r="K652" t="s">
        <v>74</v>
      </c>
      <c r="L652" t="s">
        <v>74</v>
      </c>
      <c r="M652" t="s">
        <v>78</v>
      </c>
      <c r="N652" t="s">
        <v>79</v>
      </c>
      <c r="O652" t="s">
        <v>74</v>
      </c>
      <c r="P652" t="s">
        <v>74</v>
      </c>
      <c r="Q652" t="s">
        <v>74</v>
      </c>
      <c r="R652" t="s">
        <v>74</v>
      </c>
      <c r="S652" t="s">
        <v>74</v>
      </c>
      <c r="T652" t="s">
        <v>12805</v>
      </c>
      <c r="U652" t="s">
        <v>12806</v>
      </c>
      <c r="V652" t="s">
        <v>12807</v>
      </c>
      <c r="W652" t="s">
        <v>12808</v>
      </c>
      <c r="X652" t="s">
        <v>12809</v>
      </c>
      <c r="Y652" t="s">
        <v>12810</v>
      </c>
      <c r="Z652" t="s">
        <v>12811</v>
      </c>
      <c r="AA652" t="s">
        <v>12812</v>
      </c>
      <c r="AB652" t="s">
        <v>12813</v>
      </c>
      <c r="AC652" t="s">
        <v>12814</v>
      </c>
      <c r="AD652" t="s">
        <v>12815</v>
      </c>
      <c r="AE652" t="s">
        <v>12816</v>
      </c>
      <c r="AF652" t="s">
        <v>74</v>
      </c>
      <c r="AG652">
        <v>59</v>
      </c>
      <c r="AH652">
        <v>2</v>
      </c>
      <c r="AI652">
        <v>2</v>
      </c>
      <c r="AJ652">
        <v>2</v>
      </c>
      <c r="AK652">
        <v>8</v>
      </c>
      <c r="AL652" t="s">
        <v>864</v>
      </c>
      <c r="AM652" t="s">
        <v>865</v>
      </c>
      <c r="AN652" t="s">
        <v>866</v>
      </c>
      <c r="AO652" t="s">
        <v>1128</v>
      </c>
      <c r="AP652" t="s">
        <v>1129</v>
      </c>
      <c r="AQ652" t="s">
        <v>74</v>
      </c>
      <c r="AR652" t="s">
        <v>1130</v>
      </c>
      <c r="AS652" t="s">
        <v>1131</v>
      </c>
      <c r="AT652" t="s">
        <v>4571</v>
      </c>
      <c r="AU652">
        <v>2021</v>
      </c>
      <c r="AV652">
        <v>126</v>
      </c>
      <c r="AW652">
        <v>6</v>
      </c>
      <c r="AX652" t="s">
        <v>74</v>
      </c>
      <c r="AY652" t="s">
        <v>74</v>
      </c>
      <c r="AZ652" t="s">
        <v>74</v>
      </c>
      <c r="BA652" t="s">
        <v>74</v>
      </c>
      <c r="BB652" t="s">
        <v>74</v>
      </c>
      <c r="BC652" t="s">
        <v>74</v>
      </c>
      <c r="BD652" t="s">
        <v>12817</v>
      </c>
      <c r="BE652" t="s">
        <v>12818</v>
      </c>
      <c r="BF652" t="str">
        <f>HYPERLINK("http://dx.doi.org/10.1029/2019JC015918","http://dx.doi.org/10.1029/2019JC015918")</f>
        <v>http://dx.doi.org/10.1029/2019JC015918</v>
      </c>
      <c r="BG652" t="s">
        <v>74</v>
      </c>
      <c r="BH652" t="s">
        <v>74</v>
      </c>
      <c r="BI652">
        <v>21</v>
      </c>
      <c r="BJ652" t="s">
        <v>1134</v>
      </c>
      <c r="BK652" t="s">
        <v>128</v>
      </c>
      <c r="BL652" t="s">
        <v>1134</v>
      </c>
      <c r="BM652" t="s">
        <v>12748</v>
      </c>
      <c r="BN652" t="s">
        <v>74</v>
      </c>
      <c r="BO652" t="s">
        <v>238</v>
      </c>
      <c r="BP652" t="s">
        <v>74</v>
      </c>
      <c r="BQ652" t="s">
        <v>74</v>
      </c>
      <c r="BR652" t="s">
        <v>102</v>
      </c>
      <c r="BS652" t="s">
        <v>12819</v>
      </c>
      <c r="BT652" t="str">
        <f>HYPERLINK("https%3A%2F%2Fwww.webofscience.com%2Fwos%2Fwoscc%2Ffull-record%2FWOS:000665203500021","View Full Record in Web of Science")</f>
        <v>View Full Record in Web of Science</v>
      </c>
    </row>
    <row r="653" spans="1:72" x14ac:dyDescent="0.15">
      <c r="A653" t="s">
        <v>72</v>
      </c>
      <c r="B653" t="s">
        <v>12820</v>
      </c>
      <c r="C653" t="s">
        <v>74</v>
      </c>
      <c r="D653" t="s">
        <v>74</v>
      </c>
      <c r="E653" t="s">
        <v>74</v>
      </c>
      <c r="F653" t="s">
        <v>12821</v>
      </c>
      <c r="G653" t="s">
        <v>74</v>
      </c>
      <c r="H653" t="s">
        <v>74</v>
      </c>
      <c r="I653" t="s">
        <v>12822</v>
      </c>
      <c r="J653" t="s">
        <v>1115</v>
      </c>
      <c r="K653" t="s">
        <v>74</v>
      </c>
      <c r="L653" t="s">
        <v>74</v>
      </c>
      <c r="M653" t="s">
        <v>78</v>
      </c>
      <c r="N653" t="s">
        <v>79</v>
      </c>
      <c r="O653" t="s">
        <v>74</v>
      </c>
      <c r="P653" t="s">
        <v>74</v>
      </c>
      <c r="Q653" t="s">
        <v>74</v>
      </c>
      <c r="R653" t="s">
        <v>74</v>
      </c>
      <c r="S653" t="s">
        <v>74</v>
      </c>
      <c r="T653" t="s">
        <v>12823</v>
      </c>
      <c r="U653" t="s">
        <v>12824</v>
      </c>
      <c r="V653" t="s">
        <v>12825</v>
      </c>
      <c r="W653" t="s">
        <v>12826</v>
      </c>
      <c r="X653" t="s">
        <v>12827</v>
      </c>
      <c r="Y653" t="s">
        <v>12828</v>
      </c>
      <c r="Z653" t="s">
        <v>12829</v>
      </c>
      <c r="AA653" t="s">
        <v>12830</v>
      </c>
      <c r="AB653" t="s">
        <v>12831</v>
      </c>
      <c r="AC653" t="s">
        <v>12832</v>
      </c>
      <c r="AD653" t="s">
        <v>12832</v>
      </c>
      <c r="AE653" t="s">
        <v>12833</v>
      </c>
      <c r="AF653" t="s">
        <v>74</v>
      </c>
      <c r="AG653">
        <v>48</v>
      </c>
      <c r="AH653">
        <v>9</v>
      </c>
      <c r="AI653">
        <v>9</v>
      </c>
      <c r="AJ653">
        <v>3</v>
      </c>
      <c r="AK653">
        <v>24</v>
      </c>
      <c r="AL653" t="s">
        <v>864</v>
      </c>
      <c r="AM653" t="s">
        <v>865</v>
      </c>
      <c r="AN653" t="s">
        <v>866</v>
      </c>
      <c r="AO653" t="s">
        <v>1128</v>
      </c>
      <c r="AP653" t="s">
        <v>1129</v>
      </c>
      <c r="AQ653" t="s">
        <v>74</v>
      </c>
      <c r="AR653" t="s">
        <v>1130</v>
      </c>
      <c r="AS653" t="s">
        <v>1131</v>
      </c>
      <c r="AT653" t="s">
        <v>4571</v>
      </c>
      <c r="AU653">
        <v>2021</v>
      </c>
      <c r="AV653">
        <v>126</v>
      </c>
      <c r="AW653">
        <v>6</v>
      </c>
      <c r="AX653" t="s">
        <v>74</v>
      </c>
      <c r="AY653" t="s">
        <v>74</v>
      </c>
      <c r="AZ653" t="s">
        <v>74</v>
      </c>
      <c r="BA653" t="s">
        <v>74</v>
      </c>
      <c r="BB653" t="s">
        <v>74</v>
      </c>
      <c r="BC653" t="s">
        <v>74</v>
      </c>
      <c r="BD653" t="s">
        <v>12834</v>
      </c>
      <c r="BE653" t="s">
        <v>12835</v>
      </c>
      <c r="BF653" t="str">
        <f>HYPERLINK("http://dx.doi.org/10.1029/2020JC016973","http://dx.doi.org/10.1029/2020JC016973")</f>
        <v>http://dx.doi.org/10.1029/2020JC016973</v>
      </c>
      <c r="BG653" t="s">
        <v>74</v>
      </c>
      <c r="BH653" t="s">
        <v>74</v>
      </c>
      <c r="BI653">
        <v>16</v>
      </c>
      <c r="BJ653" t="s">
        <v>1134</v>
      </c>
      <c r="BK653" t="s">
        <v>128</v>
      </c>
      <c r="BL653" t="s">
        <v>1134</v>
      </c>
      <c r="BM653" t="s">
        <v>12748</v>
      </c>
      <c r="BN653" t="s">
        <v>74</v>
      </c>
      <c r="BO653" t="s">
        <v>74</v>
      </c>
      <c r="BP653" t="s">
        <v>74</v>
      </c>
      <c r="BQ653" t="s">
        <v>74</v>
      </c>
      <c r="BR653" t="s">
        <v>102</v>
      </c>
      <c r="BS653" t="s">
        <v>12836</v>
      </c>
      <c r="BT653" t="str">
        <f>HYPERLINK("https%3A%2F%2Fwww.webofscience.com%2Fwos%2Fwoscc%2Ffull-record%2FWOS:000665203500031","View Full Record in Web of Science")</f>
        <v>View Full Record in Web of Science</v>
      </c>
    </row>
    <row r="654" spans="1:72" x14ac:dyDescent="0.15">
      <c r="A654" t="s">
        <v>72</v>
      </c>
      <c r="B654" t="s">
        <v>12837</v>
      </c>
      <c r="C654" t="s">
        <v>74</v>
      </c>
      <c r="D654" t="s">
        <v>74</v>
      </c>
      <c r="E654" t="s">
        <v>74</v>
      </c>
      <c r="F654" t="s">
        <v>12838</v>
      </c>
      <c r="G654" t="s">
        <v>74</v>
      </c>
      <c r="H654" t="s">
        <v>74</v>
      </c>
      <c r="I654" t="s">
        <v>12839</v>
      </c>
      <c r="J654" t="s">
        <v>851</v>
      </c>
      <c r="K654" t="s">
        <v>74</v>
      </c>
      <c r="L654" t="s">
        <v>74</v>
      </c>
      <c r="M654" t="s">
        <v>78</v>
      </c>
      <c r="N654" t="s">
        <v>79</v>
      </c>
      <c r="O654" t="s">
        <v>74</v>
      </c>
      <c r="P654" t="s">
        <v>74</v>
      </c>
      <c r="Q654" t="s">
        <v>74</v>
      </c>
      <c r="R654" t="s">
        <v>74</v>
      </c>
      <c r="S654" t="s">
        <v>74</v>
      </c>
      <c r="T654" t="s">
        <v>12840</v>
      </c>
      <c r="U654" t="s">
        <v>12841</v>
      </c>
      <c r="V654" t="s">
        <v>12842</v>
      </c>
      <c r="W654" t="s">
        <v>12843</v>
      </c>
      <c r="X654" t="s">
        <v>12844</v>
      </c>
      <c r="Y654" t="s">
        <v>12845</v>
      </c>
      <c r="Z654" t="s">
        <v>12846</v>
      </c>
      <c r="AA654" t="s">
        <v>12847</v>
      </c>
      <c r="AB654" t="s">
        <v>12848</v>
      </c>
      <c r="AC654" t="s">
        <v>12849</v>
      </c>
      <c r="AD654" t="s">
        <v>12850</v>
      </c>
      <c r="AE654" t="s">
        <v>12851</v>
      </c>
      <c r="AF654" t="s">
        <v>74</v>
      </c>
      <c r="AG654">
        <v>95</v>
      </c>
      <c r="AH654">
        <v>4</v>
      </c>
      <c r="AI654">
        <v>4</v>
      </c>
      <c r="AJ654">
        <v>1</v>
      </c>
      <c r="AK654">
        <v>7</v>
      </c>
      <c r="AL654" t="s">
        <v>864</v>
      </c>
      <c r="AM654" t="s">
        <v>865</v>
      </c>
      <c r="AN654" t="s">
        <v>866</v>
      </c>
      <c r="AO654" t="s">
        <v>74</v>
      </c>
      <c r="AP654" t="s">
        <v>867</v>
      </c>
      <c r="AQ654" t="s">
        <v>74</v>
      </c>
      <c r="AR654" t="s">
        <v>868</v>
      </c>
      <c r="AS654" t="s">
        <v>869</v>
      </c>
      <c r="AT654" t="s">
        <v>4571</v>
      </c>
      <c r="AU654">
        <v>2021</v>
      </c>
      <c r="AV654">
        <v>22</v>
      </c>
      <c r="AW654">
        <v>6</v>
      </c>
      <c r="AX654" t="s">
        <v>74</v>
      </c>
      <c r="AY654" t="s">
        <v>74</v>
      </c>
      <c r="AZ654" t="s">
        <v>74</v>
      </c>
      <c r="BA654" t="s">
        <v>74</v>
      </c>
      <c r="BB654" t="s">
        <v>74</v>
      </c>
      <c r="BC654" t="s">
        <v>74</v>
      </c>
      <c r="BD654" t="s">
        <v>12852</v>
      </c>
      <c r="BE654" t="s">
        <v>12853</v>
      </c>
      <c r="BF654" t="str">
        <f>HYPERLINK("http://dx.doi.org/10.1029/2021GC009688","http://dx.doi.org/10.1029/2021GC009688")</f>
        <v>http://dx.doi.org/10.1029/2021GC009688</v>
      </c>
      <c r="BG654" t="s">
        <v>74</v>
      </c>
      <c r="BH654" t="s">
        <v>74</v>
      </c>
      <c r="BI654">
        <v>22</v>
      </c>
      <c r="BJ654" t="s">
        <v>289</v>
      </c>
      <c r="BK654" t="s">
        <v>128</v>
      </c>
      <c r="BL654" t="s">
        <v>289</v>
      </c>
      <c r="BM654" t="s">
        <v>12854</v>
      </c>
      <c r="BN654" t="s">
        <v>74</v>
      </c>
      <c r="BO654" t="s">
        <v>661</v>
      </c>
      <c r="BP654" t="s">
        <v>74</v>
      </c>
      <c r="BQ654" t="s">
        <v>74</v>
      </c>
      <c r="BR654" t="s">
        <v>102</v>
      </c>
      <c r="BS654" t="s">
        <v>12855</v>
      </c>
      <c r="BT654" t="str">
        <f>HYPERLINK("https%3A%2F%2Fwww.webofscience.com%2Fwos%2Fwoscc%2Ffull-record%2FWOS:000666403200017","View Full Record in Web of Science")</f>
        <v>View Full Record in Web of Science</v>
      </c>
    </row>
    <row r="655" spans="1:72" x14ac:dyDescent="0.15">
      <c r="A655" t="s">
        <v>72</v>
      </c>
      <c r="B655" t="s">
        <v>12856</v>
      </c>
      <c r="C655" t="s">
        <v>74</v>
      </c>
      <c r="D655" t="s">
        <v>74</v>
      </c>
      <c r="E655" t="s">
        <v>74</v>
      </c>
      <c r="F655" t="s">
        <v>12857</v>
      </c>
      <c r="G655" t="s">
        <v>74</v>
      </c>
      <c r="H655" t="s">
        <v>74</v>
      </c>
      <c r="I655" t="s">
        <v>12858</v>
      </c>
      <c r="J655" t="s">
        <v>12859</v>
      </c>
      <c r="K655" t="s">
        <v>74</v>
      </c>
      <c r="L655" t="s">
        <v>74</v>
      </c>
      <c r="M655" t="s">
        <v>78</v>
      </c>
      <c r="N655" t="s">
        <v>79</v>
      </c>
      <c r="O655" t="s">
        <v>74</v>
      </c>
      <c r="P655" t="s">
        <v>74</v>
      </c>
      <c r="Q655" t="s">
        <v>74</v>
      </c>
      <c r="R655" t="s">
        <v>74</v>
      </c>
      <c r="S655" t="s">
        <v>74</v>
      </c>
      <c r="T655" t="s">
        <v>12860</v>
      </c>
      <c r="U655" t="s">
        <v>12861</v>
      </c>
      <c r="V655" t="s">
        <v>12862</v>
      </c>
      <c r="W655" t="s">
        <v>12863</v>
      </c>
      <c r="X655" t="s">
        <v>12864</v>
      </c>
      <c r="Y655" t="s">
        <v>12865</v>
      </c>
      <c r="Z655" t="s">
        <v>12866</v>
      </c>
      <c r="AA655" t="s">
        <v>12867</v>
      </c>
      <c r="AB655" t="s">
        <v>12868</v>
      </c>
      <c r="AC655" t="s">
        <v>12869</v>
      </c>
      <c r="AD655" t="s">
        <v>12870</v>
      </c>
      <c r="AE655" t="s">
        <v>12871</v>
      </c>
      <c r="AF655" t="s">
        <v>74</v>
      </c>
      <c r="AG655">
        <v>122</v>
      </c>
      <c r="AH655">
        <v>7</v>
      </c>
      <c r="AI655">
        <v>8</v>
      </c>
      <c r="AJ655">
        <v>3</v>
      </c>
      <c r="AK655">
        <v>19</v>
      </c>
      <c r="AL655" t="s">
        <v>197</v>
      </c>
      <c r="AM655" t="s">
        <v>198</v>
      </c>
      <c r="AN655" t="s">
        <v>199</v>
      </c>
      <c r="AO655" t="s">
        <v>12872</v>
      </c>
      <c r="AP655" t="s">
        <v>74</v>
      </c>
      <c r="AQ655" t="s">
        <v>74</v>
      </c>
      <c r="AR655" t="s">
        <v>12859</v>
      </c>
      <c r="AS655" t="s">
        <v>12873</v>
      </c>
      <c r="AT655" t="s">
        <v>4571</v>
      </c>
      <c r="AU655">
        <v>2021</v>
      </c>
      <c r="AV655">
        <v>10</v>
      </c>
      <c r="AW655">
        <v>3</v>
      </c>
      <c r="AX655" t="s">
        <v>74</v>
      </c>
      <c r="AY655" t="s">
        <v>74</v>
      </c>
      <c r="AZ655" t="s">
        <v>74</v>
      </c>
      <c r="BA655" t="s">
        <v>74</v>
      </c>
      <c r="BB655" t="s">
        <v>74</v>
      </c>
      <c r="BC655" t="s">
        <v>74</v>
      </c>
      <c r="BD655" t="s">
        <v>12874</v>
      </c>
      <c r="BE655" t="s">
        <v>12875</v>
      </c>
      <c r="BF655" t="str">
        <f>HYPERLINK("http://dx.doi.org/10.1002/mbo3.1195","http://dx.doi.org/10.1002/mbo3.1195")</f>
        <v>http://dx.doi.org/10.1002/mbo3.1195</v>
      </c>
      <c r="BG655" t="s">
        <v>74</v>
      </c>
      <c r="BH655" t="s">
        <v>74</v>
      </c>
      <c r="BI655">
        <v>24</v>
      </c>
      <c r="BJ655" t="s">
        <v>1499</v>
      </c>
      <c r="BK655" t="s">
        <v>128</v>
      </c>
      <c r="BL655" t="s">
        <v>1499</v>
      </c>
      <c r="BM655" t="s">
        <v>12876</v>
      </c>
      <c r="BN655">
        <v>34180601</v>
      </c>
      <c r="BO655" t="s">
        <v>1377</v>
      </c>
      <c r="BP655" t="s">
        <v>74</v>
      </c>
      <c r="BQ655" t="s">
        <v>74</v>
      </c>
      <c r="BR655" t="s">
        <v>102</v>
      </c>
      <c r="BS655" t="s">
        <v>12877</v>
      </c>
      <c r="BT655" t="str">
        <f>HYPERLINK("https%3A%2F%2Fwww.webofscience.com%2Fwos%2Fwoscc%2Ffull-record%2FWOS:000667175200015","View Full Record in Web of Science")</f>
        <v>View Full Record in Web of Science</v>
      </c>
    </row>
    <row r="656" spans="1:72" x14ac:dyDescent="0.15">
      <c r="A656" t="s">
        <v>72</v>
      </c>
      <c r="B656" t="s">
        <v>12878</v>
      </c>
      <c r="C656" t="s">
        <v>74</v>
      </c>
      <c r="D656" t="s">
        <v>74</v>
      </c>
      <c r="E656" t="s">
        <v>74</v>
      </c>
      <c r="F656" t="s">
        <v>12879</v>
      </c>
      <c r="G656" t="s">
        <v>74</v>
      </c>
      <c r="H656" t="s">
        <v>74</v>
      </c>
      <c r="I656" t="s">
        <v>12880</v>
      </c>
      <c r="J656" t="s">
        <v>12881</v>
      </c>
      <c r="K656" t="s">
        <v>74</v>
      </c>
      <c r="L656" t="s">
        <v>74</v>
      </c>
      <c r="M656" t="s">
        <v>78</v>
      </c>
      <c r="N656" t="s">
        <v>79</v>
      </c>
      <c r="O656" t="s">
        <v>74</v>
      </c>
      <c r="P656" t="s">
        <v>74</v>
      </c>
      <c r="Q656" t="s">
        <v>74</v>
      </c>
      <c r="R656" t="s">
        <v>74</v>
      </c>
      <c r="S656" t="s">
        <v>74</v>
      </c>
      <c r="T656" t="s">
        <v>12882</v>
      </c>
      <c r="U656" t="s">
        <v>12883</v>
      </c>
      <c r="V656" t="s">
        <v>12884</v>
      </c>
      <c r="W656" t="s">
        <v>12885</v>
      </c>
      <c r="X656" t="s">
        <v>12886</v>
      </c>
      <c r="Y656" t="s">
        <v>12887</v>
      </c>
      <c r="Z656" t="s">
        <v>12888</v>
      </c>
      <c r="AA656" t="s">
        <v>74</v>
      </c>
      <c r="AB656" t="s">
        <v>74</v>
      </c>
      <c r="AC656" t="s">
        <v>74</v>
      </c>
      <c r="AD656" t="s">
        <v>74</v>
      </c>
      <c r="AE656" t="s">
        <v>74</v>
      </c>
      <c r="AF656" t="s">
        <v>74</v>
      </c>
      <c r="AG656">
        <v>39</v>
      </c>
      <c r="AH656">
        <v>5</v>
      </c>
      <c r="AI656">
        <v>5</v>
      </c>
      <c r="AJ656">
        <v>1</v>
      </c>
      <c r="AK656">
        <v>16</v>
      </c>
      <c r="AL656" t="s">
        <v>864</v>
      </c>
      <c r="AM656" t="s">
        <v>865</v>
      </c>
      <c r="AN656" t="s">
        <v>866</v>
      </c>
      <c r="AO656" t="s">
        <v>12889</v>
      </c>
      <c r="AP656" t="s">
        <v>12890</v>
      </c>
      <c r="AQ656" t="s">
        <v>74</v>
      </c>
      <c r="AR656" t="s">
        <v>12891</v>
      </c>
      <c r="AS656" t="s">
        <v>12892</v>
      </c>
      <c r="AT656" t="s">
        <v>4571</v>
      </c>
      <c r="AU656">
        <v>2021</v>
      </c>
      <c r="AV656">
        <v>56</v>
      </c>
      <c r="AW656">
        <v>6</v>
      </c>
      <c r="AX656" t="s">
        <v>74</v>
      </c>
      <c r="AY656" t="s">
        <v>74</v>
      </c>
      <c r="AZ656" t="s">
        <v>74</v>
      </c>
      <c r="BA656" t="s">
        <v>74</v>
      </c>
      <c r="BB656" t="s">
        <v>74</v>
      </c>
      <c r="BC656" t="s">
        <v>74</v>
      </c>
      <c r="BD656" t="s">
        <v>12893</v>
      </c>
      <c r="BE656" t="s">
        <v>12894</v>
      </c>
      <c r="BF656" t="str">
        <f>HYPERLINK("http://dx.doi.org/10.1029/2019RS007052","http://dx.doi.org/10.1029/2019RS007052")</f>
        <v>http://dx.doi.org/10.1029/2019RS007052</v>
      </c>
      <c r="BG656" t="s">
        <v>74</v>
      </c>
      <c r="BH656" t="s">
        <v>74</v>
      </c>
      <c r="BI656">
        <v>14</v>
      </c>
      <c r="BJ656" t="s">
        <v>12895</v>
      </c>
      <c r="BK656" t="s">
        <v>128</v>
      </c>
      <c r="BL656" t="s">
        <v>12895</v>
      </c>
      <c r="BM656" t="s">
        <v>12896</v>
      </c>
      <c r="BN656" t="s">
        <v>74</v>
      </c>
      <c r="BO656" t="s">
        <v>74</v>
      </c>
      <c r="BP656" t="s">
        <v>74</v>
      </c>
      <c r="BQ656" t="s">
        <v>74</v>
      </c>
      <c r="BR656" t="s">
        <v>102</v>
      </c>
      <c r="BS656" t="s">
        <v>12897</v>
      </c>
      <c r="BT656" t="str">
        <f>HYPERLINK("https%3A%2F%2Fwww.webofscience.com%2Fwos%2Fwoscc%2Ffull-record%2FWOS:000667443400002","View Full Record in Web of Science")</f>
        <v>View Full Record in Web of Science</v>
      </c>
    </row>
    <row r="657" spans="1:72" x14ac:dyDescent="0.15">
      <c r="A657" t="s">
        <v>72</v>
      </c>
      <c r="B657" t="s">
        <v>12898</v>
      </c>
      <c r="C657" t="s">
        <v>74</v>
      </c>
      <c r="D657" t="s">
        <v>74</v>
      </c>
      <c r="E657" t="s">
        <v>74</v>
      </c>
      <c r="F657" t="s">
        <v>12899</v>
      </c>
      <c r="G657" t="s">
        <v>74</v>
      </c>
      <c r="H657" t="s">
        <v>74</v>
      </c>
      <c r="I657" t="s">
        <v>12900</v>
      </c>
      <c r="J657" t="s">
        <v>12901</v>
      </c>
      <c r="K657" t="s">
        <v>74</v>
      </c>
      <c r="L657" t="s">
        <v>74</v>
      </c>
      <c r="M657" t="s">
        <v>78</v>
      </c>
      <c r="N657" t="s">
        <v>79</v>
      </c>
      <c r="O657" t="s">
        <v>74</v>
      </c>
      <c r="P657" t="s">
        <v>74</v>
      </c>
      <c r="Q657" t="s">
        <v>74</v>
      </c>
      <c r="R657" t="s">
        <v>74</v>
      </c>
      <c r="S657" t="s">
        <v>74</v>
      </c>
      <c r="T657" t="s">
        <v>12902</v>
      </c>
      <c r="U657" t="s">
        <v>12903</v>
      </c>
      <c r="V657" t="s">
        <v>12904</v>
      </c>
      <c r="W657" t="s">
        <v>12905</v>
      </c>
      <c r="X657" t="s">
        <v>12906</v>
      </c>
      <c r="Y657" t="s">
        <v>12907</v>
      </c>
      <c r="Z657" t="s">
        <v>12908</v>
      </c>
      <c r="AA657" t="s">
        <v>12909</v>
      </c>
      <c r="AB657" t="s">
        <v>12910</v>
      </c>
      <c r="AC657" t="s">
        <v>12911</v>
      </c>
      <c r="AD657" t="s">
        <v>12912</v>
      </c>
      <c r="AE657" t="s">
        <v>12913</v>
      </c>
      <c r="AF657" t="s">
        <v>74</v>
      </c>
      <c r="AG657">
        <v>69</v>
      </c>
      <c r="AH657">
        <v>2</v>
      </c>
      <c r="AI657">
        <v>4</v>
      </c>
      <c r="AJ657">
        <v>3</v>
      </c>
      <c r="AK657">
        <v>6</v>
      </c>
      <c r="AL657" t="s">
        <v>12914</v>
      </c>
      <c r="AM657" t="s">
        <v>12915</v>
      </c>
      <c r="AN657" t="s">
        <v>12916</v>
      </c>
      <c r="AO657" t="s">
        <v>12917</v>
      </c>
      <c r="AP657" t="s">
        <v>12918</v>
      </c>
      <c r="AQ657" t="s">
        <v>74</v>
      </c>
      <c r="AR657" t="s">
        <v>12919</v>
      </c>
      <c r="AS657" t="s">
        <v>12920</v>
      </c>
      <c r="AT657" t="s">
        <v>4571</v>
      </c>
      <c r="AU657">
        <v>2021</v>
      </c>
      <c r="AV657">
        <v>85</v>
      </c>
      <c r="AW657">
        <v>2</v>
      </c>
      <c r="AX657" t="s">
        <v>74</v>
      </c>
      <c r="AY657" t="s">
        <v>74</v>
      </c>
      <c r="AZ657" t="s">
        <v>74</v>
      </c>
      <c r="BA657" t="s">
        <v>74</v>
      </c>
      <c r="BB657">
        <v>81</v>
      </c>
      <c r="BC657">
        <v>90</v>
      </c>
      <c r="BD657" t="s">
        <v>74</v>
      </c>
      <c r="BE657" t="s">
        <v>12921</v>
      </c>
      <c r="BF657" t="str">
        <f>HYPERLINK("http://dx.doi.org/10.3989/scimar.05128.008","http://dx.doi.org/10.3989/scimar.05128.008")</f>
        <v>http://dx.doi.org/10.3989/scimar.05128.008</v>
      </c>
      <c r="BG657" t="s">
        <v>74</v>
      </c>
      <c r="BH657" t="s">
        <v>74</v>
      </c>
      <c r="BI657">
        <v>10</v>
      </c>
      <c r="BJ657" t="s">
        <v>822</v>
      </c>
      <c r="BK657" t="s">
        <v>128</v>
      </c>
      <c r="BL657" t="s">
        <v>822</v>
      </c>
      <c r="BM657" t="s">
        <v>12922</v>
      </c>
      <c r="BN657" t="s">
        <v>74</v>
      </c>
      <c r="BO657" t="s">
        <v>638</v>
      </c>
      <c r="BP657" t="s">
        <v>74</v>
      </c>
      <c r="BQ657" t="s">
        <v>74</v>
      </c>
      <c r="BR657" t="s">
        <v>102</v>
      </c>
      <c r="BS657" t="s">
        <v>12923</v>
      </c>
      <c r="BT657" t="str">
        <f>HYPERLINK("https%3A%2F%2Fwww.webofscience.com%2Fwos%2Fwoscc%2Ffull-record%2FWOS:000661816000003","View Full Record in Web of Science")</f>
        <v>View Full Record in Web of Science</v>
      </c>
    </row>
    <row r="658" spans="1:72" x14ac:dyDescent="0.15">
      <c r="A658" t="s">
        <v>72</v>
      </c>
      <c r="B658" t="s">
        <v>12924</v>
      </c>
      <c r="C658" t="s">
        <v>74</v>
      </c>
      <c r="D658" t="s">
        <v>74</v>
      </c>
      <c r="E658" t="s">
        <v>74</v>
      </c>
      <c r="F658" t="s">
        <v>12925</v>
      </c>
      <c r="G658" t="s">
        <v>74</v>
      </c>
      <c r="H658" t="s">
        <v>74</v>
      </c>
      <c r="I658" t="s">
        <v>12926</v>
      </c>
      <c r="J658" t="s">
        <v>643</v>
      </c>
      <c r="K658" t="s">
        <v>74</v>
      </c>
      <c r="L658" t="s">
        <v>74</v>
      </c>
      <c r="M658" t="s">
        <v>78</v>
      </c>
      <c r="N658" t="s">
        <v>644</v>
      </c>
      <c r="O658" t="s">
        <v>74</v>
      </c>
      <c r="P658" t="s">
        <v>74</v>
      </c>
      <c r="Q658" t="s">
        <v>74</v>
      </c>
      <c r="R658" t="s">
        <v>74</v>
      </c>
      <c r="S658" t="s">
        <v>74</v>
      </c>
      <c r="T658" t="s">
        <v>74</v>
      </c>
      <c r="U658" t="s">
        <v>74</v>
      </c>
      <c r="V658" t="s">
        <v>74</v>
      </c>
      <c r="W658" t="s">
        <v>12927</v>
      </c>
      <c r="X658" t="s">
        <v>12928</v>
      </c>
      <c r="Y658" t="s">
        <v>12929</v>
      </c>
      <c r="Z658" t="s">
        <v>74</v>
      </c>
      <c r="AA658" t="s">
        <v>12930</v>
      </c>
      <c r="AB658" t="s">
        <v>12931</v>
      </c>
      <c r="AC658" t="s">
        <v>74</v>
      </c>
      <c r="AD658" t="s">
        <v>74</v>
      </c>
      <c r="AE658" t="s">
        <v>74</v>
      </c>
      <c r="AF658" t="s">
        <v>74</v>
      </c>
      <c r="AG658">
        <v>1</v>
      </c>
      <c r="AH658">
        <v>2</v>
      </c>
      <c r="AI658">
        <v>2</v>
      </c>
      <c r="AJ658">
        <v>0</v>
      </c>
      <c r="AK658">
        <v>7</v>
      </c>
      <c r="AL658" t="s">
        <v>649</v>
      </c>
      <c r="AM658" t="s">
        <v>650</v>
      </c>
      <c r="AN658" t="s">
        <v>651</v>
      </c>
      <c r="AO658" t="s">
        <v>652</v>
      </c>
      <c r="AP658" t="s">
        <v>653</v>
      </c>
      <c r="AQ658" t="s">
        <v>74</v>
      </c>
      <c r="AR658" t="s">
        <v>654</v>
      </c>
      <c r="AS658" t="s">
        <v>655</v>
      </c>
      <c r="AT658" t="s">
        <v>4571</v>
      </c>
      <c r="AU658">
        <v>2021</v>
      </c>
      <c r="AV658">
        <v>33</v>
      </c>
      <c r="AW658">
        <v>3</v>
      </c>
      <c r="AX658" t="s">
        <v>74</v>
      </c>
      <c r="AY658" t="s">
        <v>74</v>
      </c>
      <c r="AZ658" t="s">
        <v>74</v>
      </c>
      <c r="BA658" t="s">
        <v>74</v>
      </c>
      <c r="BB658">
        <v>231</v>
      </c>
      <c r="BC658">
        <v>232</v>
      </c>
      <c r="BD658" t="s">
        <v>74</v>
      </c>
      <c r="BE658" t="s">
        <v>12932</v>
      </c>
      <c r="BF658" t="str">
        <f>HYPERLINK("http://dx.doi.org/10.1017/S0954102021000201","http://dx.doi.org/10.1017/S0954102021000201")</f>
        <v>http://dx.doi.org/10.1017/S0954102021000201</v>
      </c>
      <c r="BG658" t="s">
        <v>74</v>
      </c>
      <c r="BH658" t="s">
        <v>74</v>
      </c>
      <c r="BI658">
        <v>2</v>
      </c>
      <c r="BJ658" t="s">
        <v>658</v>
      </c>
      <c r="BK658" t="s">
        <v>128</v>
      </c>
      <c r="BL658" t="s">
        <v>659</v>
      </c>
      <c r="BM658" t="s">
        <v>12933</v>
      </c>
      <c r="BN658" t="s">
        <v>74</v>
      </c>
      <c r="BO658" t="s">
        <v>661</v>
      </c>
      <c r="BP658" t="s">
        <v>74</v>
      </c>
      <c r="BQ658" t="s">
        <v>74</v>
      </c>
      <c r="BR658" t="s">
        <v>102</v>
      </c>
      <c r="BS658" t="s">
        <v>12934</v>
      </c>
      <c r="BT658" t="str">
        <f>HYPERLINK("https%3A%2F%2Fwww.webofscience.com%2Fwos%2Fwoscc%2Ffull-record%2FWOS:000668615200001","View Full Record in Web of Science")</f>
        <v>View Full Record in Web of Science</v>
      </c>
    </row>
    <row r="659" spans="1:72" x14ac:dyDescent="0.15">
      <c r="A659" t="s">
        <v>72</v>
      </c>
      <c r="B659" t="s">
        <v>12935</v>
      </c>
      <c r="C659" t="s">
        <v>74</v>
      </c>
      <c r="D659" t="s">
        <v>74</v>
      </c>
      <c r="E659" t="s">
        <v>74</v>
      </c>
      <c r="F659" t="s">
        <v>12936</v>
      </c>
      <c r="G659" t="s">
        <v>74</v>
      </c>
      <c r="H659" t="s">
        <v>74</v>
      </c>
      <c r="I659" t="s">
        <v>12937</v>
      </c>
      <c r="J659" t="s">
        <v>643</v>
      </c>
      <c r="K659" t="s">
        <v>74</v>
      </c>
      <c r="L659" t="s">
        <v>74</v>
      </c>
      <c r="M659" t="s">
        <v>78</v>
      </c>
      <c r="N659" t="s">
        <v>79</v>
      </c>
      <c r="O659" t="s">
        <v>74</v>
      </c>
      <c r="P659" t="s">
        <v>74</v>
      </c>
      <c r="Q659" t="s">
        <v>74</v>
      </c>
      <c r="R659" t="s">
        <v>74</v>
      </c>
      <c r="S659" t="s">
        <v>74</v>
      </c>
      <c r="T659" t="s">
        <v>12938</v>
      </c>
      <c r="U659" t="s">
        <v>12939</v>
      </c>
      <c r="V659" t="s">
        <v>12940</v>
      </c>
      <c r="W659" t="s">
        <v>12941</v>
      </c>
      <c r="X659" t="s">
        <v>12942</v>
      </c>
      <c r="Y659" t="s">
        <v>12943</v>
      </c>
      <c r="Z659" t="s">
        <v>12944</v>
      </c>
      <c r="AA659" t="s">
        <v>12945</v>
      </c>
      <c r="AB659" t="s">
        <v>12946</v>
      </c>
      <c r="AC659" t="s">
        <v>12947</v>
      </c>
      <c r="AD659" t="s">
        <v>12948</v>
      </c>
      <c r="AE659" t="s">
        <v>12949</v>
      </c>
      <c r="AF659" t="s">
        <v>74</v>
      </c>
      <c r="AG659">
        <v>38</v>
      </c>
      <c r="AH659">
        <v>2</v>
      </c>
      <c r="AI659">
        <v>2</v>
      </c>
      <c r="AJ659">
        <v>3</v>
      </c>
      <c r="AK659">
        <v>15</v>
      </c>
      <c r="AL659" t="s">
        <v>649</v>
      </c>
      <c r="AM659" t="s">
        <v>650</v>
      </c>
      <c r="AN659" t="s">
        <v>651</v>
      </c>
      <c r="AO659" t="s">
        <v>652</v>
      </c>
      <c r="AP659" t="s">
        <v>653</v>
      </c>
      <c r="AQ659" t="s">
        <v>74</v>
      </c>
      <c r="AR659" t="s">
        <v>654</v>
      </c>
      <c r="AS659" t="s">
        <v>655</v>
      </c>
      <c r="AT659" t="s">
        <v>4571</v>
      </c>
      <c r="AU659">
        <v>2021</v>
      </c>
      <c r="AV659">
        <v>33</v>
      </c>
      <c r="AW659">
        <v>3</v>
      </c>
      <c r="AX659" t="s">
        <v>74</v>
      </c>
      <c r="AY659" t="s">
        <v>74</v>
      </c>
      <c r="AZ659" t="s">
        <v>74</v>
      </c>
      <c r="BA659" t="s">
        <v>74</v>
      </c>
      <c r="BB659">
        <v>233</v>
      </c>
      <c r="BC659">
        <v>242</v>
      </c>
      <c r="BD659" t="s">
        <v>12950</v>
      </c>
      <c r="BE659" t="s">
        <v>12951</v>
      </c>
      <c r="BF659" t="str">
        <f>HYPERLINK("http://dx.doi.org/10.1017/S0954102021000067","http://dx.doi.org/10.1017/S0954102021000067")</f>
        <v>http://dx.doi.org/10.1017/S0954102021000067</v>
      </c>
      <c r="BG659" t="s">
        <v>74</v>
      </c>
      <c r="BH659" t="s">
        <v>74</v>
      </c>
      <c r="BI659">
        <v>10</v>
      </c>
      <c r="BJ659" t="s">
        <v>658</v>
      </c>
      <c r="BK659" t="s">
        <v>128</v>
      </c>
      <c r="BL659" t="s">
        <v>659</v>
      </c>
      <c r="BM659" t="s">
        <v>12933</v>
      </c>
      <c r="BN659" t="s">
        <v>74</v>
      </c>
      <c r="BO659" t="s">
        <v>1154</v>
      </c>
      <c r="BP659" t="s">
        <v>74</v>
      </c>
      <c r="BQ659" t="s">
        <v>74</v>
      </c>
      <c r="BR659" t="s">
        <v>102</v>
      </c>
      <c r="BS659" t="s">
        <v>12952</v>
      </c>
      <c r="BT659" t="str">
        <f>HYPERLINK("https%3A%2F%2Fwww.webofscience.com%2Fwos%2Fwoscc%2Ffull-record%2FWOS:000668615200002","View Full Record in Web of Science")</f>
        <v>View Full Record in Web of Science</v>
      </c>
    </row>
    <row r="660" spans="1:72" x14ac:dyDescent="0.15">
      <c r="A660" t="s">
        <v>72</v>
      </c>
      <c r="B660" t="s">
        <v>12953</v>
      </c>
      <c r="C660" t="s">
        <v>74</v>
      </c>
      <c r="D660" t="s">
        <v>74</v>
      </c>
      <c r="E660" t="s">
        <v>74</v>
      </c>
      <c r="F660" t="s">
        <v>12954</v>
      </c>
      <c r="G660" t="s">
        <v>74</v>
      </c>
      <c r="H660" t="s">
        <v>74</v>
      </c>
      <c r="I660" t="s">
        <v>12955</v>
      </c>
      <c r="J660" t="s">
        <v>643</v>
      </c>
      <c r="K660" t="s">
        <v>74</v>
      </c>
      <c r="L660" t="s">
        <v>74</v>
      </c>
      <c r="M660" t="s">
        <v>78</v>
      </c>
      <c r="N660" t="s">
        <v>79</v>
      </c>
      <c r="O660" t="s">
        <v>74</v>
      </c>
      <c r="P660" t="s">
        <v>74</v>
      </c>
      <c r="Q660" t="s">
        <v>74</v>
      </c>
      <c r="R660" t="s">
        <v>74</v>
      </c>
      <c r="S660" t="s">
        <v>74</v>
      </c>
      <c r="T660" t="s">
        <v>12956</v>
      </c>
      <c r="U660" t="s">
        <v>12957</v>
      </c>
      <c r="V660" t="s">
        <v>12958</v>
      </c>
      <c r="W660" t="s">
        <v>12959</v>
      </c>
      <c r="X660" t="s">
        <v>12960</v>
      </c>
      <c r="Y660" t="s">
        <v>12961</v>
      </c>
      <c r="Z660" t="s">
        <v>12962</v>
      </c>
      <c r="AA660" t="s">
        <v>12963</v>
      </c>
      <c r="AB660" t="s">
        <v>12964</v>
      </c>
      <c r="AC660" t="s">
        <v>12965</v>
      </c>
      <c r="AD660" t="s">
        <v>12966</v>
      </c>
      <c r="AE660" t="s">
        <v>12967</v>
      </c>
      <c r="AF660" t="s">
        <v>74</v>
      </c>
      <c r="AG660">
        <v>42</v>
      </c>
      <c r="AH660">
        <v>2</v>
      </c>
      <c r="AI660">
        <v>2</v>
      </c>
      <c r="AJ660">
        <v>1</v>
      </c>
      <c r="AK660">
        <v>1</v>
      </c>
      <c r="AL660" t="s">
        <v>649</v>
      </c>
      <c r="AM660" t="s">
        <v>650</v>
      </c>
      <c r="AN660" t="s">
        <v>651</v>
      </c>
      <c r="AO660" t="s">
        <v>652</v>
      </c>
      <c r="AP660" t="s">
        <v>653</v>
      </c>
      <c r="AQ660" t="s">
        <v>74</v>
      </c>
      <c r="AR660" t="s">
        <v>654</v>
      </c>
      <c r="AS660" t="s">
        <v>655</v>
      </c>
      <c r="AT660" t="s">
        <v>4571</v>
      </c>
      <c r="AU660">
        <v>2021</v>
      </c>
      <c r="AV660">
        <v>33</v>
      </c>
      <c r="AW660">
        <v>3</v>
      </c>
      <c r="AX660" t="s">
        <v>74</v>
      </c>
      <c r="AY660" t="s">
        <v>74</v>
      </c>
      <c r="AZ660" t="s">
        <v>74</v>
      </c>
      <c r="BA660" t="s">
        <v>74</v>
      </c>
      <c r="BB660">
        <v>243</v>
      </c>
      <c r="BC660">
        <v>251</v>
      </c>
      <c r="BD660" t="s">
        <v>12968</v>
      </c>
      <c r="BE660" t="s">
        <v>12969</v>
      </c>
      <c r="BF660" t="str">
        <f>HYPERLINK("http://dx.doi.org/10.1017/S0954102021000079","http://dx.doi.org/10.1017/S0954102021000079")</f>
        <v>http://dx.doi.org/10.1017/S0954102021000079</v>
      </c>
      <c r="BG660" t="s">
        <v>74</v>
      </c>
      <c r="BH660" t="s">
        <v>74</v>
      </c>
      <c r="BI660">
        <v>9</v>
      </c>
      <c r="BJ660" t="s">
        <v>658</v>
      </c>
      <c r="BK660" t="s">
        <v>128</v>
      </c>
      <c r="BL660" t="s">
        <v>659</v>
      </c>
      <c r="BM660" t="s">
        <v>12933</v>
      </c>
      <c r="BN660" t="s">
        <v>74</v>
      </c>
      <c r="BO660" t="s">
        <v>1154</v>
      </c>
      <c r="BP660" t="s">
        <v>74</v>
      </c>
      <c r="BQ660" t="s">
        <v>74</v>
      </c>
      <c r="BR660" t="s">
        <v>102</v>
      </c>
      <c r="BS660" t="s">
        <v>12970</v>
      </c>
      <c r="BT660" t="str">
        <f>HYPERLINK("https%3A%2F%2Fwww.webofscience.com%2Fwos%2Fwoscc%2Ffull-record%2FWOS:000668615200003","View Full Record in Web of Science")</f>
        <v>View Full Record in Web of Science</v>
      </c>
    </row>
    <row r="661" spans="1:72" x14ac:dyDescent="0.15">
      <c r="A661" t="s">
        <v>72</v>
      </c>
      <c r="B661" t="s">
        <v>12971</v>
      </c>
      <c r="C661" t="s">
        <v>74</v>
      </c>
      <c r="D661" t="s">
        <v>74</v>
      </c>
      <c r="E661" t="s">
        <v>74</v>
      </c>
      <c r="F661" t="s">
        <v>12972</v>
      </c>
      <c r="G661" t="s">
        <v>74</v>
      </c>
      <c r="H661" t="s">
        <v>74</v>
      </c>
      <c r="I661" t="s">
        <v>12973</v>
      </c>
      <c r="J661" t="s">
        <v>643</v>
      </c>
      <c r="K661" t="s">
        <v>74</v>
      </c>
      <c r="L661" t="s">
        <v>74</v>
      </c>
      <c r="M661" t="s">
        <v>78</v>
      </c>
      <c r="N661" t="s">
        <v>79</v>
      </c>
      <c r="O661" t="s">
        <v>74</v>
      </c>
      <c r="P661" t="s">
        <v>74</v>
      </c>
      <c r="Q661" t="s">
        <v>74</v>
      </c>
      <c r="R661" t="s">
        <v>74</v>
      </c>
      <c r="S661" t="s">
        <v>74</v>
      </c>
      <c r="T661" t="s">
        <v>12974</v>
      </c>
      <c r="U661" t="s">
        <v>12975</v>
      </c>
      <c r="V661" t="s">
        <v>12976</v>
      </c>
      <c r="W661" t="s">
        <v>12977</v>
      </c>
      <c r="X661" t="s">
        <v>12978</v>
      </c>
      <c r="Y661" t="s">
        <v>12979</v>
      </c>
      <c r="Z661" t="s">
        <v>10049</v>
      </c>
      <c r="AA661" t="s">
        <v>12980</v>
      </c>
      <c r="AB661" t="s">
        <v>12981</v>
      </c>
      <c r="AC661" t="s">
        <v>12982</v>
      </c>
      <c r="AD661" t="s">
        <v>12983</v>
      </c>
      <c r="AE661" t="s">
        <v>12984</v>
      </c>
      <c r="AF661" t="s">
        <v>74</v>
      </c>
      <c r="AG661">
        <v>42</v>
      </c>
      <c r="AH661">
        <v>2</v>
      </c>
      <c r="AI661">
        <v>2</v>
      </c>
      <c r="AJ661">
        <v>2</v>
      </c>
      <c r="AK661">
        <v>10</v>
      </c>
      <c r="AL661" t="s">
        <v>649</v>
      </c>
      <c r="AM661" t="s">
        <v>650</v>
      </c>
      <c r="AN661" t="s">
        <v>651</v>
      </c>
      <c r="AO661" t="s">
        <v>652</v>
      </c>
      <c r="AP661" t="s">
        <v>653</v>
      </c>
      <c r="AQ661" t="s">
        <v>74</v>
      </c>
      <c r="AR661" t="s">
        <v>654</v>
      </c>
      <c r="AS661" t="s">
        <v>655</v>
      </c>
      <c r="AT661" t="s">
        <v>4571</v>
      </c>
      <c r="AU661">
        <v>2021</v>
      </c>
      <c r="AV661">
        <v>33</v>
      </c>
      <c r="AW661">
        <v>3</v>
      </c>
      <c r="AX661" t="s">
        <v>74</v>
      </c>
      <c r="AY661" t="s">
        <v>74</v>
      </c>
      <c r="AZ661" t="s">
        <v>74</v>
      </c>
      <c r="BA661" t="s">
        <v>74</v>
      </c>
      <c r="BB661">
        <v>252</v>
      </c>
      <c r="BC661">
        <v>264</v>
      </c>
      <c r="BD661" t="s">
        <v>12985</v>
      </c>
      <c r="BE661" t="s">
        <v>12986</v>
      </c>
      <c r="BF661" t="str">
        <f>HYPERLINK("http://dx.doi.org/10.1017/S0954102021000092","http://dx.doi.org/10.1017/S0954102021000092")</f>
        <v>http://dx.doi.org/10.1017/S0954102021000092</v>
      </c>
      <c r="BG661" t="s">
        <v>74</v>
      </c>
      <c r="BH661" t="s">
        <v>74</v>
      </c>
      <c r="BI661">
        <v>13</v>
      </c>
      <c r="BJ661" t="s">
        <v>658</v>
      </c>
      <c r="BK661" t="s">
        <v>128</v>
      </c>
      <c r="BL661" t="s">
        <v>659</v>
      </c>
      <c r="BM661" t="s">
        <v>12933</v>
      </c>
      <c r="BN661" t="s">
        <v>74</v>
      </c>
      <c r="BO661" t="s">
        <v>1154</v>
      </c>
      <c r="BP661" t="s">
        <v>74</v>
      </c>
      <c r="BQ661" t="s">
        <v>74</v>
      </c>
      <c r="BR661" t="s">
        <v>102</v>
      </c>
      <c r="BS661" t="s">
        <v>12987</v>
      </c>
      <c r="BT661" t="str">
        <f>HYPERLINK("https%3A%2F%2Fwww.webofscience.com%2Fwos%2Fwoscc%2Ffull-record%2FWOS:000668615200004","View Full Record in Web of Science")</f>
        <v>View Full Record in Web of Science</v>
      </c>
    </row>
    <row r="662" spans="1:72" x14ac:dyDescent="0.15">
      <c r="A662" t="s">
        <v>72</v>
      </c>
      <c r="B662" t="s">
        <v>12988</v>
      </c>
      <c r="C662" t="s">
        <v>74</v>
      </c>
      <c r="D662" t="s">
        <v>74</v>
      </c>
      <c r="E662" t="s">
        <v>74</v>
      </c>
      <c r="F662" t="s">
        <v>12989</v>
      </c>
      <c r="G662" t="s">
        <v>74</v>
      </c>
      <c r="H662" t="s">
        <v>74</v>
      </c>
      <c r="I662" t="s">
        <v>12990</v>
      </c>
      <c r="J662" t="s">
        <v>643</v>
      </c>
      <c r="K662" t="s">
        <v>74</v>
      </c>
      <c r="L662" t="s">
        <v>74</v>
      </c>
      <c r="M662" t="s">
        <v>78</v>
      </c>
      <c r="N662" t="s">
        <v>79</v>
      </c>
      <c r="O662" t="s">
        <v>74</v>
      </c>
      <c r="P662" t="s">
        <v>74</v>
      </c>
      <c r="Q662" t="s">
        <v>74</v>
      </c>
      <c r="R662" t="s">
        <v>74</v>
      </c>
      <c r="S662" t="s">
        <v>74</v>
      </c>
      <c r="T662" t="s">
        <v>12991</v>
      </c>
      <c r="U662" t="s">
        <v>12992</v>
      </c>
      <c r="V662" t="s">
        <v>12993</v>
      </c>
      <c r="W662" t="s">
        <v>12994</v>
      </c>
      <c r="X662" t="s">
        <v>12995</v>
      </c>
      <c r="Y662" t="s">
        <v>12996</v>
      </c>
      <c r="Z662" t="s">
        <v>12997</v>
      </c>
      <c r="AA662" t="s">
        <v>12998</v>
      </c>
      <c r="AB662" t="s">
        <v>12999</v>
      </c>
      <c r="AC662" t="s">
        <v>13000</v>
      </c>
      <c r="AD662" t="s">
        <v>13001</v>
      </c>
      <c r="AE662" t="s">
        <v>13002</v>
      </c>
      <c r="AF662" t="s">
        <v>74</v>
      </c>
      <c r="AG662">
        <v>33</v>
      </c>
      <c r="AH662">
        <v>0</v>
      </c>
      <c r="AI662">
        <v>0</v>
      </c>
      <c r="AJ662">
        <v>1</v>
      </c>
      <c r="AK662">
        <v>8</v>
      </c>
      <c r="AL662" t="s">
        <v>649</v>
      </c>
      <c r="AM662" t="s">
        <v>650</v>
      </c>
      <c r="AN662" t="s">
        <v>651</v>
      </c>
      <c r="AO662" t="s">
        <v>652</v>
      </c>
      <c r="AP662" t="s">
        <v>653</v>
      </c>
      <c r="AQ662" t="s">
        <v>74</v>
      </c>
      <c r="AR662" t="s">
        <v>654</v>
      </c>
      <c r="AS662" t="s">
        <v>655</v>
      </c>
      <c r="AT662" t="s">
        <v>4571</v>
      </c>
      <c r="AU662">
        <v>2021</v>
      </c>
      <c r="AV662">
        <v>33</v>
      </c>
      <c r="AW662">
        <v>3</v>
      </c>
      <c r="AX662" t="s">
        <v>74</v>
      </c>
      <c r="AY662" t="s">
        <v>74</v>
      </c>
      <c r="AZ662" t="s">
        <v>74</v>
      </c>
      <c r="BA662" t="s">
        <v>74</v>
      </c>
      <c r="BB662">
        <v>265</v>
      </c>
      <c r="BC662">
        <v>272</v>
      </c>
      <c r="BD662" t="s">
        <v>13003</v>
      </c>
      <c r="BE662" t="s">
        <v>13004</v>
      </c>
      <c r="BF662" t="str">
        <f>HYPERLINK("http://dx.doi.org/10.1017/S0954102021000122","http://dx.doi.org/10.1017/S0954102021000122")</f>
        <v>http://dx.doi.org/10.1017/S0954102021000122</v>
      </c>
      <c r="BG662" t="s">
        <v>74</v>
      </c>
      <c r="BH662" t="s">
        <v>74</v>
      </c>
      <c r="BI662">
        <v>8</v>
      </c>
      <c r="BJ662" t="s">
        <v>658</v>
      </c>
      <c r="BK662" t="s">
        <v>128</v>
      </c>
      <c r="BL662" t="s">
        <v>659</v>
      </c>
      <c r="BM662" t="s">
        <v>12933</v>
      </c>
      <c r="BN662" t="s">
        <v>74</v>
      </c>
      <c r="BO662" t="s">
        <v>74</v>
      </c>
      <c r="BP662" t="s">
        <v>74</v>
      </c>
      <c r="BQ662" t="s">
        <v>74</v>
      </c>
      <c r="BR662" t="s">
        <v>102</v>
      </c>
      <c r="BS662" t="s">
        <v>13005</v>
      </c>
      <c r="BT662" t="str">
        <f>HYPERLINK("https%3A%2F%2Fwww.webofscience.com%2Fwos%2Fwoscc%2Ffull-record%2FWOS:000668615200005","View Full Record in Web of Science")</f>
        <v>View Full Record in Web of Science</v>
      </c>
    </row>
    <row r="663" spans="1:72" x14ac:dyDescent="0.15">
      <c r="A663" t="s">
        <v>72</v>
      </c>
      <c r="B663" t="s">
        <v>13006</v>
      </c>
      <c r="C663" t="s">
        <v>74</v>
      </c>
      <c r="D663" t="s">
        <v>74</v>
      </c>
      <c r="E663" t="s">
        <v>74</v>
      </c>
      <c r="F663" t="s">
        <v>13007</v>
      </c>
      <c r="G663" t="s">
        <v>74</v>
      </c>
      <c r="H663" t="s">
        <v>74</v>
      </c>
      <c r="I663" t="s">
        <v>13008</v>
      </c>
      <c r="J663" t="s">
        <v>643</v>
      </c>
      <c r="K663" t="s">
        <v>74</v>
      </c>
      <c r="L663" t="s">
        <v>74</v>
      </c>
      <c r="M663" t="s">
        <v>78</v>
      </c>
      <c r="N663" t="s">
        <v>644</v>
      </c>
      <c r="O663" t="s">
        <v>74</v>
      </c>
      <c r="P663" t="s">
        <v>74</v>
      </c>
      <c r="Q663" t="s">
        <v>74</v>
      </c>
      <c r="R663" t="s">
        <v>74</v>
      </c>
      <c r="S663" t="s">
        <v>74</v>
      </c>
      <c r="T663" t="s">
        <v>13009</v>
      </c>
      <c r="U663" t="s">
        <v>13010</v>
      </c>
      <c r="V663" t="s">
        <v>13011</v>
      </c>
      <c r="W663" t="s">
        <v>13012</v>
      </c>
      <c r="X663" t="s">
        <v>13013</v>
      </c>
      <c r="Y663" t="s">
        <v>13014</v>
      </c>
      <c r="Z663" t="s">
        <v>13015</v>
      </c>
      <c r="AA663" t="s">
        <v>13016</v>
      </c>
      <c r="AB663" t="s">
        <v>13017</v>
      </c>
      <c r="AC663" t="s">
        <v>74</v>
      </c>
      <c r="AD663" t="s">
        <v>74</v>
      </c>
      <c r="AE663" t="s">
        <v>74</v>
      </c>
      <c r="AF663" t="s">
        <v>74</v>
      </c>
      <c r="AG663">
        <v>60</v>
      </c>
      <c r="AH663">
        <v>27</v>
      </c>
      <c r="AI663">
        <v>29</v>
      </c>
      <c r="AJ663">
        <v>2</v>
      </c>
      <c r="AK663">
        <v>10</v>
      </c>
      <c r="AL663" t="s">
        <v>649</v>
      </c>
      <c r="AM663" t="s">
        <v>650</v>
      </c>
      <c r="AN663" t="s">
        <v>651</v>
      </c>
      <c r="AO663" t="s">
        <v>652</v>
      </c>
      <c r="AP663" t="s">
        <v>653</v>
      </c>
      <c r="AQ663" t="s">
        <v>74</v>
      </c>
      <c r="AR663" t="s">
        <v>654</v>
      </c>
      <c r="AS663" t="s">
        <v>655</v>
      </c>
      <c r="AT663" t="s">
        <v>4571</v>
      </c>
      <c r="AU663">
        <v>2021</v>
      </c>
      <c r="AV663">
        <v>33</v>
      </c>
      <c r="AW663">
        <v>3</v>
      </c>
      <c r="AX663" t="s">
        <v>74</v>
      </c>
      <c r="AY663" t="s">
        <v>74</v>
      </c>
      <c r="AZ663" t="s">
        <v>74</v>
      </c>
      <c r="BA663" t="s">
        <v>74</v>
      </c>
      <c r="BB663">
        <v>273</v>
      </c>
      <c r="BC663">
        <v>280</v>
      </c>
      <c r="BD663" t="s">
        <v>74</v>
      </c>
      <c r="BE663" t="s">
        <v>13018</v>
      </c>
      <c r="BF663" t="str">
        <f>HYPERLINK("http://dx.doi.org/10.1017/S0954102020000632","http://dx.doi.org/10.1017/S0954102020000632")</f>
        <v>http://dx.doi.org/10.1017/S0954102020000632</v>
      </c>
      <c r="BG663" t="s">
        <v>74</v>
      </c>
      <c r="BH663" t="s">
        <v>74</v>
      </c>
      <c r="BI663">
        <v>8</v>
      </c>
      <c r="BJ663" t="s">
        <v>658</v>
      </c>
      <c r="BK663" t="s">
        <v>128</v>
      </c>
      <c r="BL663" t="s">
        <v>659</v>
      </c>
      <c r="BM663" t="s">
        <v>12933</v>
      </c>
      <c r="BN663" t="s">
        <v>74</v>
      </c>
      <c r="BO663" t="s">
        <v>74</v>
      </c>
      <c r="BP663" t="s">
        <v>74</v>
      </c>
      <c r="BQ663" t="s">
        <v>74</v>
      </c>
      <c r="BR663" t="s">
        <v>102</v>
      </c>
      <c r="BS663" t="s">
        <v>13019</v>
      </c>
      <c r="BT663" t="str">
        <f>HYPERLINK("https%3A%2F%2Fwww.webofscience.com%2Fwos%2Fwoscc%2Ffull-record%2FWOS:000668615200006","View Full Record in Web of Science")</f>
        <v>View Full Record in Web of Science</v>
      </c>
    </row>
    <row r="664" spans="1:72" x14ac:dyDescent="0.15">
      <c r="A664" t="s">
        <v>72</v>
      </c>
      <c r="B664" t="s">
        <v>13020</v>
      </c>
      <c r="C664" t="s">
        <v>74</v>
      </c>
      <c r="D664" t="s">
        <v>74</v>
      </c>
      <c r="E664" t="s">
        <v>74</v>
      </c>
      <c r="F664" t="s">
        <v>13021</v>
      </c>
      <c r="G664" t="s">
        <v>74</v>
      </c>
      <c r="H664" t="s">
        <v>74</v>
      </c>
      <c r="I664" t="s">
        <v>13022</v>
      </c>
      <c r="J664" t="s">
        <v>643</v>
      </c>
      <c r="K664" t="s">
        <v>74</v>
      </c>
      <c r="L664" t="s">
        <v>74</v>
      </c>
      <c r="M664" t="s">
        <v>78</v>
      </c>
      <c r="N664" t="s">
        <v>79</v>
      </c>
      <c r="O664" t="s">
        <v>74</v>
      </c>
      <c r="P664" t="s">
        <v>74</v>
      </c>
      <c r="Q664" t="s">
        <v>74</v>
      </c>
      <c r="R664" t="s">
        <v>74</v>
      </c>
      <c r="S664" t="s">
        <v>74</v>
      </c>
      <c r="T664" t="s">
        <v>13023</v>
      </c>
      <c r="U664" t="s">
        <v>13024</v>
      </c>
      <c r="V664" t="s">
        <v>13025</v>
      </c>
      <c r="W664" t="s">
        <v>13026</v>
      </c>
      <c r="X664" t="s">
        <v>13027</v>
      </c>
      <c r="Y664" t="s">
        <v>13028</v>
      </c>
      <c r="Z664" t="s">
        <v>13029</v>
      </c>
      <c r="AA664" t="s">
        <v>74</v>
      </c>
      <c r="AB664" t="s">
        <v>13030</v>
      </c>
      <c r="AC664" t="s">
        <v>13031</v>
      </c>
      <c r="AD664" t="s">
        <v>13032</v>
      </c>
      <c r="AE664" t="s">
        <v>13033</v>
      </c>
      <c r="AF664" t="s">
        <v>74</v>
      </c>
      <c r="AG664">
        <v>40</v>
      </c>
      <c r="AH664">
        <v>13</v>
      </c>
      <c r="AI664">
        <v>13</v>
      </c>
      <c r="AJ664">
        <v>0</v>
      </c>
      <c r="AK664">
        <v>4</v>
      </c>
      <c r="AL664" t="s">
        <v>649</v>
      </c>
      <c r="AM664" t="s">
        <v>650</v>
      </c>
      <c r="AN664" t="s">
        <v>651</v>
      </c>
      <c r="AO664" t="s">
        <v>652</v>
      </c>
      <c r="AP664" t="s">
        <v>653</v>
      </c>
      <c r="AQ664" t="s">
        <v>74</v>
      </c>
      <c r="AR664" t="s">
        <v>654</v>
      </c>
      <c r="AS664" t="s">
        <v>655</v>
      </c>
      <c r="AT664" t="s">
        <v>4571</v>
      </c>
      <c r="AU664">
        <v>2021</v>
      </c>
      <c r="AV664">
        <v>33</v>
      </c>
      <c r="AW664">
        <v>3</v>
      </c>
      <c r="AX664" t="s">
        <v>74</v>
      </c>
      <c r="AY664" t="s">
        <v>74</v>
      </c>
      <c r="AZ664" t="s">
        <v>74</v>
      </c>
      <c r="BA664" t="s">
        <v>74</v>
      </c>
      <c r="BB664">
        <v>281</v>
      </c>
      <c r="BC664">
        <v>300</v>
      </c>
      <c r="BD664" t="s">
        <v>13034</v>
      </c>
      <c r="BE664" t="s">
        <v>13035</v>
      </c>
      <c r="BF664" t="str">
        <f>HYPERLINK("http://dx.doi.org/10.1017/S0954102020000668","http://dx.doi.org/10.1017/S0954102020000668")</f>
        <v>http://dx.doi.org/10.1017/S0954102020000668</v>
      </c>
      <c r="BG664" t="s">
        <v>74</v>
      </c>
      <c r="BH664" t="s">
        <v>74</v>
      </c>
      <c r="BI664">
        <v>20</v>
      </c>
      <c r="BJ664" t="s">
        <v>658</v>
      </c>
      <c r="BK664" t="s">
        <v>128</v>
      </c>
      <c r="BL664" t="s">
        <v>659</v>
      </c>
      <c r="BM664" t="s">
        <v>12933</v>
      </c>
      <c r="BN664" t="s">
        <v>74</v>
      </c>
      <c r="BO664" t="s">
        <v>74</v>
      </c>
      <c r="BP664" t="s">
        <v>74</v>
      </c>
      <c r="BQ664" t="s">
        <v>74</v>
      </c>
      <c r="BR664" t="s">
        <v>102</v>
      </c>
      <c r="BS664" t="s">
        <v>13036</v>
      </c>
      <c r="BT664" t="str">
        <f>HYPERLINK("https%3A%2F%2Fwww.webofscience.com%2Fwos%2Fwoscc%2Ffull-record%2FWOS:000668615200007","View Full Record in Web of Science")</f>
        <v>View Full Record in Web of Science</v>
      </c>
    </row>
    <row r="665" spans="1:72" x14ac:dyDescent="0.15">
      <c r="A665" t="s">
        <v>72</v>
      </c>
      <c r="B665" t="s">
        <v>13037</v>
      </c>
      <c r="C665" t="s">
        <v>74</v>
      </c>
      <c r="D665" t="s">
        <v>74</v>
      </c>
      <c r="E665" t="s">
        <v>74</v>
      </c>
      <c r="F665" t="s">
        <v>13038</v>
      </c>
      <c r="G665" t="s">
        <v>74</v>
      </c>
      <c r="H665" t="s">
        <v>74</v>
      </c>
      <c r="I665" t="s">
        <v>13039</v>
      </c>
      <c r="J665" t="s">
        <v>643</v>
      </c>
      <c r="K665" t="s">
        <v>74</v>
      </c>
      <c r="L665" t="s">
        <v>74</v>
      </c>
      <c r="M665" t="s">
        <v>78</v>
      </c>
      <c r="N665" t="s">
        <v>79</v>
      </c>
      <c r="O665" t="s">
        <v>74</v>
      </c>
      <c r="P665" t="s">
        <v>74</v>
      </c>
      <c r="Q665" t="s">
        <v>74</v>
      </c>
      <c r="R665" t="s">
        <v>74</v>
      </c>
      <c r="S665" t="s">
        <v>74</v>
      </c>
      <c r="T665" t="s">
        <v>13040</v>
      </c>
      <c r="U665" t="s">
        <v>13041</v>
      </c>
      <c r="V665" t="s">
        <v>13042</v>
      </c>
      <c r="W665" t="s">
        <v>13043</v>
      </c>
      <c r="X665" t="s">
        <v>13044</v>
      </c>
      <c r="Y665" t="s">
        <v>13045</v>
      </c>
      <c r="Z665" t="s">
        <v>13046</v>
      </c>
      <c r="AA665" t="s">
        <v>13047</v>
      </c>
      <c r="AB665" t="s">
        <v>13048</v>
      </c>
      <c r="AC665" t="s">
        <v>13049</v>
      </c>
      <c r="AD665" t="s">
        <v>13050</v>
      </c>
      <c r="AE665" t="s">
        <v>13051</v>
      </c>
      <c r="AF665" t="s">
        <v>74</v>
      </c>
      <c r="AG665">
        <v>39</v>
      </c>
      <c r="AH665">
        <v>8</v>
      </c>
      <c r="AI665">
        <v>8</v>
      </c>
      <c r="AJ665">
        <v>1</v>
      </c>
      <c r="AK665">
        <v>8</v>
      </c>
      <c r="AL665" t="s">
        <v>649</v>
      </c>
      <c r="AM665" t="s">
        <v>650</v>
      </c>
      <c r="AN665" t="s">
        <v>651</v>
      </c>
      <c r="AO665" t="s">
        <v>652</v>
      </c>
      <c r="AP665" t="s">
        <v>653</v>
      </c>
      <c r="AQ665" t="s">
        <v>74</v>
      </c>
      <c r="AR665" t="s">
        <v>654</v>
      </c>
      <c r="AS665" t="s">
        <v>655</v>
      </c>
      <c r="AT665" t="s">
        <v>4571</v>
      </c>
      <c r="AU665">
        <v>2021</v>
      </c>
      <c r="AV665">
        <v>33</v>
      </c>
      <c r="AW665">
        <v>3</v>
      </c>
      <c r="AX665" t="s">
        <v>74</v>
      </c>
      <c r="AY665" t="s">
        <v>74</v>
      </c>
      <c r="AZ665" t="s">
        <v>74</v>
      </c>
      <c r="BA665" t="s">
        <v>74</v>
      </c>
      <c r="BB665">
        <v>301</v>
      </c>
      <c r="BC665">
        <v>317</v>
      </c>
      <c r="BD665" t="s">
        <v>13052</v>
      </c>
      <c r="BE665" t="s">
        <v>13053</v>
      </c>
      <c r="BF665" t="str">
        <f>HYPERLINK("http://dx.doi.org/10.1017/S0954102021000080","http://dx.doi.org/10.1017/S0954102021000080")</f>
        <v>http://dx.doi.org/10.1017/S0954102021000080</v>
      </c>
      <c r="BG665" t="s">
        <v>74</v>
      </c>
      <c r="BH665" t="s">
        <v>74</v>
      </c>
      <c r="BI665">
        <v>17</v>
      </c>
      <c r="BJ665" t="s">
        <v>658</v>
      </c>
      <c r="BK665" t="s">
        <v>128</v>
      </c>
      <c r="BL665" t="s">
        <v>659</v>
      </c>
      <c r="BM665" t="s">
        <v>12933</v>
      </c>
      <c r="BN665" t="s">
        <v>74</v>
      </c>
      <c r="BO665" t="s">
        <v>408</v>
      </c>
      <c r="BP665" t="s">
        <v>74</v>
      </c>
      <c r="BQ665" t="s">
        <v>74</v>
      </c>
      <c r="BR665" t="s">
        <v>102</v>
      </c>
      <c r="BS665" t="s">
        <v>13054</v>
      </c>
      <c r="BT665" t="str">
        <f>HYPERLINK("https%3A%2F%2Fwww.webofscience.com%2Fwos%2Fwoscc%2Ffull-record%2FWOS:000668615200008","View Full Record in Web of Science")</f>
        <v>View Full Record in Web of Science</v>
      </c>
    </row>
    <row r="666" spans="1:72" x14ac:dyDescent="0.15">
      <c r="A666" t="s">
        <v>72</v>
      </c>
      <c r="B666" t="s">
        <v>13055</v>
      </c>
      <c r="C666" t="s">
        <v>74</v>
      </c>
      <c r="D666" t="s">
        <v>74</v>
      </c>
      <c r="E666" t="s">
        <v>74</v>
      </c>
      <c r="F666" t="s">
        <v>13056</v>
      </c>
      <c r="G666" t="s">
        <v>74</v>
      </c>
      <c r="H666" t="s">
        <v>74</v>
      </c>
      <c r="I666" t="s">
        <v>13057</v>
      </c>
      <c r="J666" t="s">
        <v>643</v>
      </c>
      <c r="K666" t="s">
        <v>74</v>
      </c>
      <c r="L666" t="s">
        <v>74</v>
      </c>
      <c r="M666" t="s">
        <v>78</v>
      </c>
      <c r="N666" t="s">
        <v>79</v>
      </c>
      <c r="O666" t="s">
        <v>74</v>
      </c>
      <c r="P666" t="s">
        <v>74</v>
      </c>
      <c r="Q666" t="s">
        <v>74</v>
      </c>
      <c r="R666" t="s">
        <v>74</v>
      </c>
      <c r="S666" t="s">
        <v>74</v>
      </c>
      <c r="T666" t="s">
        <v>13058</v>
      </c>
      <c r="U666" t="s">
        <v>13059</v>
      </c>
      <c r="V666" t="s">
        <v>13060</v>
      </c>
      <c r="W666" t="s">
        <v>13061</v>
      </c>
      <c r="X666" t="s">
        <v>13062</v>
      </c>
      <c r="Y666" t="s">
        <v>13063</v>
      </c>
      <c r="Z666" t="s">
        <v>13064</v>
      </c>
      <c r="AA666" t="s">
        <v>13065</v>
      </c>
      <c r="AB666" t="s">
        <v>13066</v>
      </c>
      <c r="AC666" t="s">
        <v>13067</v>
      </c>
      <c r="AD666" t="s">
        <v>13068</v>
      </c>
      <c r="AE666" t="s">
        <v>13069</v>
      </c>
      <c r="AF666" t="s">
        <v>74</v>
      </c>
      <c r="AG666">
        <v>40</v>
      </c>
      <c r="AH666">
        <v>4</v>
      </c>
      <c r="AI666">
        <v>5</v>
      </c>
      <c r="AJ666">
        <v>1</v>
      </c>
      <c r="AK666">
        <v>10</v>
      </c>
      <c r="AL666" t="s">
        <v>649</v>
      </c>
      <c r="AM666" t="s">
        <v>650</v>
      </c>
      <c r="AN666" t="s">
        <v>651</v>
      </c>
      <c r="AO666" t="s">
        <v>652</v>
      </c>
      <c r="AP666" t="s">
        <v>653</v>
      </c>
      <c r="AQ666" t="s">
        <v>74</v>
      </c>
      <c r="AR666" t="s">
        <v>654</v>
      </c>
      <c r="AS666" t="s">
        <v>655</v>
      </c>
      <c r="AT666" t="s">
        <v>4571</v>
      </c>
      <c r="AU666">
        <v>2021</v>
      </c>
      <c r="AV666">
        <v>33</v>
      </c>
      <c r="AW666">
        <v>3</v>
      </c>
      <c r="AX666" t="s">
        <v>74</v>
      </c>
      <c r="AY666" t="s">
        <v>74</v>
      </c>
      <c r="AZ666" t="s">
        <v>74</v>
      </c>
      <c r="BA666" t="s">
        <v>74</v>
      </c>
      <c r="BB666">
        <v>318</v>
      </c>
      <c r="BC666">
        <v>331</v>
      </c>
      <c r="BD666" t="s">
        <v>13070</v>
      </c>
      <c r="BE666" t="s">
        <v>13071</v>
      </c>
      <c r="BF666" t="str">
        <f>HYPERLINK("http://dx.doi.org/10.1017/S0954102021000146","http://dx.doi.org/10.1017/S0954102021000146")</f>
        <v>http://dx.doi.org/10.1017/S0954102021000146</v>
      </c>
      <c r="BG666" t="s">
        <v>74</v>
      </c>
      <c r="BH666" t="s">
        <v>74</v>
      </c>
      <c r="BI666">
        <v>14</v>
      </c>
      <c r="BJ666" t="s">
        <v>658</v>
      </c>
      <c r="BK666" t="s">
        <v>128</v>
      </c>
      <c r="BL666" t="s">
        <v>659</v>
      </c>
      <c r="BM666" t="s">
        <v>12933</v>
      </c>
      <c r="BN666" t="s">
        <v>74</v>
      </c>
      <c r="BO666" t="s">
        <v>408</v>
      </c>
      <c r="BP666" t="s">
        <v>74</v>
      </c>
      <c r="BQ666" t="s">
        <v>74</v>
      </c>
      <c r="BR666" t="s">
        <v>102</v>
      </c>
      <c r="BS666" t="s">
        <v>13072</v>
      </c>
      <c r="BT666" t="str">
        <f>HYPERLINK("https%3A%2F%2Fwww.webofscience.com%2Fwos%2Fwoscc%2Ffull-record%2FWOS:000668615200009","View Full Record in Web of Science")</f>
        <v>View Full Record in Web of Science</v>
      </c>
    </row>
    <row r="667" spans="1:72" x14ac:dyDescent="0.15">
      <c r="A667" t="s">
        <v>72</v>
      </c>
      <c r="B667" t="s">
        <v>13073</v>
      </c>
      <c r="C667" t="s">
        <v>74</v>
      </c>
      <c r="D667" t="s">
        <v>74</v>
      </c>
      <c r="E667" t="s">
        <v>74</v>
      </c>
      <c r="F667" t="s">
        <v>13074</v>
      </c>
      <c r="G667" t="s">
        <v>74</v>
      </c>
      <c r="H667" t="s">
        <v>74</v>
      </c>
      <c r="I667" t="s">
        <v>13075</v>
      </c>
      <c r="J667" t="s">
        <v>7073</v>
      </c>
      <c r="K667" t="s">
        <v>74</v>
      </c>
      <c r="L667" t="s">
        <v>74</v>
      </c>
      <c r="M667" t="s">
        <v>78</v>
      </c>
      <c r="N667" t="s">
        <v>79</v>
      </c>
      <c r="O667" t="s">
        <v>74</v>
      </c>
      <c r="P667" t="s">
        <v>74</v>
      </c>
      <c r="Q667" t="s">
        <v>74</v>
      </c>
      <c r="R667" t="s">
        <v>74</v>
      </c>
      <c r="S667" t="s">
        <v>74</v>
      </c>
      <c r="T667" t="s">
        <v>13076</v>
      </c>
      <c r="U667" t="s">
        <v>13077</v>
      </c>
      <c r="V667" t="s">
        <v>13078</v>
      </c>
      <c r="W667" t="s">
        <v>13079</v>
      </c>
      <c r="X667" t="s">
        <v>13080</v>
      </c>
      <c r="Y667" t="s">
        <v>13081</v>
      </c>
      <c r="Z667" t="s">
        <v>13082</v>
      </c>
      <c r="AA667" t="s">
        <v>13083</v>
      </c>
      <c r="AB667" t="s">
        <v>13084</v>
      </c>
      <c r="AC667" t="s">
        <v>13085</v>
      </c>
      <c r="AD667" t="s">
        <v>5146</v>
      </c>
      <c r="AE667" t="s">
        <v>13086</v>
      </c>
      <c r="AF667" t="s">
        <v>74</v>
      </c>
      <c r="AG667">
        <v>66</v>
      </c>
      <c r="AH667">
        <v>32</v>
      </c>
      <c r="AI667">
        <v>36</v>
      </c>
      <c r="AJ667">
        <v>4</v>
      </c>
      <c r="AK667">
        <v>32</v>
      </c>
      <c r="AL667" t="s">
        <v>864</v>
      </c>
      <c r="AM667" t="s">
        <v>865</v>
      </c>
      <c r="AN667" t="s">
        <v>866</v>
      </c>
      <c r="AO667" t="s">
        <v>7083</v>
      </c>
      <c r="AP667" t="s">
        <v>7084</v>
      </c>
      <c r="AQ667" t="s">
        <v>74</v>
      </c>
      <c r="AR667" t="s">
        <v>7085</v>
      </c>
      <c r="AS667" t="s">
        <v>7086</v>
      </c>
      <c r="AT667" t="s">
        <v>4571</v>
      </c>
      <c r="AU667">
        <v>2021</v>
      </c>
      <c r="AV667">
        <v>126</v>
      </c>
      <c r="AW667">
        <v>6</v>
      </c>
      <c r="AX667" t="s">
        <v>74</v>
      </c>
      <c r="AY667" t="s">
        <v>74</v>
      </c>
      <c r="AZ667" t="s">
        <v>74</v>
      </c>
      <c r="BA667" t="s">
        <v>74</v>
      </c>
      <c r="BB667" t="s">
        <v>74</v>
      </c>
      <c r="BC667" t="s">
        <v>74</v>
      </c>
      <c r="BD667" t="s">
        <v>13087</v>
      </c>
      <c r="BE667" t="s">
        <v>13088</v>
      </c>
      <c r="BF667" t="str">
        <f>HYPERLINK("http://dx.doi.org/10.1029/2020JB021499","http://dx.doi.org/10.1029/2020JB021499")</f>
        <v>http://dx.doi.org/10.1029/2020JB021499</v>
      </c>
      <c r="BG667" t="s">
        <v>74</v>
      </c>
      <c r="BH667" t="s">
        <v>74</v>
      </c>
      <c r="BI667">
        <v>16</v>
      </c>
      <c r="BJ667" t="s">
        <v>289</v>
      </c>
      <c r="BK667" t="s">
        <v>128</v>
      </c>
      <c r="BL667" t="s">
        <v>289</v>
      </c>
      <c r="BM667" t="s">
        <v>13089</v>
      </c>
      <c r="BN667" t="s">
        <v>74</v>
      </c>
      <c r="BO667" t="s">
        <v>1154</v>
      </c>
      <c r="BP667" t="s">
        <v>74</v>
      </c>
      <c r="BQ667" t="s">
        <v>74</v>
      </c>
      <c r="BR667" t="s">
        <v>102</v>
      </c>
      <c r="BS667" t="s">
        <v>13090</v>
      </c>
      <c r="BT667" t="str">
        <f>HYPERLINK("https%3A%2F%2Fwww.webofscience.com%2Fwos%2Fwoscc%2Ffull-record%2FWOS:000665206200022","View Full Record in Web of Science")</f>
        <v>View Full Record in Web of Science</v>
      </c>
    </row>
    <row r="668" spans="1:72" x14ac:dyDescent="0.15">
      <c r="A668" t="s">
        <v>72</v>
      </c>
      <c r="B668" t="s">
        <v>13091</v>
      </c>
      <c r="C668" t="s">
        <v>74</v>
      </c>
      <c r="D668" t="s">
        <v>74</v>
      </c>
      <c r="E668" t="s">
        <v>74</v>
      </c>
      <c r="F668" t="s">
        <v>13092</v>
      </c>
      <c r="G668" t="s">
        <v>74</v>
      </c>
      <c r="H668" t="s">
        <v>74</v>
      </c>
      <c r="I668" t="s">
        <v>13093</v>
      </c>
      <c r="J668" t="s">
        <v>1404</v>
      </c>
      <c r="K668" t="s">
        <v>74</v>
      </c>
      <c r="L668" t="s">
        <v>74</v>
      </c>
      <c r="M668" t="s">
        <v>78</v>
      </c>
      <c r="N668" t="s">
        <v>79</v>
      </c>
      <c r="O668" t="s">
        <v>74</v>
      </c>
      <c r="P668" t="s">
        <v>74</v>
      </c>
      <c r="Q668" t="s">
        <v>74</v>
      </c>
      <c r="R668" t="s">
        <v>74</v>
      </c>
      <c r="S668" t="s">
        <v>74</v>
      </c>
      <c r="T668" t="s">
        <v>13094</v>
      </c>
      <c r="U668" t="s">
        <v>13095</v>
      </c>
      <c r="V668" t="s">
        <v>13096</v>
      </c>
      <c r="W668" t="s">
        <v>13097</v>
      </c>
      <c r="X668" t="s">
        <v>13098</v>
      </c>
      <c r="Y668" t="s">
        <v>13099</v>
      </c>
      <c r="Z668" t="s">
        <v>13100</v>
      </c>
      <c r="AA668" t="s">
        <v>13101</v>
      </c>
      <c r="AB668" t="s">
        <v>13102</v>
      </c>
      <c r="AC668" t="s">
        <v>13103</v>
      </c>
      <c r="AD668" t="s">
        <v>13104</v>
      </c>
      <c r="AE668" t="s">
        <v>13105</v>
      </c>
      <c r="AF668" t="s">
        <v>74</v>
      </c>
      <c r="AG668">
        <v>77</v>
      </c>
      <c r="AH668">
        <v>9</v>
      </c>
      <c r="AI668">
        <v>9</v>
      </c>
      <c r="AJ668">
        <v>9</v>
      </c>
      <c r="AK668">
        <v>28</v>
      </c>
      <c r="AL668" t="s">
        <v>1101</v>
      </c>
      <c r="AM668" t="s">
        <v>1102</v>
      </c>
      <c r="AN668" t="s">
        <v>1103</v>
      </c>
      <c r="AO668" t="s">
        <v>74</v>
      </c>
      <c r="AP668" t="s">
        <v>1417</v>
      </c>
      <c r="AQ668" t="s">
        <v>74</v>
      </c>
      <c r="AR668" t="s">
        <v>1418</v>
      </c>
      <c r="AS668" t="s">
        <v>1419</v>
      </c>
      <c r="AT668" t="s">
        <v>4571</v>
      </c>
      <c r="AU668">
        <v>2021</v>
      </c>
      <c r="AV668">
        <v>13</v>
      </c>
      <c r="AW668">
        <v>12</v>
      </c>
      <c r="AX668" t="s">
        <v>74</v>
      </c>
      <c r="AY668" t="s">
        <v>74</v>
      </c>
      <c r="AZ668" t="s">
        <v>74</v>
      </c>
      <c r="BA668" t="s">
        <v>74</v>
      </c>
      <c r="BB668" t="s">
        <v>74</v>
      </c>
      <c r="BC668" t="s">
        <v>74</v>
      </c>
      <c r="BD668">
        <v>2357</v>
      </c>
      <c r="BE668" t="s">
        <v>13106</v>
      </c>
      <c r="BF668" t="str">
        <f>HYPERLINK("http://dx.doi.org/10.3390/rs13122357","http://dx.doi.org/10.3390/rs13122357")</f>
        <v>http://dx.doi.org/10.3390/rs13122357</v>
      </c>
      <c r="BG668" t="s">
        <v>74</v>
      </c>
      <c r="BH668" t="s">
        <v>74</v>
      </c>
      <c r="BI668">
        <v>20</v>
      </c>
      <c r="BJ668" t="s">
        <v>1421</v>
      </c>
      <c r="BK668" t="s">
        <v>128</v>
      </c>
      <c r="BL668" t="s">
        <v>1422</v>
      </c>
      <c r="BM668" t="s">
        <v>13107</v>
      </c>
      <c r="BN668" t="s">
        <v>74</v>
      </c>
      <c r="BO668" t="s">
        <v>638</v>
      </c>
      <c r="BP668" t="s">
        <v>74</v>
      </c>
      <c r="BQ668" t="s">
        <v>74</v>
      </c>
      <c r="BR668" t="s">
        <v>102</v>
      </c>
      <c r="BS668" t="s">
        <v>13108</v>
      </c>
      <c r="BT668" t="str">
        <f>HYPERLINK("https%3A%2F%2Fwww.webofscience.com%2Fwos%2Fwoscc%2Ffull-record%2FWOS:000666366700001","View Full Record in Web of Science")</f>
        <v>View Full Record in Web of Science</v>
      </c>
    </row>
    <row r="669" spans="1:72" x14ac:dyDescent="0.15">
      <c r="A669" t="s">
        <v>72</v>
      </c>
      <c r="B669" t="s">
        <v>13109</v>
      </c>
      <c r="C669" t="s">
        <v>74</v>
      </c>
      <c r="D669" t="s">
        <v>74</v>
      </c>
      <c r="E669" t="s">
        <v>74</v>
      </c>
      <c r="F669" t="s">
        <v>13110</v>
      </c>
      <c r="G669" t="s">
        <v>74</v>
      </c>
      <c r="H669" t="s">
        <v>74</v>
      </c>
      <c r="I669" t="s">
        <v>13111</v>
      </c>
      <c r="J669" t="s">
        <v>13112</v>
      </c>
      <c r="K669" t="s">
        <v>74</v>
      </c>
      <c r="L669" t="s">
        <v>74</v>
      </c>
      <c r="M669" t="s">
        <v>78</v>
      </c>
      <c r="N669" t="s">
        <v>79</v>
      </c>
      <c r="O669" t="s">
        <v>74</v>
      </c>
      <c r="P669" t="s">
        <v>74</v>
      </c>
      <c r="Q669" t="s">
        <v>74</v>
      </c>
      <c r="R669" t="s">
        <v>74</v>
      </c>
      <c r="S669" t="s">
        <v>74</v>
      </c>
      <c r="T669" t="s">
        <v>13113</v>
      </c>
      <c r="U669" t="s">
        <v>13114</v>
      </c>
      <c r="V669" t="s">
        <v>13115</v>
      </c>
      <c r="W669" t="s">
        <v>13116</v>
      </c>
      <c r="X669" t="s">
        <v>13117</v>
      </c>
      <c r="Y669" t="s">
        <v>13118</v>
      </c>
      <c r="Z669" t="s">
        <v>13119</v>
      </c>
      <c r="AA669" t="s">
        <v>13120</v>
      </c>
      <c r="AB669" t="s">
        <v>13121</v>
      </c>
      <c r="AC669" t="s">
        <v>13122</v>
      </c>
      <c r="AD669" t="s">
        <v>13123</v>
      </c>
      <c r="AE669" t="s">
        <v>13124</v>
      </c>
      <c r="AF669" t="s">
        <v>74</v>
      </c>
      <c r="AG669">
        <v>60</v>
      </c>
      <c r="AH669">
        <v>1</v>
      </c>
      <c r="AI669">
        <v>1</v>
      </c>
      <c r="AJ669">
        <v>3</v>
      </c>
      <c r="AK669">
        <v>14</v>
      </c>
      <c r="AL669" t="s">
        <v>1101</v>
      </c>
      <c r="AM669" t="s">
        <v>1102</v>
      </c>
      <c r="AN669" t="s">
        <v>1103</v>
      </c>
      <c r="AO669" t="s">
        <v>74</v>
      </c>
      <c r="AP669" t="s">
        <v>13125</v>
      </c>
      <c r="AQ669" t="s">
        <v>74</v>
      </c>
      <c r="AR669" t="s">
        <v>13112</v>
      </c>
      <c r="AS669" t="s">
        <v>13126</v>
      </c>
      <c r="AT669" t="s">
        <v>4571</v>
      </c>
      <c r="AU669">
        <v>2021</v>
      </c>
      <c r="AV669">
        <v>12</v>
      </c>
      <c r="AW669">
        <v>6</v>
      </c>
      <c r="AX669" t="s">
        <v>74</v>
      </c>
      <c r="AY669" t="s">
        <v>74</v>
      </c>
      <c r="AZ669" t="s">
        <v>74</v>
      </c>
      <c r="BA669" t="s">
        <v>74</v>
      </c>
      <c r="BB669" t="s">
        <v>74</v>
      </c>
      <c r="BC669" t="s">
        <v>74</v>
      </c>
      <c r="BD669">
        <v>775</v>
      </c>
      <c r="BE669" t="s">
        <v>13127</v>
      </c>
      <c r="BF669" t="str">
        <f>HYPERLINK("http://dx.doi.org/10.3390/f12060775","http://dx.doi.org/10.3390/f12060775")</f>
        <v>http://dx.doi.org/10.3390/f12060775</v>
      </c>
      <c r="BG669" t="s">
        <v>74</v>
      </c>
      <c r="BH669" t="s">
        <v>74</v>
      </c>
      <c r="BI669">
        <v>13</v>
      </c>
      <c r="BJ669" t="s">
        <v>13128</v>
      </c>
      <c r="BK669" t="s">
        <v>128</v>
      </c>
      <c r="BL669" t="s">
        <v>13128</v>
      </c>
      <c r="BM669" t="s">
        <v>13129</v>
      </c>
      <c r="BN669" t="s">
        <v>74</v>
      </c>
      <c r="BO669" t="s">
        <v>638</v>
      </c>
      <c r="BP669" t="s">
        <v>74</v>
      </c>
      <c r="BQ669" t="s">
        <v>74</v>
      </c>
      <c r="BR669" t="s">
        <v>102</v>
      </c>
      <c r="BS669" t="s">
        <v>13130</v>
      </c>
      <c r="BT669" t="str">
        <f>HYPERLINK("https%3A%2F%2Fwww.webofscience.com%2Fwos%2Fwoscc%2Ffull-record%2FWOS:000666787300001","View Full Record in Web of Science")</f>
        <v>View Full Record in Web of Science</v>
      </c>
    </row>
    <row r="670" spans="1:72" x14ac:dyDescent="0.15">
      <c r="A670" t="s">
        <v>72</v>
      </c>
      <c r="B670" t="s">
        <v>13131</v>
      </c>
      <c r="C670" t="s">
        <v>74</v>
      </c>
      <c r="D670" t="s">
        <v>74</v>
      </c>
      <c r="E670" t="s">
        <v>74</v>
      </c>
      <c r="F670" t="s">
        <v>13132</v>
      </c>
      <c r="G670" t="s">
        <v>74</v>
      </c>
      <c r="H670" t="s">
        <v>74</v>
      </c>
      <c r="I670" t="s">
        <v>13133</v>
      </c>
      <c r="J670" t="s">
        <v>7129</v>
      </c>
      <c r="K670" t="s">
        <v>74</v>
      </c>
      <c r="L670" t="s">
        <v>74</v>
      </c>
      <c r="M670" t="s">
        <v>78</v>
      </c>
      <c r="N670" t="s">
        <v>79</v>
      </c>
      <c r="O670" t="s">
        <v>74</v>
      </c>
      <c r="P670" t="s">
        <v>74</v>
      </c>
      <c r="Q670" t="s">
        <v>74</v>
      </c>
      <c r="R670" t="s">
        <v>74</v>
      </c>
      <c r="S670" t="s">
        <v>74</v>
      </c>
      <c r="T670" t="s">
        <v>13134</v>
      </c>
      <c r="U670" t="s">
        <v>13135</v>
      </c>
      <c r="V670" t="s">
        <v>13136</v>
      </c>
      <c r="W670" t="s">
        <v>13137</v>
      </c>
      <c r="X670" t="s">
        <v>13138</v>
      </c>
      <c r="Y670" t="s">
        <v>13139</v>
      </c>
      <c r="Z670" t="s">
        <v>13140</v>
      </c>
      <c r="AA670" t="s">
        <v>13141</v>
      </c>
      <c r="AB670" t="s">
        <v>13142</v>
      </c>
      <c r="AC670" t="s">
        <v>13143</v>
      </c>
      <c r="AD670" t="s">
        <v>13144</v>
      </c>
      <c r="AE670" t="s">
        <v>13145</v>
      </c>
      <c r="AF670" t="s">
        <v>74</v>
      </c>
      <c r="AG670">
        <v>64</v>
      </c>
      <c r="AH670">
        <v>16</v>
      </c>
      <c r="AI670">
        <v>16</v>
      </c>
      <c r="AJ670">
        <v>5</v>
      </c>
      <c r="AK670">
        <v>27</v>
      </c>
      <c r="AL670" t="s">
        <v>864</v>
      </c>
      <c r="AM670" t="s">
        <v>865</v>
      </c>
      <c r="AN670" t="s">
        <v>866</v>
      </c>
      <c r="AO670" t="s">
        <v>7142</v>
      </c>
      <c r="AP670" t="s">
        <v>7143</v>
      </c>
      <c r="AQ670" t="s">
        <v>74</v>
      </c>
      <c r="AR670" t="s">
        <v>7144</v>
      </c>
      <c r="AS670" t="s">
        <v>7145</v>
      </c>
      <c r="AT670" t="s">
        <v>4571</v>
      </c>
      <c r="AU670">
        <v>2021</v>
      </c>
      <c r="AV670">
        <v>126</v>
      </c>
      <c r="AW670">
        <v>6</v>
      </c>
      <c r="AX670" t="s">
        <v>74</v>
      </c>
      <c r="AY670" t="s">
        <v>74</v>
      </c>
      <c r="AZ670" t="s">
        <v>74</v>
      </c>
      <c r="BA670" t="s">
        <v>74</v>
      </c>
      <c r="BB670" t="s">
        <v>74</v>
      </c>
      <c r="BC670" t="s">
        <v>74</v>
      </c>
      <c r="BD670" t="s">
        <v>13146</v>
      </c>
      <c r="BE670" t="s">
        <v>13147</v>
      </c>
      <c r="BF670" t="str">
        <f>HYPERLINK("http://dx.doi.org/10.1029/2020JG006052","http://dx.doi.org/10.1029/2020JG006052")</f>
        <v>http://dx.doi.org/10.1029/2020JG006052</v>
      </c>
      <c r="BG670" t="s">
        <v>74</v>
      </c>
      <c r="BH670" t="s">
        <v>74</v>
      </c>
      <c r="BI670">
        <v>16</v>
      </c>
      <c r="BJ670" t="s">
        <v>7148</v>
      </c>
      <c r="BK670" t="s">
        <v>128</v>
      </c>
      <c r="BL670" t="s">
        <v>3327</v>
      </c>
      <c r="BM670" t="s">
        <v>13148</v>
      </c>
      <c r="BN670" t="s">
        <v>74</v>
      </c>
      <c r="BO670" t="s">
        <v>408</v>
      </c>
      <c r="BP670" t="s">
        <v>74</v>
      </c>
      <c r="BQ670" t="s">
        <v>74</v>
      </c>
      <c r="BR670" t="s">
        <v>102</v>
      </c>
      <c r="BS670" t="s">
        <v>13149</v>
      </c>
      <c r="BT670" t="str">
        <f>HYPERLINK("https%3A%2F%2Fwww.webofscience.com%2Fwos%2Fwoscc%2Ffull-record%2FWOS:000666436400021","View Full Record in Web of Science")</f>
        <v>View Full Record in Web of Science</v>
      </c>
    </row>
    <row r="671" spans="1:72" x14ac:dyDescent="0.15">
      <c r="A671" t="s">
        <v>72</v>
      </c>
      <c r="B671" t="s">
        <v>13150</v>
      </c>
      <c r="C671" t="s">
        <v>74</v>
      </c>
      <c r="D671" t="s">
        <v>74</v>
      </c>
      <c r="E671" t="s">
        <v>74</v>
      </c>
      <c r="F671" t="s">
        <v>13151</v>
      </c>
      <c r="G671" t="s">
        <v>74</v>
      </c>
      <c r="H671" t="s">
        <v>74</v>
      </c>
      <c r="I671" t="s">
        <v>13152</v>
      </c>
      <c r="J671" t="s">
        <v>7666</v>
      </c>
      <c r="K671" t="s">
        <v>74</v>
      </c>
      <c r="L671" t="s">
        <v>74</v>
      </c>
      <c r="M671" t="s">
        <v>78</v>
      </c>
      <c r="N671" t="s">
        <v>79</v>
      </c>
      <c r="O671" t="s">
        <v>74</v>
      </c>
      <c r="P671" t="s">
        <v>74</v>
      </c>
      <c r="Q671" t="s">
        <v>74</v>
      </c>
      <c r="R671" t="s">
        <v>74</v>
      </c>
      <c r="S671" t="s">
        <v>74</v>
      </c>
      <c r="T671" t="s">
        <v>74</v>
      </c>
      <c r="U671" t="s">
        <v>74</v>
      </c>
      <c r="V671" t="s">
        <v>13153</v>
      </c>
      <c r="W671" t="s">
        <v>13154</v>
      </c>
      <c r="X671" t="s">
        <v>13155</v>
      </c>
      <c r="Y671" t="s">
        <v>13156</v>
      </c>
      <c r="Z671" t="s">
        <v>13157</v>
      </c>
      <c r="AA671" t="s">
        <v>13158</v>
      </c>
      <c r="AB671" t="s">
        <v>13159</v>
      </c>
      <c r="AC671" t="s">
        <v>13160</v>
      </c>
      <c r="AD671" t="s">
        <v>13161</v>
      </c>
      <c r="AE671" t="s">
        <v>13162</v>
      </c>
      <c r="AF671" t="s">
        <v>74</v>
      </c>
      <c r="AG671">
        <v>16</v>
      </c>
      <c r="AH671">
        <v>3</v>
      </c>
      <c r="AI671">
        <v>3</v>
      </c>
      <c r="AJ671">
        <v>0</v>
      </c>
      <c r="AK671">
        <v>2</v>
      </c>
      <c r="AL671" t="s">
        <v>6362</v>
      </c>
      <c r="AM671" t="s">
        <v>865</v>
      </c>
      <c r="AN671" t="s">
        <v>6363</v>
      </c>
      <c r="AO671" t="s">
        <v>7675</v>
      </c>
      <c r="AP671" t="s">
        <v>74</v>
      </c>
      <c r="AQ671" t="s">
        <v>74</v>
      </c>
      <c r="AR671" t="s">
        <v>7676</v>
      </c>
      <c r="AS671" t="s">
        <v>7677</v>
      </c>
      <c r="AT671" t="s">
        <v>4571</v>
      </c>
      <c r="AU671">
        <v>2021</v>
      </c>
      <c r="AV671">
        <v>10</v>
      </c>
      <c r="AW671">
        <v>25</v>
      </c>
      <c r="AX671" t="s">
        <v>74</v>
      </c>
      <c r="AY671" t="s">
        <v>74</v>
      </c>
      <c r="AZ671" t="s">
        <v>74</v>
      </c>
      <c r="BA671" t="s">
        <v>74</v>
      </c>
      <c r="BB671" t="s">
        <v>74</v>
      </c>
      <c r="BC671" t="s">
        <v>74</v>
      </c>
      <c r="BD671" t="s">
        <v>13163</v>
      </c>
      <c r="BE671" t="s">
        <v>13164</v>
      </c>
      <c r="BF671" t="str">
        <f>HYPERLINK("http://dx.doi.org/10.1128/MRA.00494-21","http://dx.doi.org/10.1128/MRA.00494-21")</f>
        <v>http://dx.doi.org/10.1128/MRA.00494-21</v>
      </c>
      <c r="BG671" t="s">
        <v>74</v>
      </c>
      <c r="BH671" t="s">
        <v>74</v>
      </c>
      <c r="BI671">
        <v>3</v>
      </c>
      <c r="BJ671" t="s">
        <v>1499</v>
      </c>
      <c r="BK671" t="s">
        <v>1819</v>
      </c>
      <c r="BL671" t="s">
        <v>1499</v>
      </c>
      <c r="BM671" t="s">
        <v>13165</v>
      </c>
      <c r="BN671">
        <v>34165331</v>
      </c>
      <c r="BO671" t="s">
        <v>311</v>
      </c>
      <c r="BP671" t="s">
        <v>74</v>
      </c>
      <c r="BQ671" t="s">
        <v>74</v>
      </c>
      <c r="BR671" t="s">
        <v>102</v>
      </c>
      <c r="BS671" t="s">
        <v>13166</v>
      </c>
      <c r="BT671" t="str">
        <f>HYPERLINK("https%3A%2F%2Fwww.webofscience.com%2Fwos%2Fwoscc%2Ffull-record%2FWOS:000669041400007","View Full Record in Web of Science")</f>
        <v>View Full Record in Web of Science</v>
      </c>
    </row>
    <row r="672" spans="1:72" x14ac:dyDescent="0.15">
      <c r="A672" t="s">
        <v>72</v>
      </c>
      <c r="B672" t="s">
        <v>13167</v>
      </c>
      <c r="C672" t="s">
        <v>74</v>
      </c>
      <c r="D672" t="s">
        <v>74</v>
      </c>
      <c r="E672" t="s">
        <v>74</v>
      </c>
      <c r="F672" t="s">
        <v>13168</v>
      </c>
      <c r="G672" t="s">
        <v>74</v>
      </c>
      <c r="H672" t="s">
        <v>74</v>
      </c>
      <c r="I672" t="s">
        <v>13169</v>
      </c>
      <c r="J672" t="s">
        <v>7755</v>
      </c>
      <c r="K672" t="s">
        <v>74</v>
      </c>
      <c r="L672" t="s">
        <v>74</v>
      </c>
      <c r="M672" t="s">
        <v>78</v>
      </c>
      <c r="N672" t="s">
        <v>79</v>
      </c>
      <c r="O672" t="s">
        <v>74</v>
      </c>
      <c r="P672" t="s">
        <v>74</v>
      </c>
      <c r="Q672" t="s">
        <v>74</v>
      </c>
      <c r="R672" t="s">
        <v>74</v>
      </c>
      <c r="S672" t="s">
        <v>74</v>
      </c>
      <c r="T672" t="s">
        <v>74</v>
      </c>
      <c r="U672" t="s">
        <v>13170</v>
      </c>
      <c r="V672" t="s">
        <v>13171</v>
      </c>
      <c r="W672" t="s">
        <v>13172</v>
      </c>
      <c r="X672" t="s">
        <v>13173</v>
      </c>
      <c r="Y672" t="s">
        <v>13174</v>
      </c>
      <c r="Z672" t="s">
        <v>13175</v>
      </c>
      <c r="AA672" t="s">
        <v>13176</v>
      </c>
      <c r="AB672" t="s">
        <v>13177</v>
      </c>
      <c r="AC672" t="s">
        <v>13178</v>
      </c>
      <c r="AD672" t="s">
        <v>13179</v>
      </c>
      <c r="AE672" t="s">
        <v>13180</v>
      </c>
      <c r="AF672" t="s">
        <v>74</v>
      </c>
      <c r="AG672">
        <v>40</v>
      </c>
      <c r="AH672">
        <v>10</v>
      </c>
      <c r="AI672">
        <v>10</v>
      </c>
      <c r="AJ672">
        <v>8</v>
      </c>
      <c r="AK672">
        <v>34</v>
      </c>
      <c r="AL672" t="s">
        <v>7767</v>
      </c>
      <c r="AM672" t="s">
        <v>865</v>
      </c>
      <c r="AN672" t="s">
        <v>7768</v>
      </c>
      <c r="AO672" t="s">
        <v>7769</v>
      </c>
      <c r="AP672" t="s">
        <v>74</v>
      </c>
      <c r="AQ672" t="s">
        <v>74</v>
      </c>
      <c r="AR672" t="s">
        <v>7770</v>
      </c>
      <c r="AS672" t="s">
        <v>7771</v>
      </c>
      <c r="AT672" t="s">
        <v>4571</v>
      </c>
      <c r="AU672">
        <v>2021</v>
      </c>
      <c r="AV672">
        <v>7</v>
      </c>
      <c r="AW672">
        <v>26</v>
      </c>
      <c r="AX672" t="s">
        <v>74</v>
      </c>
      <c r="AY672" t="s">
        <v>74</v>
      </c>
      <c r="AZ672" t="s">
        <v>74</v>
      </c>
      <c r="BA672" t="s">
        <v>74</v>
      </c>
      <c r="BB672" t="s">
        <v>74</v>
      </c>
      <c r="BC672" t="s">
        <v>74</v>
      </c>
      <c r="BD672" t="s">
        <v>13181</v>
      </c>
      <c r="BE672" t="s">
        <v>13182</v>
      </c>
      <c r="BF672" t="str">
        <f>HYPERLINK("http://dx.doi.org/10.1126/sciadv.abf9903","http://dx.doi.org/10.1126/sciadv.abf9903")</f>
        <v>http://dx.doi.org/10.1126/sciadv.abf9903</v>
      </c>
      <c r="BG672" t="s">
        <v>74</v>
      </c>
      <c r="BH672" t="s">
        <v>74</v>
      </c>
      <c r="BI672">
        <v>9</v>
      </c>
      <c r="BJ672" t="s">
        <v>2609</v>
      </c>
      <c r="BK672" t="s">
        <v>128</v>
      </c>
      <c r="BL672" t="s">
        <v>2610</v>
      </c>
      <c r="BM672" t="s">
        <v>13183</v>
      </c>
      <c r="BN672">
        <v>34162543</v>
      </c>
      <c r="BO672" t="s">
        <v>238</v>
      </c>
      <c r="BP672" t="s">
        <v>74</v>
      </c>
      <c r="BQ672" t="s">
        <v>74</v>
      </c>
      <c r="BR672" t="s">
        <v>102</v>
      </c>
      <c r="BS672" t="s">
        <v>13184</v>
      </c>
      <c r="BT672" t="str">
        <f>HYPERLINK("https%3A%2F%2Fwww.webofscience.com%2Fwos%2Fwoscc%2Ffull-record%2FWOS:000664978800005","View Full Record in Web of Science")</f>
        <v>View Full Record in Web of Science</v>
      </c>
    </row>
    <row r="673" spans="1:72" x14ac:dyDescent="0.15">
      <c r="A673" t="s">
        <v>72</v>
      </c>
      <c r="B673" t="s">
        <v>13185</v>
      </c>
      <c r="C673" t="s">
        <v>74</v>
      </c>
      <c r="D673" t="s">
        <v>74</v>
      </c>
      <c r="E673" t="s">
        <v>74</v>
      </c>
      <c r="F673" t="s">
        <v>13186</v>
      </c>
      <c r="G673" t="s">
        <v>74</v>
      </c>
      <c r="H673" t="s">
        <v>74</v>
      </c>
      <c r="I673" t="s">
        <v>13187</v>
      </c>
      <c r="J673" t="s">
        <v>13188</v>
      </c>
      <c r="K673" t="s">
        <v>74</v>
      </c>
      <c r="L673" t="s">
        <v>74</v>
      </c>
      <c r="M673" t="s">
        <v>78</v>
      </c>
      <c r="N673" t="s">
        <v>79</v>
      </c>
      <c r="O673" t="s">
        <v>74</v>
      </c>
      <c r="P673" t="s">
        <v>74</v>
      </c>
      <c r="Q673" t="s">
        <v>74</v>
      </c>
      <c r="R673" t="s">
        <v>74</v>
      </c>
      <c r="S673" t="s">
        <v>74</v>
      </c>
      <c r="T673" t="s">
        <v>13189</v>
      </c>
      <c r="U673" t="s">
        <v>13190</v>
      </c>
      <c r="V673" t="s">
        <v>13191</v>
      </c>
      <c r="W673" t="s">
        <v>13192</v>
      </c>
      <c r="X673" t="s">
        <v>13193</v>
      </c>
      <c r="Y673" t="s">
        <v>13194</v>
      </c>
      <c r="Z673" t="s">
        <v>13195</v>
      </c>
      <c r="AA673" t="s">
        <v>74</v>
      </c>
      <c r="AB673" t="s">
        <v>74</v>
      </c>
      <c r="AC673" t="s">
        <v>13196</v>
      </c>
      <c r="AD673" t="s">
        <v>13197</v>
      </c>
      <c r="AE673" t="s">
        <v>13198</v>
      </c>
      <c r="AF673" t="s">
        <v>74</v>
      </c>
      <c r="AG673">
        <v>33</v>
      </c>
      <c r="AH673">
        <v>1</v>
      </c>
      <c r="AI673">
        <v>1</v>
      </c>
      <c r="AJ673">
        <v>5</v>
      </c>
      <c r="AK673">
        <v>12</v>
      </c>
      <c r="AL673" t="s">
        <v>13199</v>
      </c>
      <c r="AM673" t="s">
        <v>12169</v>
      </c>
      <c r="AN673" t="s">
        <v>13200</v>
      </c>
      <c r="AO673" t="s">
        <v>13201</v>
      </c>
      <c r="AP673" t="s">
        <v>13202</v>
      </c>
      <c r="AQ673" t="s">
        <v>74</v>
      </c>
      <c r="AR673" t="s">
        <v>13203</v>
      </c>
      <c r="AS673" t="s">
        <v>13204</v>
      </c>
      <c r="AT673" t="s">
        <v>4571</v>
      </c>
      <c r="AU673">
        <v>2021</v>
      </c>
      <c r="AV673">
        <v>31</v>
      </c>
      <c r="AW673">
        <v>6</v>
      </c>
      <c r="AX673" t="s">
        <v>74</v>
      </c>
      <c r="AY673" t="s">
        <v>74</v>
      </c>
      <c r="AZ673" t="s">
        <v>74</v>
      </c>
      <c r="BA673" t="s">
        <v>74</v>
      </c>
      <c r="BB673">
        <v>882</v>
      </c>
      <c r="BC673">
        <v>889</v>
      </c>
      <c r="BD673" t="s">
        <v>74</v>
      </c>
      <c r="BE673" t="s">
        <v>13205</v>
      </c>
      <c r="BF673" t="str">
        <f>HYPERLINK("http://dx.doi.org/10.4014/jmb.2103.03011","http://dx.doi.org/10.4014/jmb.2103.03011")</f>
        <v>http://dx.doi.org/10.4014/jmb.2103.03011</v>
      </c>
      <c r="BG673" t="s">
        <v>74</v>
      </c>
      <c r="BH673" t="s">
        <v>74</v>
      </c>
      <c r="BI673">
        <v>8</v>
      </c>
      <c r="BJ673" t="s">
        <v>4573</v>
      </c>
      <c r="BK673" t="s">
        <v>128</v>
      </c>
      <c r="BL673" t="s">
        <v>4573</v>
      </c>
      <c r="BM673" t="s">
        <v>13206</v>
      </c>
      <c r="BN673">
        <v>34024893</v>
      </c>
      <c r="BO673" t="s">
        <v>7579</v>
      </c>
      <c r="BP673" t="s">
        <v>74</v>
      </c>
      <c r="BQ673" t="s">
        <v>74</v>
      </c>
      <c r="BR673" t="s">
        <v>102</v>
      </c>
      <c r="BS673" t="s">
        <v>13207</v>
      </c>
      <c r="BT673" t="str">
        <f>HYPERLINK("https%3A%2F%2Fwww.webofscience.com%2Fwos%2Fwoscc%2Ffull-record%2FWOS:000667770900003","View Full Record in Web of Science")</f>
        <v>View Full Record in Web of Science</v>
      </c>
    </row>
    <row r="674" spans="1:72" x14ac:dyDescent="0.15">
      <c r="A674" t="s">
        <v>72</v>
      </c>
      <c r="B674" t="s">
        <v>13208</v>
      </c>
      <c r="C674" t="s">
        <v>74</v>
      </c>
      <c r="D674" t="s">
        <v>74</v>
      </c>
      <c r="E674" t="s">
        <v>74</v>
      </c>
      <c r="F674" t="s">
        <v>13209</v>
      </c>
      <c r="G674" t="s">
        <v>74</v>
      </c>
      <c r="H674" t="s">
        <v>74</v>
      </c>
      <c r="I674" t="s">
        <v>13210</v>
      </c>
      <c r="J674" t="s">
        <v>1311</v>
      </c>
      <c r="K674" t="s">
        <v>74</v>
      </c>
      <c r="L674" t="s">
        <v>74</v>
      </c>
      <c r="M674" t="s">
        <v>78</v>
      </c>
      <c r="N674" t="s">
        <v>79</v>
      </c>
      <c r="O674" t="s">
        <v>74</v>
      </c>
      <c r="P674" t="s">
        <v>74</v>
      </c>
      <c r="Q674" t="s">
        <v>74</v>
      </c>
      <c r="R674" t="s">
        <v>74</v>
      </c>
      <c r="S674" t="s">
        <v>74</v>
      </c>
      <c r="T674" t="s">
        <v>13211</v>
      </c>
      <c r="U674" t="s">
        <v>13212</v>
      </c>
      <c r="V674" t="s">
        <v>13213</v>
      </c>
      <c r="W674" t="s">
        <v>13214</v>
      </c>
      <c r="X674" t="s">
        <v>13215</v>
      </c>
      <c r="Y674" t="s">
        <v>13216</v>
      </c>
      <c r="Z674" t="s">
        <v>13217</v>
      </c>
      <c r="AA674" t="s">
        <v>13218</v>
      </c>
      <c r="AB674" t="s">
        <v>13219</v>
      </c>
      <c r="AC674" t="s">
        <v>13220</v>
      </c>
      <c r="AD674" t="s">
        <v>13221</v>
      </c>
      <c r="AE674" t="s">
        <v>13222</v>
      </c>
      <c r="AF674" t="s">
        <v>74</v>
      </c>
      <c r="AG674">
        <v>95</v>
      </c>
      <c r="AH674">
        <v>7</v>
      </c>
      <c r="AI674">
        <v>7</v>
      </c>
      <c r="AJ674">
        <v>5</v>
      </c>
      <c r="AK674">
        <v>30</v>
      </c>
      <c r="AL674" t="s">
        <v>864</v>
      </c>
      <c r="AM674" t="s">
        <v>865</v>
      </c>
      <c r="AN674" t="s">
        <v>866</v>
      </c>
      <c r="AO674" t="s">
        <v>1322</v>
      </c>
      <c r="AP674" t="s">
        <v>1323</v>
      </c>
      <c r="AQ674" t="s">
        <v>74</v>
      </c>
      <c r="AR674" t="s">
        <v>1324</v>
      </c>
      <c r="AS674" t="s">
        <v>1325</v>
      </c>
      <c r="AT674" t="s">
        <v>4571</v>
      </c>
      <c r="AU674">
        <v>2021</v>
      </c>
      <c r="AV674">
        <v>36</v>
      </c>
      <c r="AW674">
        <v>6</v>
      </c>
      <c r="AX674" t="s">
        <v>74</v>
      </c>
      <c r="AY674" t="s">
        <v>74</v>
      </c>
      <c r="AZ674" t="s">
        <v>74</v>
      </c>
      <c r="BA674" t="s">
        <v>74</v>
      </c>
      <c r="BB674" t="s">
        <v>74</v>
      </c>
      <c r="BC674" t="s">
        <v>74</v>
      </c>
      <c r="BD674" t="s">
        <v>13223</v>
      </c>
      <c r="BE674" t="s">
        <v>13224</v>
      </c>
      <c r="BF674" t="str">
        <f>HYPERLINK("http://dx.doi.org/10.1029/2020PA003924","http://dx.doi.org/10.1029/2020PA003924")</f>
        <v>http://dx.doi.org/10.1029/2020PA003924</v>
      </c>
      <c r="BG674" t="s">
        <v>74</v>
      </c>
      <c r="BH674" t="s">
        <v>74</v>
      </c>
      <c r="BI674">
        <v>16</v>
      </c>
      <c r="BJ674" t="s">
        <v>1328</v>
      </c>
      <c r="BK674" t="s">
        <v>128</v>
      </c>
      <c r="BL674" t="s">
        <v>1329</v>
      </c>
      <c r="BM674" t="s">
        <v>13225</v>
      </c>
      <c r="BN674" t="s">
        <v>74</v>
      </c>
      <c r="BO674" t="s">
        <v>7090</v>
      </c>
      <c r="BP674" t="s">
        <v>74</v>
      </c>
      <c r="BQ674" t="s">
        <v>74</v>
      </c>
      <c r="BR674" t="s">
        <v>102</v>
      </c>
      <c r="BS674" t="s">
        <v>13226</v>
      </c>
      <c r="BT674" t="str">
        <f>HYPERLINK("https%3A%2F%2Fwww.webofscience.com%2Fwos%2Fwoscc%2Ffull-record%2FWOS:000665065500014","View Full Record in Web of Science")</f>
        <v>View Full Record in Web of Science</v>
      </c>
    </row>
    <row r="675" spans="1:72" x14ac:dyDescent="0.15">
      <c r="A675" t="s">
        <v>72</v>
      </c>
      <c r="B675" t="s">
        <v>13227</v>
      </c>
      <c r="C675" t="s">
        <v>74</v>
      </c>
      <c r="D675" t="s">
        <v>74</v>
      </c>
      <c r="E675" t="s">
        <v>74</v>
      </c>
      <c r="F675" t="s">
        <v>13228</v>
      </c>
      <c r="G675" t="s">
        <v>74</v>
      </c>
      <c r="H675" t="s">
        <v>74</v>
      </c>
      <c r="I675" t="s">
        <v>13229</v>
      </c>
      <c r="J675" t="s">
        <v>1311</v>
      </c>
      <c r="K675" t="s">
        <v>74</v>
      </c>
      <c r="L675" t="s">
        <v>74</v>
      </c>
      <c r="M675" t="s">
        <v>78</v>
      </c>
      <c r="N675" t="s">
        <v>79</v>
      </c>
      <c r="O675" t="s">
        <v>74</v>
      </c>
      <c r="P675" t="s">
        <v>74</v>
      </c>
      <c r="Q675" t="s">
        <v>74</v>
      </c>
      <c r="R675" t="s">
        <v>74</v>
      </c>
      <c r="S675" t="s">
        <v>74</v>
      </c>
      <c r="T675" t="s">
        <v>13230</v>
      </c>
      <c r="U675" t="s">
        <v>13231</v>
      </c>
      <c r="V675" t="s">
        <v>13232</v>
      </c>
      <c r="W675" t="s">
        <v>13233</v>
      </c>
      <c r="X675" t="s">
        <v>13234</v>
      </c>
      <c r="Y675" t="s">
        <v>13235</v>
      </c>
      <c r="Z675" t="s">
        <v>13236</v>
      </c>
      <c r="AA675" t="s">
        <v>13237</v>
      </c>
      <c r="AB675" t="s">
        <v>13238</v>
      </c>
      <c r="AC675" t="s">
        <v>74</v>
      </c>
      <c r="AD675" t="s">
        <v>74</v>
      </c>
      <c r="AE675" t="s">
        <v>74</v>
      </c>
      <c r="AF675" t="s">
        <v>74</v>
      </c>
      <c r="AG675">
        <v>130</v>
      </c>
      <c r="AH675">
        <v>4</v>
      </c>
      <c r="AI675">
        <v>4</v>
      </c>
      <c r="AJ675">
        <v>1</v>
      </c>
      <c r="AK675">
        <v>11</v>
      </c>
      <c r="AL675" t="s">
        <v>864</v>
      </c>
      <c r="AM675" t="s">
        <v>865</v>
      </c>
      <c r="AN675" t="s">
        <v>866</v>
      </c>
      <c r="AO675" t="s">
        <v>1322</v>
      </c>
      <c r="AP675" t="s">
        <v>1323</v>
      </c>
      <c r="AQ675" t="s">
        <v>74</v>
      </c>
      <c r="AR675" t="s">
        <v>1324</v>
      </c>
      <c r="AS675" t="s">
        <v>1325</v>
      </c>
      <c r="AT675" t="s">
        <v>4571</v>
      </c>
      <c r="AU675">
        <v>2021</v>
      </c>
      <c r="AV675">
        <v>36</v>
      </c>
      <c r="AW675">
        <v>6</v>
      </c>
      <c r="AX675" t="s">
        <v>74</v>
      </c>
      <c r="AY675" t="s">
        <v>74</v>
      </c>
      <c r="AZ675" t="s">
        <v>74</v>
      </c>
      <c r="BA675" t="s">
        <v>74</v>
      </c>
      <c r="BB675" t="s">
        <v>74</v>
      </c>
      <c r="BC675" t="s">
        <v>74</v>
      </c>
      <c r="BD675" t="s">
        <v>13239</v>
      </c>
      <c r="BE675" t="s">
        <v>13240</v>
      </c>
      <c r="BF675" t="str">
        <f>HYPERLINK("http://dx.doi.org/10.1029/2020PA004095","http://dx.doi.org/10.1029/2020PA004095")</f>
        <v>http://dx.doi.org/10.1029/2020PA004095</v>
      </c>
      <c r="BG675" t="s">
        <v>74</v>
      </c>
      <c r="BH675" t="s">
        <v>74</v>
      </c>
      <c r="BI675">
        <v>17</v>
      </c>
      <c r="BJ675" t="s">
        <v>1328</v>
      </c>
      <c r="BK675" t="s">
        <v>128</v>
      </c>
      <c r="BL675" t="s">
        <v>1329</v>
      </c>
      <c r="BM675" t="s">
        <v>13225</v>
      </c>
      <c r="BN675" t="s">
        <v>74</v>
      </c>
      <c r="BO675" t="s">
        <v>13241</v>
      </c>
      <c r="BP675" t="s">
        <v>74</v>
      </c>
      <c r="BQ675" t="s">
        <v>74</v>
      </c>
      <c r="BR675" t="s">
        <v>102</v>
      </c>
      <c r="BS675" t="s">
        <v>13242</v>
      </c>
      <c r="BT675" t="str">
        <f>HYPERLINK("https%3A%2F%2Fwww.webofscience.com%2Fwos%2Fwoscc%2Ffull-record%2FWOS:000665065500010","View Full Record in Web of Science")</f>
        <v>View Full Record in Web of Science</v>
      </c>
    </row>
    <row r="676" spans="1:72" x14ac:dyDescent="0.15">
      <c r="A676" t="s">
        <v>72</v>
      </c>
      <c r="B676" t="s">
        <v>13243</v>
      </c>
      <c r="C676" t="s">
        <v>74</v>
      </c>
      <c r="D676" t="s">
        <v>74</v>
      </c>
      <c r="E676" t="s">
        <v>74</v>
      </c>
      <c r="F676" t="s">
        <v>13244</v>
      </c>
      <c r="G676" t="s">
        <v>74</v>
      </c>
      <c r="H676" t="s">
        <v>74</v>
      </c>
      <c r="I676" t="s">
        <v>13245</v>
      </c>
      <c r="J676" t="s">
        <v>1610</v>
      </c>
      <c r="K676" t="s">
        <v>74</v>
      </c>
      <c r="L676" t="s">
        <v>74</v>
      </c>
      <c r="M676" t="s">
        <v>78</v>
      </c>
      <c r="N676" t="s">
        <v>79</v>
      </c>
      <c r="O676" t="s">
        <v>74</v>
      </c>
      <c r="P676" t="s">
        <v>74</v>
      </c>
      <c r="Q676" t="s">
        <v>74</v>
      </c>
      <c r="R676" t="s">
        <v>74</v>
      </c>
      <c r="S676" t="s">
        <v>74</v>
      </c>
      <c r="T676" t="s">
        <v>13246</v>
      </c>
      <c r="U676" t="s">
        <v>13247</v>
      </c>
      <c r="V676" t="s">
        <v>13248</v>
      </c>
      <c r="W676" t="s">
        <v>13249</v>
      </c>
      <c r="X676" t="s">
        <v>13250</v>
      </c>
      <c r="Y676" t="s">
        <v>13251</v>
      </c>
      <c r="Z676" t="s">
        <v>13252</v>
      </c>
      <c r="AA676" t="s">
        <v>13253</v>
      </c>
      <c r="AB676" t="s">
        <v>13254</v>
      </c>
      <c r="AC676" t="s">
        <v>13255</v>
      </c>
      <c r="AD676" t="s">
        <v>13255</v>
      </c>
      <c r="AE676" t="s">
        <v>13256</v>
      </c>
      <c r="AF676" t="s">
        <v>74</v>
      </c>
      <c r="AG676">
        <v>41</v>
      </c>
      <c r="AH676">
        <v>2</v>
      </c>
      <c r="AI676">
        <v>3</v>
      </c>
      <c r="AJ676">
        <v>3</v>
      </c>
      <c r="AK676">
        <v>11</v>
      </c>
      <c r="AL676" t="s">
        <v>1101</v>
      </c>
      <c r="AM676" t="s">
        <v>1102</v>
      </c>
      <c r="AN676" t="s">
        <v>1103</v>
      </c>
      <c r="AO676" t="s">
        <v>74</v>
      </c>
      <c r="AP676" t="s">
        <v>1620</v>
      </c>
      <c r="AQ676" t="s">
        <v>74</v>
      </c>
      <c r="AR676" t="s">
        <v>1621</v>
      </c>
      <c r="AS676" t="s">
        <v>1622</v>
      </c>
      <c r="AT676" t="s">
        <v>4571</v>
      </c>
      <c r="AU676">
        <v>2021</v>
      </c>
      <c r="AV676">
        <v>9</v>
      </c>
      <c r="AW676">
        <v>6</v>
      </c>
      <c r="AX676" t="s">
        <v>74</v>
      </c>
      <c r="AY676" t="s">
        <v>74</v>
      </c>
      <c r="AZ676" t="s">
        <v>74</v>
      </c>
      <c r="BA676" t="s">
        <v>74</v>
      </c>
      <c r="BB676" t="s">
        <v>74</v>
      </c>
      <c r="BC676" t="s">
        <v>74</v>
      </c>
      <c r="BD676">
        <v>647</v>
      </c>
      <c r="BE676" t="s">
        <v>13257</v>
      </c>
      <c r="BF676" t="str">
        <f>HYPERLINK("http://dx.doi.org/10.3390/jmse9060647","http://dx.doi.org/10.3390/jmse9060647")</f>
        <v>http://dx.doi.org/10.3390/jmse9060647</v>
      </c>
      <c r="BG676" t="s">
        <v>74</v>
      </c>
      <c r="BH676" t="s">
        <v>74</v>
      </c>
      <c r="BI676">
        <v>8</v>
      </c>
      <c r="BJ676" t="s">
        <v>1624</v>
      </c>
      <c r="BK676" t="s">
        <v>128</v>
      </c>
      <c r="BL676" t="s">
        <v>1625</v>
      </c>
      <c r="BM676" t="s">
        <v>13258</v>
      </c>
      <c r="BN676" t="s">
        <v>74</v>
      </c>
      <c r="BO676" t="s">
        <v>1377</v>
      </c>
      <c r="BP676" t="s">
        <v>74</v>
      </c>
      <c r="BQ676" t="s">
        <v>74</v>
      </c>
      <c r="BR676" t="s">
        <v>102</v>
      </c>
      <c r="BS676" t="s">
        <v>13259</v>
      </c>
      <c r="BT676" t="str">
        <f>HYPERLINK("https%3A%2F%2Fwww.webofscience.com%2Fwos%2Fwoscc%2Ffull-record%2FWOS:000667372400001","View Full Record in Web of Science")</f>
        <v>View Full Record in Web of Science</v>
      </c>
    </row>
    <row r="677" spans="1:72" x14ac:dyDescent="0.15">
      <c r="A677" t="s">
        <v>72</v>
      </c>
      <c r="B677" t="s">
        <v>13260</v>
      </c>
      <c r="C677" t="s">
        <v>74</v>
      </c>
      <c r="D677" t="s">
        <v>74</v>
      </c>
      <c r="E677" t="s">
        <v>74</v>
      </c>
      <c r="F677" t="s">
        <v>13261</v>
      </c>
      <c r="G677" t="s">
        <v>74</v>
      </c>
      <c r="H677" t="s">
        <v>74</v>
      </c>
      <c r="I677" t="s">
        <v>13262</v>
      </c>
      <c r="J677" t="s">
        <v>1750</v>
      </c>
      <c r="K677" t="s">
        <v>74</v>
      </c>
      <c r="L677" t="s">
        <v>74</v>
      </c>
      <c r="M677" t="s">
        <v>78</v>
      </c>
      <c r="N677" t="s">
        <v>79</v>
      </c>
      <c r="O677" t="s">
        <v>74</v>
      </c>
      <c r="P677" t="s">
        <v>74</v>
      </c>
      <c r="Q677" t="s">
        <v>74</v>
      </c>
      <c r="R677" t="s">
        <v>74</v>
      </c>
      <c r="S677" t="s">
        <v>74</v>
      </c>
      <c r="T677" t="s">
        <v>13263</v>
      </c>
      <c r="U677" t="s">
        <v>13264</v>
      </c>
      <c r="V677" t="s">
        <v>13265</v>
      </c>
      <c r="W677" t="s">
        <v>13266</v>
      </c>
      <c r="X677" t="s">
        <v>13267</v>
      </c>
      <c r="Y677" t="s">
        <v>13268</v>
      </c>
      <c r="Z677" t="s">
        <v>13269</v>
      </c>
      <c r="AA677" t="s">
        <v>13270</v>
      </c>
      <c r="AB677" t="s">
        <v>13271</v>
      </c>
      <c r="AC677" t="s">
        <v>13272</v>
      </c>
      <c r="AD677" t="s">
        <v>13273</v>
      </c>
      <c r="AE677" t="s">
        <v>13274</v>
      </c>
      <c r="AF677" t="s">
        <v>74</v>
      </c>
      <c r="AG677">
        <v>62</v>
      </c>
      <c r="AH677">
        <v>1</v>
      </c>
      <c r="AI677">
        <v>1</v>
      </c>
      <c r="AJ677">
        <v>0</v>
      </c>
      <c r="AK677">
        <v>4</v>
      </c>
      <c r="AL677" t="s">
        <v>864</v>
      </c>
      <c r="AM677" t="s">
        <v>865</v>
      </c>
      <c r="AN677" t="s">
        <v>866</v>
      </c>
      <c r="AO677" t="s">
        <v>74</v>
      </c>
      <c r="AP677" t="s">
        <v>1763</v>
      </c>
      <c r="AQ677" t="s">
        <v>74</v>
      </c>
      <c r="AR677" t="s">
        <v>1764</v>
      </c>
      <c r="AS677" t="s">
        <v>1765</v>
      </c>
      <c r="AT677" t="s">
        <v>4571</v>
      </c>
      <c r="AU677">
        <v>2021</v>
      </c>
      <c r="AV677">
        <v>19</v>
      </c>
      <c r="AW677">
        <v>6</v>
      </c>
      <c r="AX677" t="s">
        <v>74</v>
      </c>
      <c r="AY677" t="s">
        <v>74</v>
      </c>
      <c r="AZ677" t="s">
        <v>74</v>
      </c>
      <c r="BA677" t="s">
        <v>74</v>
      </c>
      <c r="BB677" t="s">
        <v>74</v>
      </c>
      <c r="BC677" t="s">
        <v>74</v>
      </c>
      <c r="BD677" t="s">
        <v>13275</v>
      </c>
      <c r="BE677" t="s">
        <v>13276</v>
      </c>
      <c r="BF677" t="str">
        <f>HYPERLINK("http://dx.doi.org/10.1029/2020SW002704","http://dx.doi.org/10.1029/2020SW002704")</f>
        <v>http://dx.doi.org/10.1029/2020SW002704</v>
      </c>
      <c r="BG677" t="s">
        <v>74</v>
      </c>
      <c r="BH677" t="s">
        <v>74</v>
      </c>
      <c r="BI677">
        <v>17</v>
      </c>
      <c r="BJ677" t="s">
        <v>1768</v>
      </c>
      <c r="BK677" t="s">
        <v>128</v>
      </c>
      <c r="BL677" t="s">
        <v>1768</v>
      </c>
      <c r="BM677" t="s">
        <v>13277</v>
      </c>
      <c r="BN677" t="s">
        <v>74</v>
      </c>
      <c r="BO677" t="s">
        <v>238</v>
      </c>
      <c r="BP677" t="s">
        <v>74</v>
      </c>
      <c r="BQ677" t="s">
        <v>74</v>
      </c>
      <c r="BR677" t="s">
        <v>102</v>
      </c>
      <c r="BS677" t="s">
        <v>13278</v>
      </c>
      <c r="BT677" t="str">
        <f>HYPERLINK("https%3A%2F%2Fwww.webofscience.com%2Fwos%2Fwoscc%2Ffull-record%2FWOS:000667881500006","View Full Record in Web of Science")</f>
        <v>View Full Record in Web of Science</v>
      </c>
    </row>
    <row r="678" spans="1:72" x14ac:dyDescent="0.15">
      <c r="A678" t="s">
        <v>72</v>
      </c>
      <c r="B678" t="s">
        <v>13279</v>
      </c>
      <c r="C678" t="s">
        <v>74</v>
      </c>
      <c r="D678" t="s">
        <v>74</v>
      </c>
      <c r="E678" t="s">
        <v>74</v>
      </c>
      <c r="F678" t="s">
        <v>13280</v>
      </c>
      <c r="G678" t="s">
        <v>74</v>
      </c>
      <c r="H678" t="s">
        <v>74</v>
      </c>
      <c r="I678" t="s">
        <v>13281</v>
      </c>
      <c r="J678" t="s">
        <v>2178</v>
      </c>
      <c r="K678" t="s">
        <v>74</v>
      </c>
      <c r="L678" t="s">
        <v>74</v>
      </c>
      <c r="M678" t="s">
        <v>78</v>
      </c>
      <c r="N678" t="s">
        <v>79</v>
      </c>
      <c r="O678" t="s">
        <v>74</v>
      </c>
      <c r="P678" t="s">
        <v>74</v>
      </c>
      <c r="Q678" t="s">
        <v>74</v>
      </c>
      <c r="R678" t="s">
        <v>74</v>
      </c>
      <c r="S678" t="s">
        <v>74</v>
      </c>
      <c r="T678" t="s">
        <v>13282</v>
      </c>
      <c r="U678" t="s">
        <v>13283</v>
      </c>
      <c r="V678" t="s">
        <v>13284</v>
      </c>
      <c r="W678" t="s">
        <v>13285</v>
      </c>
      <c r="X678" t="s">
        <v>13286</v>
      </c>
      <c r="Y678" t="s">
        <v>13287</v>
      </c>
      <c r="Z678" t="s">
        <v>13288</v>
      </c>
      <c r="AA678" t="s">
        <v>13289</v>
      </c>
      <c r="AB678" t="s">
        <v>13290</v>
      </c>
      <c r="AC678" t="s">
        <v>13291</v>
      </c>
      <c r="AD678" t="s">
        <v>13292</v>
      </c>
      <c r="AE678" t="s">
        <v>13293</v>
      </c>
      <c r="AF678" t="s">
        <v>74</v>
      </c>
      <c r="AG678">
        <v>81</v>
      </c>
      <c r="AH678">
        <v>1</v>
      </c>
      <c r="AI678">
        <v>1</v>
      </c>
      <c r="AJ678">
        <v>1</v>
      </c>
      <c r="AK678">
        <v>15</v>
      </c>
      <c r="AL678" t="s">
        <v>2190</v>
      </c>
      <c r="AM678" t="s">
        <v>228</v>
      </c>
      <c r="AN678" t="s">
        <v>2191</v>
      </c>
      <c r="AO678" t="s">
        <v>2192</v>
      </c>
      <c r="AP678" t="s">
        <v>2193</v>
      </c>
      <c r="AQ678" t="s">
        <v>74</v>
      </c>
      <c r="AR678" t="s">
        <v>2194</v>
      </c>
      <c r="AS678" t="s">
        <v>2195</v>
      </c>
      <c r="AT678" t="s">
        <v>4571</v>
      </c>
      <c r="AU678">
        <v>2021</v>
      </c>
      <c r="AV678">
        <v>192</v>
      </c>
      <c r="AW678">
        <v>2</v>
      </c>
      <c r="AX678" t="s">
        <v>74</v>
      </c>
      <c r="AY678" t="s">
        <v>74</v>
      </c>
      <c r="AZ678" t="s">
        <v>74</v>
      </c>
      <c r="BA678" t="s">
        <v>74</v>
      </c>
      <c r="BB678">
        <v>259</v>
      </c>
      <c r="BC678">
        <v>276</v>
      </c>
      <c r="BD678" t="s">
        <v>74</v>
      </c>
      <c r="BE678" t="s">
        <v>13294</v>
      </c>
      <c r="BF678" t="str">
        <f>HYPERLINK("http://dx.doi.org/10.1093/zoolinnean/zlaa058","http://dx.doi.org/10.1093/zoolinnean/zlaa058")</f>
        <v>http://dx.doi.org/10.1093/zoolinnean/zlaa058</v>
      </c>
      <c r="BG678" t="s">
        <v>74</v>
      </c>
      <c r="BH678" t="s">
        <v>74</v>
      </c>
      <c r="BI678">
        <v>18</v>
      </c>
      <c r="BJ678" t="s">
        <v>2197</v>
      </c>
      <c r="BK678" t="s">
        <v>128</v>
      </c>
      <c r="BL678" t="s">
        <v>2197</v>
      </c>
      <c r="BM678" t="s">
        <v>13295</v>
      </c>
      <c r="BN678" t="s">
        <v>74</v>
      </c>
      <c r="BO678" t="s">
        <v>74</v>
      </c>
      <c r="BP678" t="s">
        <v>74</v>
      </c>
      <c r="BQ678" t="s">
        <v>74</v>
      </c>
      <c r="BR678" t="s">
        <v>102</v>
      </c>
      <c r="BS678" t="s">
        <v>13296</v>
      </c>
      <c r="BT678" t="str">
        <f>HYPERLINK("https%3A%2F%2Fwww.webofscience.com%2Fwos%2Fwoscc%2Ffull-record%2FWOS:000661494900001","View Full Record in Web of Science")</f>
        <v>View Full Record in Web of Science</v>
      </c>
    </row>
    <row r="679" spans="1:72" x14ac:dyDescent="0.15">
      <c r="A679" t="s">
        <v>72</v>
      </c>
      <c r="B679" t="s">
        <v>13297</v>
      </c>
      <c r="C679" t="s">
        <v>74</v>
      </c>
      <c r="D679" t="s">
        <v>74</v>
      </c>
      <c r="E679" t="s">
        <v>74</v>
      </c>
      <c r="F679" t="s">
        <v>13298</v>
      </c>
      <c r="G679" t="s">
        <v>74</v>
      </c>
      <c r="H679" t="s">
        <v>74</v>
      </c>
      <c r="I679" t="s">
        <v>13299</v>
      </c>
      <c r="J679" t="s">
        <v>1025</v>
      </c>
      <c r="K679" t="s">
        <v>74</v>
      </c>
      <c r="L679" t="s">
        <v>74</v>
      </c>
      <c r="M679" t="s">
        <v>78</v>
      </c>
      <c r="N679" t="s">
        <v>79</v>
      </c>
      <c r="O679" t="s">
        <v>74</v>
      </c>
      <c r="P679" t="s">
        <v>74</v>
      </c>
      <c r="Q679" t="s">
        <v>74</v>
      </c>
      <c r="R679" t="s">
        <v>74</v>
      </c>
      <c r="S679" t="s">
        <v>74</v>
      </c>
      <c r="T679" t="s">
        <v>13300</v>
      </c>
      <c r="U679" t="s">
        <v>13301</v>
      </c>
      <c r="V679" t="s">
        <v>13302</v>
      </c>
      <c r="W679" t="s">
        <v>13303</v>
      </c>
      <c r="X679" t="s">
        <v>13304</v>
      </c>
      <c r="Y679" t="s">
        <v>13305</v>
      </c>
      <c r="Z679" t="s">
        <v>13306</v>
      </c>
      <c r="AA679" t="s">
        <v>74</v>
      </c>
      <c r="AB679" t="s">
        <v>13307</v>
      </c>
      <c r="AC679" t="s">
        <v>13308</v>
      </c>
      <c r="AD679" t="s">
        <v>13309</v>
      </c>
      <c r="AE679" t="s">
        <v>13310</v>
      </c>
      <c r="AF679" t="s">
        <v>74</v>
      </c>
      <c r="AG679">
        <v>67</v>
      </c>
      <c r="AH679">
        <v>1</v>
      </c>
      <c r="AI679">
        <v>1</v>
      </c>
      <c r="AJ679">
        <v>4</v>
      </c>
      <c r="AK679">
        <v>20</v>
      </c>
      <c r="AL679" t="s">
        <v>864</v>
      </c>
      <c r="AM679" t="s">
        <v>865</v>
      </c>
      <c r="AN679" t="s">
        <v>866</v>
      </c>
      <c r="AO679" t="s">
        <v>1038</v>
      </c>
      <c r="AP679" t="s">
        <v>1039</v>
      </c>
      <c r="AQ679" t="s">
        <v>74</v>
      </c>
      <c r="AR679" t="s">
        <v>1040</v>
      </c>
      <c r="AS679" t="s">
        <v>1041</v>
      </c>
      <c r="AT679" t="s">
        <v>4571</v>
      </c>
      <c r="AU679">
        <v>2021</v>
      </c>
      <c r="AV679">
        <v>35</v>
      </c>
      <c r="AW679">
        <v>6</v>
      </c>
      <c r="AX679" t="s">
        <v>74</v>
      </c>
      <c r="AY679" t="s">
        <v>74</v>
      </c>
      <c r="AZ679" t="s">
        <v>74</v>
      </c>
      <c r="BA679" t="s">
        <v>74</v>
      </c>
      <c r="BB679" t="s">
        <v>74</v>
      </c>
      <c r="BC679" t="s">
        <v>74</v>
      </c>
      <c r="BD679" t="s">
        <v>13311</v>
      </c>
      <c r="BE679" t="s">
        <v>13312</v>
      </c>
      <c r="BF679" t="str">
        <f>HYPERLINK("http://dx.doi.org/10.1029/2020GB006676","http://dx.doi.org/10.1029/2020GB006676")</f>
        <v>http://dx.doi.org/10.1029/2020GB006676</v>
      </c>
      <c r="BG679" t="s">
        <v>74</v>
      </c>
      <c r="BH679" t="s">
        <v>74</v>
      </c>
      <c r="BI679">
        <v>19</v>
      </c>
      <c r="BJ679" t="s">
        <v>1044</v>
      </c>
      <c r="BK679" t="s">
        <v>128</v>
      </c>
      <c r="BL679" t="s">
        <v>1045</v>
      </c>
      <c r="BM679" t="s">
        <v>13313</v>
      </c>
      <c r="BN679" t="s">
        <v>74</v>
      </c>
      <c r="BO679" t="s">
        <v>238</v>
      </c>
      <c r="BP679" t="s">
        <v>74</v>
      </c>
      <c r="BQ679" t="s">
        <v>74</v>
      </c>
      <c r="BR679" t="s">
        <v>102</v>
      </c>
      <c r="BS679" t="s">
        <v>13314</v>
      </c>
      <c r="BT679" t="str">
        <f>HYPERLINK("https%3A%2F%2Fwww.webofscience.com%2Fwos%2Fwoscc%2Ffull-record%2FWOS:000667032800009","View Full Record in Web of Science")</f>
        <v>View Full Record in Web of Science</v>
      </c>
    </row>
    <row r="680" spans="1:72" x14ac:dyDescent="0.15">
      <c r="A680" t="s">
        <v>72</v>
      </c>
      <c r="B680" t="s">
        <v>13315</v>
      </c>
      <c r="C680" t="s">
        <v>74</v>
      </c>
      <c r="D680" t="s">
        <v>74</v>
      </c>
      <c r="E680" t="s">
        <v>74</v>
      </c>
      <c r="F680" t="s">
        <v>13316</v>
      </c>
      <c r="G680" t="s">
        <v>74</v>
      </c>
      <c r="H680" t="s">
        <v>74</v>
      </c>
      <c r="I680" t="s">
        <v>13317</v>
      </c>
      <c r="J680" t="s">
        <v>1025</v>
      </c>
      <c r="K680" t="s">
        <v>74</v>
      </c>
      <c r="L680" t="s">
        <v>74</v>
      </c>
      <c r="M680" t="s">
        <v>78</v>
      </c>
      <c r="N680" t="s">
        <v>79</v>
      </c>
      <c r="O680" t="s">
        <v>74</v>
      </c>
      <c r="P680" t="s">
        <v>74</v>
      </c>
      <c r="Q680" t="s">
        <v>74</v>
      </c>
      <c r="R680" t="s">
        <v>74</v>
      </c>
      <c r="S680" t="s">
        <v>74</v>
      </c>
      <c r="T680" t="s">
        <v>13318</v>
      </c>
      <c r="U680" t="s">
        <v>13319</v>
      </c>
      <c r="V680" t="s">
        <v>13320</v>
      </c>
      <c r="W680" t="s">
        <v>13321</v>
      </c>
      <c r="X680" t="s">
        <v>13322</v>
      </c>
      <c r="Y680" t="s">
        <v>13323</v>
      </c>
      <c r="Z680" t="s">
        <v>13324</v>
      </c>
      <c r="AA680" t="s">
        <v>74</v>
      </c>
      <c r="AB680" t="s">
        <v>13325</v>
      </c>
      <c r="AC680" t="s">
        <v>13326</v>
      </c>
      <c r="AD680" t="s">
        <v>676</v>
      </c>
      <c r="AE680" t="s">
        <v>13327</v>
      </c>
      <c r="AF680" t="s">
        <v>74</v>
      </c>
      <c r="AG680">
        <v>88</v>
      </c>
      <c r="AH680">
        <v>11</v>
      </c>
      <c r="AI680">
        <v>11</v>
      </c>
      <c r="AJ680">
        <v>4</v>
      </c>
      <c r="AK680">
        <v>42</v>
      </c>
      <c r="AL680" t="s">
        <v>864</v>
      </c>
      <c r="AM680" t="s">
        <v>865</v>
      </c>
      <c r="AN680" t="s">
        <v>866</v>
      </c>
      <c r="AO680" t="s">
        <v>1038</v>
      </c>
      <c r="AP680" t="s">
        <v>1039</v>
      </c>
      <c r="AQ680" t="s">
        <v>74</v>
      </c>
      <c r="AR680" t="s">
        <v>1040</v>
      </c>
      <c r="AS680" t="s">
        <v>1041</v>
      </c>
      <c r="AT680" t="s">
        <v>4571</v>
      </c>
      <c r="AU680">
        <v>2021</v>
      </c>
      <c r="AV680">
        <v>35</v>
      </c>
      <c r="AW680">
        <v>6</v>
      </c>
      <c r="AX680" t="s">
        <v>74</v>
      </c>
      <c r="AY680" t="s">
        <v>74</v>
      </c>
      <c r="AZ680" t="s">
        <v>74</v>
      </c>
      <c r="BA680" t="s">
        <v>74</v>
      </c>
      <c r="BB680" t="s">
        <v>74</v>
      </c>
      <c r="BC680" t="s">
        <v>74</v>
      </c>
      <c r="BD680" t="s">
        <v>13328</v>
      </c>
      <c r="BE680" t="s">
        <v>13329</v>
      </c>
      <c r="BF680" t="str">
        <f>HYPERLINK("http://dx.doi.org/10.1029/2021GB006952","http://dx.doi.org/10.1029/2021GB006952")</f>
        <v>http://dx.doi.org/10.1029/2021GB006952</v>
      </c>
      <c r="BG680" t="s">
        <v>74</v>
      </c>
      <c r="BH680" t="s">
        <v>74</v>
      </c>
      <c r="BI680">
        <v>18</v>
      </c>
      <c r="BJ680" t="s">
        <v>1044</v>
      </c>
      <c r="BK680" t="s">
        <v>128</v>
      </c>
      <c r="BL680" t="s">
        <v>1045</v>
      </c>
      <c r="BM680" t="s">
        <v>13313</v>
      </c>
      <c r="BN680" t="s">
        <v>74</v>
      </c>
      <c r="BO680" t="s">
        <v>661</v>
      </c>
      <c r="BP680" t="s">
        <v>74</v>
      </c>
      <c r="BQ680" t="s">
        <v>74</v>
      </c>
      <c r="BR680" t="s">
        <v>102</v>
      </c>
      <c r="BS680" t="s">
        <v>13330</v>
      </c>
      <c r="BT680" t="str">
        <f>HYPERLINK("https%3A%2F%2Fwww.webofscience.com%2Fwos%2Fwoscc%2Ffull-record%2FWOS:000667032800014","View Full Record in Web of Science")</f>
        <v>View Full Record in Web of Science</v>
      </c>
    </row>
    <row r="681" spans="1:72" x14ac:dyDescent="0.15">
      <c r="A681" t="s">
        <v>72</v>
      </c>
      <c r="B681" t="s">
        <v>13331</v>
      </c>
      <c r="C681" t="s">
        <v>74</v>
      </c>
      <c r="D681" t="s">
        <v>74</v>
      </c>
      <c r="E681" t="s">
        <v>74</v>
      </c>
      <c r="F681" t="s">
        <v>13332</v>
      </c>
      <c r="G681" t="s">
        <v>74</v>
      </c>
      <c r="H681" t="s">
        <v>74</v>
      </c>
      <c r="I681" t="s">
        <v>13333</v>
      </c>
      <c r="J681" t="s">
        <v>1025</v>
      </c>
      <c r="K681" t="s">
        <v>74</v>
      </c>
      <c r="L681" t="s">
        <v>74</v>
      </c>
      <c r="M681" t="s">
        <v>78</v>
      </c>
      <c r="N681" t="s">
        <v>79</v>
      </c>
      <c r="O681" t="s">
        <v>74</v>
      </c>
      <c r="P681" t="s">
        <v>74</v>
      </c>
      <c r="Q681" t="s">
        <v>74</v>
      </c>
      <c r="R681" t="s">
        <v>74</v>
      </c>
      <c r="S681" t="s">
        <v>74</v>
      </c>
      <c r="T681" t="s">
        <v>13334</v>
      </c>
      <c r="U681" t="s">
        <v>13335</v>
      </c>
      <c r="V681" t="s">
        <v>13336</v>
      </c>
      <c r="W681" t="s">
        <v>13337</v>
      </c>
      <c r="X681" t="s">
        <v>13338</v>
      </c>
      <c r="Y681" t="s">
        <v>13339</v>
      </c>
      <c r="Z681" t="s">
        <v>13340</v>
      </c>
      <c r="AA681" t="s">
        <v>13341</v>
      </c>
      <c r="AB681" t="s">
        <v>13342</v>
      </c>
      <c r="AC681" t="s">
        <v>13343</v>
      </c>
      <c r="AD681" t="s">
        <v>13344</v>
      </c>
      <c r="AE681" t="s">
        <v>13345</v>
      </c>
      <c r="AF681" t="s">
        <v>74</v>
      </c>
      <c r="AG681">
        <v>89</v>
      </c>
      <c r="AH681">
        <v>6</v>
      </c>
      <c r="AI681">
        <v>6</v>
      </c>
      <c r="AJ681">
        <v>2</v>
      </c>
      <c r="AK681">
        <v>30</v>
      </c>
      <c r="AL681" t="s">
        <v>864</v>
      </c>
      <c r="AM681" t="s">
        <v>865</v>
      </c>
      <c r="AN681" t="s">
        <v>866</v>
      </c>
      <c r="AO681" t="s">
        <v>1038</v>
      </c>
      <c r="AP681" t="s">
        <v>1039</v>
      </c>
      <c r="AQ681" t="s">
        <v>74</v>
      </c>
      <c r="AR681" t="s">
        <v>1040</v>
      </c>
      <c r="AS681" t="s">
        <v>1041</v>
      </c>
      <c r="AT681" t="s">
        <v>4571</v>
      </c>
      <c r="AU681">
        <v>2021</v>
      </c>
      <c r="AV681">
        <v>35</v>
      </c>
      <c r="AW681">
        <v>6</v>
      </c>
      <c r="AX681" t="s">
        <v>74</v>
      </c>
      <c r="AY681" t="s">
        <v>74</v>
      </c>
      <c r="AZ681" t="s">
        <v>74</v>
      </c>
      <c r="BA681" t="s">
        <v>74</v>
      </c>
      <c r="BB681" t="s">
        <v>74</v>
      </c>
      <c r="BC681" t="s">
        <v>74</v>
      </c>
      <c r="BD681" t="s">
        <v>13346</v>
      </c>
      <c r="BE681" t="s">
        <v>13347</v>
      </c>
      <c r="BF681" t="str">
        <f>HYPERLINK("http://dx.doi.org/10.1029/2020GB006796","http://dx.doi.org/10.1029/2020GB006796")</f>
        <v>http://dx.doi.org/10.1029/2020GB006796</v>
      </c>
      <c r="BG681" t="s">
        <v>74</v>
      </c>
      <c r="BH681" t="s">
        <v>74</v>
      </c>
      <c r="BI681">
        <v>15</v>
      </c>
      <c r="BJ681" t="s">
        <v>1044</v>
      </c>
      <c r="BK681" t="s">
        <v>128</v>
      </c>
      <c r="BL681" t="s">
        <v>1045</v>
      </c>
      <c r="BM681" t="s">
        <v>13313</v>
      </c>
      <c r="BN681" t="s">
        <v>74</v>
      </c>
      <c r="BO681" t="s">
        <v>74</v>
      </c>
      <c r="BP681" t="s">
        <v>74</v>
      </c>
      <c r="BQ681" t="s">
        <v>74</v>
      </c>
      <c r="BR681" t="s">
        <v>102</v>
      </c>
      <c r="BS681" t="s">
        <v>13348</v>
      </c>
      <c r="BT681" t="str">
        <f>HYPERLINK("https%3A%2F%2Fwww.webofscience.com%2Fwos%2Fwoscc%2Ffull-record%2FWOS:000667032800003","View Full Record in Web of Science")</f>
        <v>View Full Record in Web of Science</v>
      </c>
    </row>
    <row r="682" spans="1:72" x14ac:dyDescent="0.15">
      <c r="A682" t="s">
        <v>72</v>
      </c>
      <c r="B682" t="s">
        <v>13349</v>
      </c>
      <c r="C682" t="s">
        <v>74</v>
      </c>
      <c r="D682" t="s">
        <v>74</v>
      </c>
      <c r="E682" t="s">
        <v>74</v>
      </c>
      <c r="F682" t="s">
        <v>13350</v>
      </c>
      <c r="G682" t="s">
        <v>74</v>
      </c>
      <c r="H682" t="s">
        <v>74</v>
      </c>
      <c r="I682" t="s">
        <v>13351</v>
      </c>
      <c r="J682" t="s">
        <v>13352</v>
      </c>
      <c r="K682" t="s">
        <v>74</v>
      </c>
      <c r="L682" t="s">
        <v>74</v>
      </c>
      <c r="M682" t="s">
        <v>78</v>
      </c>
      <c r="N682" t="s">
        <v>79</v>
      </c>
      <c r="O682" t="s">
        <v>74</v>
      </c>
      <c r="P682" t="s">
        <v>74</v>
      </c>
      <c r="Q682" t="s">
        <v>74</v>
      </c>
      <c r="R682" t="s">
        <v>74</v>
      </c>
      <c r="S682" t="s">
        <v>74</v>
      </c>
      <c r="T682" t="s">
        <v>74</v>
      </c>
      <c r="U682" t="s">
        <v>13353</v>
      </c>
      <c r="V682" t="s">
        <v>13354</v>
      </c>
      <c r="W682" t="s">
        <v>13355</v>
      </c>
      <c r="X682" t="s">
        <v>13356</v>
      </c>
      <c r="Y682" t="s">
        <v>13357</v>
      </c>
      <c r="Z682" t="s">
        <v>13358</v>
      </c>
      <c r="AA682" t="s">
        <v>13359</v>
      </c>
      <c r="AB682" t="s">
        <v>13360</v>
      </c>
      <c r="AC682" t="s">
        <v>13361</v>
      </c>
      <c r="AD682" t="s">
        <v>13362</v>
      </c>
      <c r="AE682" t="s">
        <v>13363</v>
      </c>
      <c r="AF682" t="s">
        <v>74</v>
      </c>
      <c r="AG682">
        <v>45</v>
      </c>
      <c r="AH682">
        <v>4</v>
      </c>
      <c r="AI682">
        <v>4</v>
      </c>
      <c r="AJ682">
        <v>2</v>
      </c>
      <c r="AK682">
        <v>5</v>
      </c>
      <c r="AL682" t="s">
        <v>13364</v>
      </c>
      <c r="AM682" t="s">
        <v>13365</v>
      </c>
      <c r="AN682" t="s">
        <v>13366</v>
      </c>
      <c r="AO682" t="s">
        <v>74</v>
      </c>
      <c r="AP682" t="s">
        <v>13367</v>
      </c>
      <c r="AQ682" t="s">
        <v>74</v>
      </c>
      <c r="AR682" t="s">
        <v>13368</v>
      </c>
      <c r="AS682" t="s">
        <v>13369</v>
      </c>
      <c r="AT682" t="s">
        <v>4571</v>
      </c>
      <c r="AU682">
        <v>2021</v>
      </c>
      <c r="AV682">
        <v>1</v>
      </c>
      <c r="AW682">
        <v>6</v>
      </c>
      <c r="AX682" t="s">
        <v>74</v>
      </c>
      <c r="AY682" t="s">
        <v>74</v>
      </c>
      <c r="AZ682" t="s">
        <v>74</v>
      </c>
      <c r="BA682" t="s">
        <v>74</v>
      </c>
      <c r="BB682" t="s">
        <v>74</v>
      </c>
      <c r="BC682" t="s">
        <v>74</v>
      </c>
      <c r="BD682">
        <v>61202</v>
      </c>
      <c r="BE682" t="s">
        <v>13370</v>
      </c>
      <c r="BF682" t="str">
        <f>HYPERLINK("http://dx.doi.org/10.1121/10.0005433","http://dx.doi.org/10.1121/10.0005433")</f>
        <v>http://dx.doi.org/10.1121/10.0005433</v>
      </c>
      <c r="BG682" t="s">
        <v>74</v>
      </c>
      <c r="BH682" t="s">
        <v>74</v>
      </c>
      <c r="BI682">
        <v>8</v>
      </c>
      <c r="BJ682" t="s">
        <v>13371</v>
      </c>
      <c r="BK682" t="s">
        <v>1819</v>
      </c>
      <c r="BL682" t="s">
        <v>13371</v>
      </c>
      <c r="BM682" t="s">
        <v>13372</v>
      </c>
      <c r="BN682">
        <v>36154373</v>
      </c>
      <c r="BO682" t="s">
        <v>486</v>
      </c>
      <c r="BP682" t="s">
        <v>74</v>
      </c>
      <c r="BQ682" t="s">
        <v>74</v>
      </c>
      <c r="BR682" t="s">
        <v>102</v>
      </c>
      <c r="BS682" t="s">
        <v>13373</v>
      </c>
      <c r="BT682" t="str">
        <f>HYPERLINK("https%3A%2F%2Fwww.webofscience.com%2Fwos%2Fwoscc%2Ffull-record%2FWOS:000665106500001","View Full Record in Web of Science")</f>
        <v>View Full Record in Web of Science</v>
      </c>
    </row>
    <row r="683" spans="1:72" x14ac:dyDescent="0.15">
      <c r="A683" t="s">
        <v>72</v>
      </c>
      <c r="B683" t="s">
        <v>13374</v>
      </c>
      <c r="C683" t="s">
        <v>74</v>
      </c>
      <c r="D683" t="s">
        <v>74</v>
      </c>
      <c r="E683" t="s">
        <v>74</v>
      </c>
      <c r="F683" t="s">
        <v>13375</v>
      </c>
      <c r="G683" t="s">
        <v>74</v>
      </c>
      <c r="H683" t="s">
        <v>74</v>
      </c>
      <c r="I683" t="s">
        <v>13376</v>
      </c>
      <c r="J683" t="s">
        <v>13377</v>
      </c>
      <c r="K683" t="s">
        <v>74</v>
      </c>
      <c r="L683" t="s">
        <v>74</v>
      </c>
      <c r="M683" t="s">
        <v>78</v>
      </c>
      <c r="N683" t="s">
        <v>79</v>
      </c>
      <c r="O683" t="s">
        <v>74</v>
      </c>
      <c r="P683" t="s">
        <v>74</v>
      </c>
      <c r="Q683" t="s">
        <v>74</v>
      </c>
      <c r="R683" t="s">
        <v>74</v>
      </c>
      <c r="S683" t="s">
        <v>74</v>
      </c>
      <c r="T683" t="s">
        <v>74</v>
      </c>
      <c r="U683" t="s">
        <v>13378</v>
      </c>
      <c r="V683" t="s">
        <v>13379</v>
      </c>
      <c r="W683" t="s">
        <v>13380</v>
      </c>
      <c r="X683" t="s">
        <v>13381</v>
      </c>
      <c r="Y683" t="s">
        <v>13382</v>
      </c>
      <c r="Z683" t="s">
        <v>13383</v>
      </c>
      <c r="AA683" t="s">
        <v>13384</v>
      </c>
      <c r="AB683" t="s">
        <v>13385</v>
      </c>
      <c r="AC683" t="s">
        <v>13386</v>
      </c>
      <c r="AD683" t="s">
        <v>13387</v>
      </c>
      <c r="AE683" t="s">
        <v>13388</v>
      </c>
      <c r="AF683" t="s">
        <v>74</v>
      </c>
      <c r="AG683">
        <v>56</v>
      </c>
      <c r="AH683">
        <v>10</v>
      </c>
      <c r="AI683">
        <v>12</v>
      </c>
      <c r="AJ683">
        <v>1</v>
      </c>
      <c r="AK683">
        <v>6</v>
      </c>
      <c r="AL683" t="s">
        <v>13389</v>
      </c>
      <c r="AM683" t="s">
        <v>13365</v>
      </c>
      <c r="AN683" t="s">
        <v>13390</v>
      </c>
      <c r="AO683" t="s">
        <v>13391</v>
      </c>
      <c r="AP683" t="s">
        <v>13392</v>
      </c>
      <c r="AQ683" t="s">
        <v>74</v>
      </c>
      <c r="AR683" t="s">
        <v>13393</v>
      </c>
      <c r="AS683" t="s">
        <v>13394</v>
      </c>
      <c r="AT683" t="s">
        <v>4571</v>
      </c>
      <c r="AU683">
        <v>2021</v>
      </c>
      <c r="AV683">
        <v>149</v>
      </c>
      <c r="AW683">
        <v>6</v>
      </c>
      <c r="AX683" t="s">
        <v>74</v>
      </c>
      <c r="AY683" t="s">
        <v>74</v>
      </c>
      <c r="AZ683" t="s">
        <v>74</v>
      </c>
      <c r="BA683" t="s">
        <v>74</v>
      </c>
      <c r="BB683">
        <v>4422</v>
      </c>
      <c r="BC683">
        <v>4436</v>
      </c>
      <c r="BD683" t="s">
        <v>74</v>
      </c>
      <c r="BE683" t="s">
        <v>13395</v>
      </c>
      <c r="BF683" t="str">
        <f>HYPERLINK("http://dx.doi.org/10.1121/10.0005281","http://dx.doi.org/10.1121/10.0005281")</f>
        <v>http://dx.doi.org/10.1121/10.0005281</v>
      </c>
      <c r="BG683" t="s">
        <v>74</v>
      </c>
      <c r="BH683" t="s">
        <v>74</v>
      </c>
      <c r="BI683">
        <v>15</v>
      </c>
      <c r="BJ683" t="s">
        <v>13371</v>
      </c>
      <c r="BK683" t="s">
        <v>128</v>
      </c>
      <c r="BL683" t="s">
        <v>13371</v>
      </c>
      <c r="BM683" t="s">
        <v>13396</v>
      </c>
      <c r="BN683">
        <v>34241450</v>
      </c>
      <c r="BO683" t="s">
        <v>74</v>
      </c>
      <c r="BP683" t="s">
        <v>74</v>
      </c>
      <c r="BQ683" t="s">
        <v>74</v>
      </c>
      <c r="BR683" t="s">
        <v>102</v>
      </c>
      <c r="BS683" t="s">
        <v>13397</v>
      </c>
      <c r="BT683" t="str">
        <f>HYPERLINK("https%3A%2F%2Fwww.webofscience.com%2Fwos%2Fwoscc%2Ffull-record%2FWOS:000667218100001","View Full Record in Web of Science")</f>
        <v>View Full Record in Web of Science</v>
      </c>
    </row>
    <row r="684" spans="1:72" x14ac:dyDescent="0.15">
      <c r="A684" t="s">
        <v>72</v>
      </c>
      <c r="B684" t="s">
        <v>13398</v>
      </c>
      <c r="C684" t="s">
        <v>74</v>
      </c>
      <c r="D684" t="s">
        <v>74</v>
      </c>
      <c r="E684" t="s">
        <v>74</v>
      </c>
      <c r="F684" t="s">
        <v>13399</v>
      </c>
      <c r="G684" t="s">
        <v>74</v>
      </c>
      <c r="H684" t="s">
        <v>74</v>
      </c>
      <c r="I684" t="s">
        <v>13400</v>
      </c>
      <c r="J684" t="s">
        <v>13401</v>
      </c>
      <c r="K684" t="s">
        <v>74</v>
      </c>
      <c r="L684" t="s">
        <v>74</v>
      </c>
      <c r="M684" t="s">
        <v>78</v>
      </c>
      <c r="N684" t="s">
        <v>79</v>
      </c>
      <c r="O684" t="s">
        <v>74</v>
      </c>
      <c r="P684" t="s">
        <v>74</v>
      </c>
      <c r="Q684" t="s">
        <v>74</v>
      </c>
      <c r="R684" t="s">
        <v>74</v>
      </c>
      <c r="S684" t="s">
        <v>74</v>
      </c>
      <c r="T684" t="s">
        <v>13402</v>
      </c>
      <c r="U684" t="s">
        <v>13403</v>
      </c>
      <c r="V684" t="s">
        <v>13404</v>
      </c>
      <c r="W684" t="s">
        <v>13405</v>
      </c>
      <c r="X684" t="s">
        <v>13406</v>
      </c>
      <c r="Y684" t="s">
        <v>13407</v>
      </c>
      <c r="Z684" t="s">
        <v>13408</v>
      </c>
      <c r="AA684" t="s">
        <v>13409</v>
      </c>
      <c r="AB684" t="s">
        <v>13410</v>
      </c>
      <c r="AC684" t="s">
        <v>13411</v>
      </c>
      <c r="AD684" t="s">
        <v>13412</v>
      </c>
      <c r="AE684" t="s">
        <v>13413</v>
      </c>
      <c r="AF684" t="s">
        <v>74</v>
      </c>
      <c r="AG684">
        <v>84</v>
      </c>
      <c r="AH684">
        <v>2</v>
      </c>
      <c r="AI684">
        <v>2</v>
      </c>
      <c r="AJ684">
        <v>0</v>
      </c>
      <c r="AK684">
        <v>6</v>
      </c>
      <c r="AL684" t="s">
        <v>557</v>
      </c>
      <c r="AM684" t="s">
        <v>558</v>
      </c>
      <c r="AN684" t="s">
        <v>584</v>
      </c>
      <c r="AO684" t="s">
        <v>13414</v>
      </c>
      <c r="AP684" t="s">
        <v>13415</v>
      </c>
      <c r="AQ684" t="s">
        <v>74</v>
      </c>
      <c r="AR684" t="s">
        <v>13416</v>
      </c>
      <c r="AS684" t="s">
        <v>13417</v>
      </c>
      <c r="AT684" t="s">
        <v>4571</v>
      </c>
      <c r="AU684">
        <v>2021</v>
      </c>
      <c r="AV684">
        <v>78</v>
      </c>
      <c r="AW684">
        <v>6</v>
      </c>
      <c r="AX684" t="s">
        <v>74</v>
      </c>
      <c r="AY684" t="s">
        <v>74</v>
      </c>
      <c r="AZ684" t="s">
        <v>74</v>
      </c>
      <c r="BA684" t="s">
        <v>74</v>
      </c>
      <c r="BB684">
        <v>1791</v>
      </c>
      <c r="BC684">
        <v>1806</v>
      </c>
      <c r="BD684" t="s">
        <v>74</v>
      </c>
      <c r="BE684" t="s">
        <v>13418</v>
      </c>
      <c r="BF684" t="str">
        <f>HYPERLINK("http://dx.doi.org/10.1175/JAS-D-20-0251.1","http://dx.doi.org/10.1175/JAS-D-20-0251.1")</f>
        <v>http://dx.doi.org/10.1175/JAS-D-20-0251.1</v>
      </c>
      <c r="BG684" t="s">
        <v>74</v>
      </c>
      <c r="BH684" t="s">
        <v>74</v>
      </c>
      <c r="BI684">
        <v>16</v>
      </c>
      <c r="BJ684" t="s">
        <v>567</v>
      </c>
      <c r="BK684" t="s">
        <v>128</v>
      </c>
      <c r="BL684" t="s">
        <v>567</v>
      </c>
      <c r="BM684" t="s">
        <v>13419</v>
      </c>
      <c r="BN684" t="s">
        <v>74</v>
      </c>
      <c r="BO684" t="s">
        <v>74</v>
      </c>
      <c r="BP684" t="s">
        <v>74</v>
      </c>
      <c r="BQ684" t="s">
        <v>74</v>
      </c>
      <c r="BR684" t="s">
        <v>102</v>
      </c>
      <c r="BS684" t="s">
        <v>13420</v>
      </c>
      <c r="BT684" t="str">
        <f>HYPERLINK("https%3A%2F%2Fwww.webofscience.com%2Fwos%2Fwoscc%2Ffull-record%2FWOS:000664102000003","View Full Record in Web of Science")</f>
        <v>View Full Record in Web of Science</v>
      </c>
    </row>
    <row r="685" spans="1:72" x14ac:dyDescent="0.15">
      <c r="A685" t="s">
        <v>72</v>
      </c>
      <c r="B685" t="s">
        <v>13421</v>
      </c>
      <c r="C685" t="s">
        <v>74</v>
      </c>
      <c r="D685" t="s">
        <v>74</v>
      </c>
      <c r="E685" t="s">
        <v>74</v>
      </c>
      <c r="F685" t="s">
        <v>13422</v>
      </c>
      <c r="G685" t="s">
        <v>74</v>
      </c>
      <c r="H685" t="s">
        <v>74</v>
      </c>
      <c r="I685" t="s">
        <v>13423</v>
      </c>
      <c r="J685" t="s">
        <v>1335</v>
      </c>
      <c r="K685" t="s">
        <v>74</v>
      </c>
      <c r="L685" t="s">
        <v>74</v>
      </c>
      <c r="M685" t="s">
        <v>78</v>
      </c>
      <c r="N685" t="s">
        <v>79</v>
      </c>
      <c r="O685" t="s">
        <v>74</v>
      </c>
      <c r="P685" t="s">
        <v>74</v>
      </c>
      <c r="Q685" t="s">
        <v>74</v>
      </c>
      <c r="R685" t="s">
        <v>74</v>
      </c>
      <c r="S685" t="s">
        <v>74</v>
      </c>
      <c r="T685" t="s">
        <v>13424</v>
      </c>
      <c r="U685" t="s">
        <v>13425</v>
      </c>
      <c r="V685" t="s">
        <v>13426</v>
      </c>
      <c r="W685" t="s">
        <v>13427</v>
      </c>
      <c r="X685" t="s">
        <v>13428</v>
      </c>
      <c r="Y685" t="s">
        <v>13429</v>
      </c>
      <c r="Z685" t="s">
        <v>13430</v>
      </c>
      <c r="AA685" t="s">
        <v>74</v>
      </c>
      <c r="AB685" t="s">
        <v>74</v>
      </c>
      <c r="AC685" t="s">
        <v>13431</v>
      </c>
      <c r="AD685" t="s">
        <v>13432</v>
      </c>
      <c r="AE685" t="s">
        <v>13433</v>
      </c>
      <c r="AF685" t="s">
        <v>74</v>
      </c>
      <c r="AG685">
        <v>46</v>
      </c>
      <c r="AH685">
        <v>5</v>
      </c>
      <c r="AI685">
        <v>6</v>
      </c>
      <c r="AJ685">
        <v>6</v>
      </c>
      <c r="AK685">
        <v>25</v>
      </c>
      <c r="AL685" t="s">
        <v>1101</v>
      </c>
      <c r="AM685" t="s">
        <v>1102</v>
      </c>
      <c r="AN685" t="s">
        <v>1103</v>
      </c>
      <c r="AO685" t="s">
        <v>74</v>
      </c>
      <c r="AP685" t="s">
        <v>1348</v>
      </c>
      <c r="AQ685" t="s">
        <v>74</v>
      </c>
      <c r="AR685" t="s">
        <v>1349</v>
      </c>
      <c r="AS685" t="s">
        <v>1350</v>
      </c>
      <c r="AT685" t="s">
        <v>4571</v>
      </c>
      <c r="AU685">
        <v>2021</v>
      </c>
      <c r="AV685">
        <v>12</v>
      </c>
      <c r="AW685">
        <v>6</v>
      </c>
      <c r="AX685" t="s">
        <v>74</v>
      </c>
      <c r="AY685" t="s">
        <v>74</v>
      </c>
      <c r="AZ685" t="s">
        <v>74</v>
      </c>
      <c r="BA685" t="s">
        <v>74</v>
      </c>
      <c r="BB685" t="s">
        <v>74</v>
      </c>
      <c r="BC685" t="s">
        <v>74</v>
      </c>
      <c r="BD685">
        <v>668</v>
      </c>
      <c r="BE685" t="s">
        <v>13434</v>
      </c>
      <c r="BF685" t="str">
        <f>HYPERLINK("http://dx.doi.org/10.3390/atmos12060668","http://dx.doi.org/10.3390/atmos12060668")</f>
        <v>http://dx.doi.org/10.3390/atmos12060668</v>
      </c>
      <c r="BG685" t="s">
        <v>74</v>
      </c>
      <c r="BH685" t="s">
        <v>74</v>
      </c>
      <c r="BI685">
        <v>14</v>
      </c>
      <c r="BJ685" t="s">
        <v>635</v>
      </c>
      <c r="BK685" t="s">
        <v>128</v>
      </c>
      <c r="BL685" t="s">
        <v>636</v>
      </c>
      <c r="BM685" t="s">
        <v>13435</v>
      </c>
      <c r="BN685" t="s">
        <v>74</v>
      </c>
      <c r="BO685" t="s">
        <v>1377</v>
      </c>
      <c r="BP685" t="s">
        <v>74</v>
      </c>
      <c r="BQ685" t="s">
        <v>74</v>
      </c>
      <c r="BR685" t="s">
        <v>102</v>
      </c>
      <c r="BS685" t="s">
        <v>13436</v>
      </c>
      <c r="BT685" t="str">
        <f>HYPERLINK("https%3A%2F%2Fwww.webofscience.com%2Fwos%2Fwoscc%2Ffull-record%2FWOS:000665291900001","View Full Record in Web of Science")</f>
        <v>View Full Record in Web of Science</v>
      </c>
    </row>
    <row r="686" spans="1:72" x14ac:dyDescent="0.15">
      <c r="A686" t="s">
        <v>72</v>
      </c>
      <c r="B686" t="s">
        <v>13437</v>
      </c>
      <c r="C686" t="s">
        <v>74</v>
      </c>
      <c r="D686" t="s">
        <v>74</v>
      </c>
      <c r="E686" t="s">
        <v>74</v>
      </c>
      <c r="F686" t="s">
        <v>13438</v>
      </c>
      <c r="G686" t="s">
        <v>74</v>
      </c>
      <c r="H686" t="s">
        <v>74</v>
      </c>
      <c r="I686" t="s">
        <v>13439</v>
      </c>
      <c r="J686" t="s">
        <v>1335</v>
      </c>
      <c r="K686" t="s">
        <v>74</v>
      </c>
      <c r="L686" t="s">
        <v>74</v>
      </c>
      <c r="M686" t="s">
        <v>78</v>
      </c>
      <c r="N686" t="s">
        <v>79</v>
      </c>
      <c r="O686" t="s">
        <v>74</v>
      </c>
      <c r="P686" t="s">
        <v>74</v>
      </c>
      <c r="Q686" t="s">
        <v>74</v>
      </c>
      <c r="R686" t="s">
        <v>74</v>
      </c>
      <c r="S686" t="s">
        <v>74</v>
      </c>
      <c r="T686" t="s">
        <v>13440</v>
      </c>
      <c r="U686" t="s">
        <v>13441</v>
      </c>
      <c r="V686" t="s">
        <v>13442</v>
      </c>
      <c r="W686" t="s">
        <v>13443</v>
      </c>
      <c r="X686" t="s">
        <v>13444</v>
      </c>
      <c r="Y686" t="s">
        <v>13445</v>
      </c>
      <c r="Z686" t="s">
        <v>13446</v>
      </c>
      <c r="AA686" t="s">
        <v>13447</v>
      </c>
      <c r="AB686" t="s">
        <v>13448</v>
      </c>
      <c r="AC686" t="s">
        <v>13449</v>
      </c>
      <c r="AD686" t="s">
        <v>13450</v>
      </c>
      <c r="AE686" t="s">
        <v>13451</v>
      </c>
      <c r="AF686" t="s">
        <v>74</v>
      </c>
      <c r="AG686">
        <v>61</v>
      </c>
      <c r="AH686">
        <v>5</v>
      </c>
      <c r="AI686">
        <v>5</v>
      </c>
      <c r="AJ686">
        <v>1</v>
      </c>
      <c r="AK686">
        <v>6</v>
      </c>
      <c r="AL686" t="s">
        <v>1101</v>
      </c>
      <c r="AM686" t="s">
        <v>1102</v>
      </c>
      <c r="AN686" t="s">
        <v>1103</v>
      </c>
      <c r="AO686" t="s">
        <v>74</v>
      </c>
      <c r="AP686" t="s">
        <v>1348</v>
      </c>
      <c r="AQ686" t="s">
        <v>74</v>
      </c>
      <c r="AR686" t="s">
        <v>1349</v>
      </c>
      <c r="AS686" t="s">
        <v>1350</v>
      </c>
      <c r="AT686" t="s">
        <v>4571</v>
      </c>
      <c r="AU686">
        <v>2021</v>
      </c>
      <c r="AV686">
        <v>12</v>
      </c>
      <c r="AW686">
        <v>6</v>
      </c>
      <c r="AX686" t="s">
        <v>74</v>
      </c>
      <c r="AY686" t="s">
        <v>74</v>
      </c>
      <c r="AZ686" t="s">
        <v>74</v>
      </c>
      <c r="BA686" t="s">
        <v>74</v>
      </c>
      <c r="BB686" t="s">
        <v>74</v>
      </c>
      <c r="BC686" t="s">
        <v>74</v>
      </c>
      <c r="BD686">
        <v>748</v>
      </c>
      <c r="BE686" t="s">
        <v>13452</v>
      </c>
      <c r="BF686" t="str">
        <f>HYPERLINK("http://dx.doi.org/10.3390/atmos12060748","http://dx.doi.org/10.3390/atmos12060748")</f>
        <v>http://dx.doi.org/10.3390/atmos12060748</v>
      </c>
      <c r="BG686" t="s">
        <v>74</v>
      </c>
      <c r="BH686" t="s">
        <v>74</v>
      </c>
      <c r="BI686">
        <v>18</v>
      </c>
      <c r="BJ686" t="s">
        <v>635</v>
      </c>
      <c r="BK686" t="s">
        <v>128</v>
      </c>
      <c r="BL686" t="s">
        <v>636</v>
      </c>
      <c r="BM686" t="s">
        <v>13453</v>
      </c>
      <c r="BN686" t="s">
        <v>74</v>
      </c>
      <c r="BO686" t="s">
        <v>638</v>
      </c>
      <c r="BP686" t="s">
        <v>74</v>
      </c>
      <c r="BQ686" t="s">
        <v>74</v>
      </c>
      <c r="BR686" t="s">
        <v>102</v>
      </c>
      <c r="BS686" t="s">
        <v>13454</v>
      </c>
      <c r="BT686" t="str">
        <f>HYPERLINK("https%3A%2F%2Fwww.webofscience.com%2Fwos%2Fwoscc%2Ffull-record%2FWOS:000665516400001","View Full Record in Web of Science")</f>
        <v>View Full Record in Web of Science</v>
      </c>
    </row>
    <row r="687" spans="1:72" x14ac:dyDescent="0.15">
      <c r="A687" t="s">
        <v>72</v>
      </c>
      <c r="B687" t="s">
        <v>13455</v>
      </c>
      <c r="C687" t="s">
        <v>74</v>
      </c>
      <c r="D687" t="s">
        <v>74</v>
      </c>
      <c r="E687" t="s">
        <v>74</v>
      </c>
      <c r="F687" t="s">
        <v>13456</v>
      </c>
      <c r="G687" t="s">
        <v>74</v>
      </c>
      <c r="H687" t="s">
        <v>74</v>
      </c>
      <c r="I687" t="s">
        <v>13457</v>
      </c>
      <c r="J687" t="s">
        <v>13458</v>
      </c>
      <c r="K687" t="s">
        <v>74</v>
      </c>
      <c r="L687" t="s">
        <v>74</v>
      </c>
      <c r="M687" t="s">
        <v>78</v>
      </c>
      <c r="N687" t="s">
        <v>79</v>
      </c>
      <c r="O687" t="s">
        <v>74</v>
      </c>
      <c r="P687" t="s">
        <v>74</v>
      </c>
      <c r="Q687" t="s">
        <v>74</v>
      </c>
      <c r="R687" t="s">
        <v>74</v>
      </c>
      <c r="S687" t="s">
        <v>74</v>
      </c>
      <c r="T687" t="s">
        <v>13459</v>
      </c>
      <c r="U687" t="s">
        <v>13460</v>
      </c>
      <c r="V687" t="s">
        <v>13461</v>
      </c>
      <c r="W687" t="s">
        <v>13462</v>
      </c>
      <c r="X687" t="s">
        <v>13463</v>
      </c>
      <c r="Y687" t="s">
        <v>13464</v>
      </c>
      <c r="Z687" t="s">
        <v>13465</v>
      </c>
      <c r="AA687" t="s">
        <v>13466</v>
      </c>
      <c r="AB687" t="s">
        <v>13467</v>
      </c>
      <c r="AC687" t="s">
        <v>13468</v>
      </c>
      <c r="AD687" t="s">
        <v>13469</v>
      </c>
      <c r="AE687" t="s">
        <v>13470</v>
      </c>
      <c r="AF687" t="s">
        <v>74</v>
      </c>
      <c r="AG687">
        <v>58</v>
      </c>
      <c r="AH687">
        <v>10</v>
      </c>
      <c r="AI687">
        <v>10</v>
      </c>
      <c r="AJ687">
        <v>0</v>
      </c>
      <c r="AK687">
        <v>10</v>
      </c>
      <c r="AL687" t="s">
        <v>1101</v>
      </c>
      <c r="AM687" t="s">
        <v>1102</v>
      </c>
      <c r="AN687" t="s">
        <v>1103</v>
      </c>
      <c r="AO687" t="s">
        <v>74</v>
      </c>
      <c r="AP687" t="s">
        <v>13471</v>
      </c>
      <c r="AQ687" t="s">
        <v>74</v>
      </c>
      <c r="AR687" t="s">
        <v>13458</v>
      </c>
      <c r="AS687" t="s">
        <v>13472</v>
      </c>
      <c r="AT687" t="s">
        <v>4571</v>
      </c>
      <c r="AU687">
        <v>2021</v>
      </c>
      <c r="AV687">
        <v>10</v>
      </c>
      <c r="AW687">
        <v>6</v>
      </c>
      <c r="AX687" t="s">
        <v>74</v>
      </c>
      <c r="AY687" t="s">
        <v>74</v>
      </c>
      <c r="AZ687" t="s">
        <v>74</v>
      </c>
      <c r="BA687" t="s">
        <v>74</v>
      </c>
      <c r="BB687" t="s">
        <v>74</v>
      </c>
      <c r="BC687" t="s">
        <v>74</v>
      </c>
      <c r="BD687">
        <v>493</v>
      </c>
      <c r="BE687" t="s">
        <v>13473</v>
      </c>
      <c r="BF687" t="str">
        <f>HYPERLINK("http://dx.doi.org/10.3390/biology10060493","http://dx.doi.org/10.3390/biology10060493")</f>
        <v>http://dx.doi.org/10.3390/biology10060493</v>
      </c>
      <c r="BG687" t="s">
        <v>74</v>
      </c>
      <c r="BH687" t="s">
        <v>74</v>
      </c>
      <c r="BI687">
        <v>21</v>
      </c>
      <c r="BJ687" t="s">
        <v>511</v>
      </c>
      <c r="BK687" t="s">
        <v>128</v>
      </c>
      <c r="BL687" t="s">
        <v>512</v>
      </c>
      <c r="BM687" t="s">
        <v>13474</v>
      </c>
      <c r="BN687">
        <v>34199334</v>
      </c>
      <c r="BO687" t="s">
        <v>7792</v>
      </c>
      <c r="BP687" t="s">
        <v>74</v>
      </c>
      <c r="BQ687" t="s">
        <v>74</v>
      </c>
      <c r="BR687" t="s">
        <v>102</v>
      </c>
      <c r="BS687" t="s">
        <v>13475</v>
      </c>
      <c r="BT687" t="str">
        <f>HYPERLINK("https%3A%2F%2Fwww.webofscience.com%2Fwos%2Fwoscc%2Ffull-record%2FWOS:000666912400001","View Full Record in Web of Science")</f>
        <v>View Full Record in Web of Science</v>
      </c>
    </row>
    <row r="688" spans="1:72" x14ac:dyDescent="0.15">
      <c r="A688" t="s">
        <v>72</v>
      </c>
      <c r="B688" t="s">
        <v>13476</v>
      </c>
      <c r="C688" t="s">
        <v>74</v>
      </c>
      <c r="D688" t="s">
        <v>74</v>
      </c>
      <c r="E688" t="s">
        <v>74</v>
      </c>
      <c r="F688" t="s">
        <v>13477</v>
      </c>
      <c r="G688" t="s">
        <v>74</v>
      </c>
      <c r="H688" t="s">
        <v>74</v>
      </c>
      <c r="I688" t="s">
        <v>13478</v>
      </c>
      <c r="J688" t="s">
        <v>13479</v>
      </c>
      <c r="K688" t="s">
        <v>74</v>
      </c>
      <c r="L688" t="s">
        <v>74</v>
      </c>
      <c r="M688" t="s">
        <v>78</v>
      </c>
      <c r="N688" t="s">
        <v>79</v>
      </c>
      <c r="O688" t="s">
        <v>74</v>
      </c>
      <c r="P688" t="s">
        <v>74</v>
      </c>
      <c r="Q688" t="s">
        <v>74</v>
      </c>
      <c r="R688" t="s">
        <v>74</v>
      </c>
      <c r="S688" t="s">
        <v>74</v>
      </c>
      <c r="T688" t="s">
        <v>13480</v>
      </c>
      <c r="U688" t="s">
        <v>13481</v>
      </c>
      <c r="V688" t="s">
        <v>13482</v>
      </c>
      <c r="W688" t="s">
        <v>13483</v>
      </c>
      <c r="X688" t="s">
        <v>13484</v>
      </c>
      <c r="Y688" t="s">
        <v>13485</v>
      </c>
      <c r="Z688" t="s">
        <v>13486</v>
      </c>
      <c r="AA688" t="s">
        <v>74</v>
      </c>
      <c r="AB688" t="s">
        <v>13487</v>
      </c>
      <c r="AC688" t="s">
        <v>13488</v>
      </c>
      <c r="AD688" t="s">
        <v>13489</v>
      </c>
      <c r="AE688" t="s">
        <v>13490</v>
      </c>
      <c r="AF688" t="s">
        <v>74</v>
      </c>
      <c r="AG688">
        <v>42</v>
      </c>
      <c r="AH688">
        <v>10</v>
      </c>
      <c r="AI688">
        <v>10</v>
      </c>
      <c r="AJ688">
        <v>1</v>
      </c>
      <c r="AK688">
        <v>9</v>
      </c>
      <c r="AL688" t="s">
        <v>1101</v>
      </c>
      <c r="AM688" t="s">
        <v>1102</v>
      </c>
      <c r="AN688" t="s">
        <v>1103</v>
      </c>
      <c r="AO688" t="s">
        <v>74</v>
      </c>
      <c r="AP688" t="s">
        <v>13491</v>
      </c>
      <c r="AQ688" t="s">
        <v>74</v>
      </c>
      <c r="AR688" t="s">
        <v>13479</v>
      </c>
      <c r="AS688" t="s">
        <v>13492</v>
      </c>
      <c r="AT688" t="s">
        <v>4571</v>
      </c>
      <c r="AU688">
        <v>2021</v>
      </c>
      <c r="AV688">
        <v>13</v>
      </c>
      <c r="AW688">
        <v>6</v>
      </c>
      <c r="AX688" t="s">
        <v>74</v>
      </c>
      <c r="AY688" t="s">
        <v>74</v>
      </c>
      <c r="AZ688" t="s">
        <v>74</v>
      </c>
      <c r="BA688" t="s">
        <v>74</v>
      </c>
      <c r="BB688" t="s">
        <v>74</v>
      </c>
      <c r="BC688" t="s">
        <v>74</v>
      </c>
      <c r="BD688">
        <v>1854</v>
      </c>
      <c r="BE688" t="s">
        <v>13493</v>
      </c>
      <c r="BF688" t="str">
        <f>HYPERLINK("http://dx.doi.org/10.3390/nu13061854","http://dx.doi.org/10.3390/nu13061854")</f>
        <v>http://dx.doi.org/10.3390/nu13061854</v>
      </c>
      <c r="BG688" t="s">
        <v>74</v>
      </c>
      <c r="BH688" t="s">
        <v>74</v>
      </c>
      <c r="BI688">
        <v>22</v>
      </c>
      <c r="BJ688" t="s">
        <v>8479</v>
      </c>
      <c r="BK688" t="s">
        <v>100</v>
      </c>
      <c r="BL688" t="s">
        <v>8479</v>
      </c>
      <c r="BM688" t="s">
        <v>13494</v>
      </c>
      <c r="BN688">
        <v>34072293</v>
      </c>
      <c r="BO688" t="s">
        <v>1377</v>
      </c>
      <c r="BP688" t="s">
        <v>74</v>
      </c>
      <c r="BQ688" t="s">
        <v>74</v>
      </c>
      <c r="BR688" t="s">
        <v>102</v>
      </c>
      <c r="BS688" t="s">
        <v>13495</v>
      </c>
      <c r="BT688" t="str">
        <f>HYPERLINK("https%3A%2F%2Fwww.webofscience.com%2Fwos%2Fwoscc%2Ffull-record%2FWOS:000665955600001","View Full Record in Web of Science")</f>
        <v>View Full Record in Web of Science</v>
      </c>
    </row>
    <row r="689" spans="1:72" x14ac:dyDescent="0.15">
      <c r="A689" t="s">
        <v>72</v>
      </c>
      <c r="B689" t="s">
        <v>13496</v>
      </c>
      <c r="C689" t="s">
        <v>74</v>
      </c>
      <c r="D689" t="s">
        <v>74</v>
      </c>
      <c r="E689" t="s">
        <v>74</v>
      </c>
      <c r="F689" t="s">
        <v>13497</v>
      </c>
      <c r="G689" t="s">
        <v>74</v>
      </c>
      <c r="H689" t="s">
        <v>74</v>
      </c>
      <c r="I689" t="s">
        <v>13498</v>
      </c>
      <c r="J689" t="s">
        <v>13499</v>
      </c>
      <c r="K689" t="s">
        <v>74</v>
      </c>
      <c r="L689" t="s">
        <v>74</v>
      </c>
      <c r="M689" t="s">
        <v>78</v>
      </c>
      <c r="N689" t="s">
        <v>79</v>
      </c>
      <c r="O689" t="s">
        <v>74</v>
      </c>
      <c r="P689" t="s">
        <v>74</v>
      </c>
      <c r="Q689" t="s">
        <v>74</v>
      </c>
      <c r="R689" t="s">
        <v>74</v>
      </c>
      <c r="S689" t="s">
        <v>74</v>
      </c>
      <c r="T689" t="s">
        <v>13500</v>
      </c>
      <c r="U689" t="s">
        <v>13501</v>
      </c>
      <c r="V689" t="s">
        <v>13502</v>
      </c>
      <c r="W689" t="s">
        <v>13503</v>
      </c>
      <c r="X689" t="s">
        <v>13504</v>
      </c>
      <c r="Y689" t="s">
        <v>13505</v>
      </c>
      <c r="Z689" t="s">
        <v>13506</v>
      </c>
      <c r="AA689" t="s">
        <v>13507</v>
      </c>
      <c r="AB689" t="s">
        <v>13508</v>
      </c>
      <c r="AC689" t="s">
        <v>13509</v>
      </c>
      <c r="AD689" t="s">
        <v>13509</v>
      </c>
      <c r="AE689" t="s">
        <v>13510</v>
      </c>
      <c r="AF689" t="s">
        <v>74</v>
      </c>
      <c r="AG689">
        <v>52</v>
      </c>
      <c r="AH689">
        <v>4</v>
      </c>
      <c r="AI689">
        <v>4</v>
      </c>
      <c r="AJ689">
        <v>0</v>
      </c>
      <c r="AK689">
        <v>2</v>
      </c>
      <c r="AL689" t="s">
        <v>1101</v>
      </c>
      <c r="AM689" t="s">
        <v>1102</v>
      </c>
      <c r="AN689" t="s">
        <v>1103</v>
      </c>
      <c r="AO689" t="s">
        <v>74</v>
      </c>
      <c r="AP689" t="s">
        <v>13511</v>
      </c>
      <c r="AQ689" t="s">
        <v>74</v>
      </c>
      <c r="AR689" t="s">
        <v>13499</v>
      </c>
      <c r="AS689" t="s">
        <v>13512</v>
      </c>
      <c r="AT689" t="s">
        <v>4571</v>
      </c>
      <c r="AU689">
        <v>2021</v>
      </c>
      <c r="AV689">
        <v>9</v>
      </c>
      <c r="AW689">
        <v>6</v>
      </c>
      <c r="AX689" t="s">
        <v>74</v>
      </c>
      <c r="AY689" t="s">
        <v>74</v>
      </c>
      <c r="AZ689" t="s">
        <v>74</v>
      </c>
      <c r="BA689" t="s">
        <v>74</v>
      </c>
      <c r="BB689" t="s">
        <v>74</v>
      </c>
      <c r="BC689" t="s">
        <v>74</v>
      </c>
      <c r="BD689">
        <v>86</v>
      </c>
      <c r="BE689" t="s">
        <v>13513</v>
      </c>
      <c r="BF689" t="str">
        <f>HYPERLINK("http://dx.doi.org/10.3390/sports9060086","http://dx.doi.org/10.3390/sports9060086")</f>
        <v>http://dx.doi.org/10.3390/sports9060086</v>
      </c>
      <c r="BG689" t="s">
        <v>74</v>
      </c>
      <c r="BH689" t="s">
        <v>74</v>
      </c>
      <c r="BI689">
        <v>10</v>
      </c>
      <c r="BJ689" t="s">
        <v>13514</v>
      </c>
      <c r="BK689" t="s">
        <v>1819</v>
      </c>
      <c r="BL689" t="s">
        <v>13514</v>
      </c>
      <c r="BM689" t="s">
        <v>13515</v>
      </c>
      <c r="BN689">
        <v>34204566</v>
      </c>
      <c r="BO689" t="s">
        <v>1377</v>
      </c>
      <c r="BP689" t="s">
        <v>74</v>
      </c>
      <c r="BQ689" t="s">
        <v>74</v>
      </c>
      <c r="BR689" t="s">
        <v>102</v>
      </c>
      <c r="BS689" t="s">
        <v>13516</v>
      </c>
      <c r="BT689" t="str">
        <f>HYPERLINK("https%3A%2F%2Fwww.webofscience.com%2Fwos%2Fwoscc%2Ffull-record%2FWOS:000665876000001","View Full Record in Web of Science")</f>
        <v>View Full Record in Web of Science</v>
      </c>
    </row>
    <row r="690" spans="1:72" x14ac:dyDescent="0.15">
      <c r="A690" t="s">
        <v>72</v>
      </c>
      <c r="B690" t="s">
        <v>13517</v>
      </c>
      <c r="C690" t="s">
        <v>74</v>
      </c>
      <c r="D690" t="s">
        <v>74</v>
      </c>
      <c r="E690" t="s">
        <v>74</v>
      </c>
      <c r="F690" t="s">
        <v>13518</v>
      </c>
      <c r="G690" t="s">
        <v>74</v>
      </c>
      <c r="H690" t="s">
        <v>74</v>
      </c>
      <c r="I690" t="s">
        <v>13519</v>
      </c>
      <c r="J690" t="s">
        <v>13520</v>
      </c>
      <c r="K690" t="s">
        <v>74</v>
      </c>
      <c r="L690" t="s">
        <v>74</v>
      </c>
      <c r="M690" t="s">
        <v>78</v>
      </c>
      <c r="N690" t="s">
        <v>79</v>
      </c>
      <c r="O690" t="s">
        <v>74</v>
      </c>
      <c r="P690" t="s">
        <v>74</v>
      </c>
      <c r="Q690" t="s">
        <v>74</v>
      </c>
      <c r="R690" t="s">
        <v>74</v>
      </c>
      <c r="S690" t="s">
        <v>74</v>
      </c>
      <c r="T690" t="s">
        <v>13521</v>
      </c>
      <c r="U690" t="s">
        <v>13522</v>
      </c>
      <c r="V690" t="s">
        <v>13523</v>
      </c>
      <c r="W690" t="s">
        <v>13524</v>
      </c>
      <c r="X690" t="s">
        <v>13525</v>
      </c>
      <c r="Y690" t="s">
        <v>13526</v>
      </c>
      <c r="Z690" t="s">
        <v>13527</v>
      </c>
      <c r="AA690" t="s">
        <v>13528</v>
      </c>
      <c r="AB690" t="s">
        <v>13529</v>
      </c>
      <c r="AC690" t="s">
        <v>13530</v>
      </c>
      <c r="AD690" t="s">
        <v>13531</v>
      </c>
      <c r="AE690" t="s">
        <v>13532</v>
      </c>
      <c r="AF690" t="s">
        <v>74</v>
      </c>
      <c r="AG690">
        <v>42</v>
      </c>
      <c r="AH690">
        <v>8</v>
      </c>
      <c r="AI690">
        <v>8</v>
      </c>
      <c r="AJ690">
        <v>8</v>
      </c>
      <c r="AK690">
        <v>54</v>
      </c>
      <c r="AL690" t="s">
        <v>1101</v>
      </c>
      <c r="AM690" t="s">
        <v>1102</v>
      </c>
      <c r="AN690" t="s">
        <v>1103</v>
      </c>
      <c r="AO690" t="s">
        <v>74</v>
      </c>
      <c r="AP690" t="s">
        <v>13533</v>
      </c>
      <c r="AQ690" t="s">
        <v>74</v>
      </c>
      <c r="AR690" t="s">
        <v>13520</v>
      </c>
      <c r="AS690" t="s">
        <v>13534</v>
      </c>
      <c r="AT690" t="s">
        <v>4571</v>
      </c>
      <c r="AU690">
        <v>2021</v>
      </c>
      <c r="AV690">
        <v>10</v>
      </c>
      <c r="AW690">
        <v>6</v>
      </c>
      <c r="AX690" t="s">
        <v>74</v>
      </c>
      <c r="AY690" t="s">
        <v>74</v>
      </c>
      <c r="AZ690" t="s">
        <v>74</v>
      </c>
      <c r="BA690" t="s">
        <v>74</v>
      </c>
      <c r="BB690" t="s">
        <v>74</v>
      </c>
      <c r="BC690" t="s">
        <v>74</v>
      </c>
      <c r="BD690">
        <v>1294</v>
      </c>
      <c r="BE690" t="s">
        <v>13535</v>
      </c>
      <c r="BF690" t="str">
        <f>HYPERLINK("http://dx.doi.org/10.3390/foods10061294","http://dx.doi.org/10.3390/foods10061294")</f>
        <v>http://dx.doi.org/10.3390/foods10061294</v>
      </c>
      <c r="BG690" t="s">
        <v>74</v>
      </c>
      <c r="BH690" t="s">
        <v>74</v>
      </c>
      <c r="BI690">
        <v>13</v>
      </c>
      <c r="BJ690" t="s">
        <v>4006</v>
      </c>
      <c r="BK690" t="s">
        <v>128</v>
      </c>
      <c r="BL690" t="s">
        <v>4006</v>
      </c>
      <c r="BM690" t="s">
        <v>13536</v>
      </c>
      <c r="BN690">
        <v>34199884</v>
      </c>
      <c r="BO690" t="s">
        <v>1377</v>
      </c>
      <c r="BP690" t="s">
        <v>74</v>
      </c>
      <c r="BQ690" t="s">
        <v>74</v>
      </c>
      <c r="BR690" t="s">
        <v>102</v>
      </c>
      <c r="BS690" t="s">
        <v>13537</v>
      </c>
      <c r="BT690" t="str">
        <f>HYPERLINK("https%3A%2F%2Fwww.webofscience.com%2Fwos%2Fwoscc%2Ffull-record%2FWOS:000666428700001","View Full Record in Web of Science")</f>
        <v>View Full Record in Web of Science</v>
      </c>
    </row>
    <row r="691" spans="1:72" x14ac:dyDescent="0.15">
      <c r="A691" t="s">
        <v>72</v>
      </c>
      <c r="B691" t="s">
        <v>13538</v>
      </c>
      <c r="C691" t="s">
        <v>74</v>
      </c>
      <c r="D691" t="s">
        <v>74</v>
      </c>
      <c r="E691" t="s">
        <v>74</v>
      </c>
      <c r="F691" t="s">
        <v>13539</v>
      </c>
      <c r="G691" t="s">
        <v>74</v>
      </c>
      <c r="H691" t="s">
        <v>74</v>
      </c>
      <c r="I691" t="s">
        <v>13540</v>
      </c>
      <c r="J691" t="s">
        <v>1610</v>
      </c>
      <c r="K691" t="s">
        <v>74</v>
      </c>
      <c r="L691" t="s">
        <v>74</v>
      </c>
      <c r="M691" t="s">
        <v>78</v>
      </c>
      <c r="N691" t="s">
        <v>79</v>
      </c>
      <c r="O691" t="s">
        <v>74</v>
      </c>
      <c r="P691" t="s">
        <v>74</v>
      </c>
      <c r="Q691" t="s">
        <v>74</v>
      </c>
      <c r="R691" t="s">
        <v>74</v>
      </c>
      <c r="S691" t="s">
        <v>74</v>
      </c>
      <c r="T691" t="s">
        <v>13541</v>
      </c>
      <c r="U691" t="s">
        <v>13542</v>
      </c>
      <c r="V691" t="s">
        <v>13543</v>
      </c>
      <c r="W691" t="s">
        <v>13544</v>
      </c>
      <c r="X691" t="s">
        <v>13545</v>
      </c>
      <c r="Y691" t="s">
        <v>13546</v>
      </c>
      <c r="Z691" t="s">
        <v>13547</v>
      </c>
      <c r="AA691" t="s">
        <v>13548</v>
      </c>
      <c r="AB691" t="s">
        <v>13549</v>
      </c>
      <c r="AC691" t="s">
        <v>13550</v>
      </c>
      <c r="AD691" t="s">
        <v>13551</v>
      </c>
      <c r="AE691" t="s">
        <v>13552</v>
      </c>
      <c r="AF691" t="s">
        <v>74</v>
      </c>
      <c r="AG691">
        <v>57</v>
      </c>
      <c r="AH691">
        <v>3</v>
      </c>
      <c r="AI691">
        <v>3</v>
      </c>
      <c r="AJ691">
        <v>4</v>
      </c>
      <c r="AK691">
        <v>12</v>
      </c>
      <c r="AL691" t="s">
        <v>1101</v>
      </c>
      <c r="AM691" t="s">
        <v>1102</v>
      </c>
      <c r="AN691" t="s">
        <v>1103</v>
      </c>
      <c r="AO691" t="s">
        <v>74</v>
      </c>
      <c r="AP691" t="s">
        <v>1620</v>
      </c>
      <c r="AQ691" t="s">
        <v>74</v>
      </c>
      <c r="AR691" t="s">
        <v>1621</v>
      </c>
      <c r="AS691" t="s">
        <v>1622</v>
      </c>
      <c r="AT691" t="s">
        <v>4571</v>
      </c>
      <c r="AU691">
        <v>2021</v>
      </c>
      <c r="AV691">
        <v>9</v>
      </c>
      <c r="AW691">
        <v>6</v>
      </c>
      <c r="AX691" t="s">
        <v>74</v>
      </c>
      <c r="AY691" t="s">
        <v>74</v>
      </c>
      <c r="AZ691" t="s">
        <v>74</v>
      </c>
      <c r="BA691" t="s">
        <v>74</v>
      </c>
      <c r="BB691" t="s">
        <v>74</v>
      </c>
      <c r="BC691" t="s">
        <v>74</v>
      </c>
      <c r="BD691">
        <v>648</v>
      </c>
      <c r="BE691" t="s">
        <v>13553</v>
      </c>
      <c r="BF691" t="str">
        <f>HYPERLINK("http://dx.doi.org/10.3390/jmse9060648","http://dx.doi.org/10.3390/jmse9060648")</f>
        <v>http://dx.doi.org/10.3390/jmse9060648</v>
      </c>
      <c r="BG691" t="s">
        <v>74</v>
      </c>
      <c r="BH691" t="s">
        <v>74</v>
      </c>
      <c r="BI691">
        <v>17</v>
      </c>
      <c r="BJ691" t="s">
        <v>1624</v>
      </c>
      <c r="BK691" t="s">
        <v>128</v>
      </c>
      <c r="BL691" t="s">
        <v>1625</v>
      </c>
      <c r="BM691" t="s">
        <v>13554</v>
      </c>
      <c r="BN691" t="s">
        <v>74</v>
      </c>
      <c r="BO691" t="s">
        <v>2630</v>
      </c>
      <c r="BP691" t="s">
        <v>74</v>
      </c>
      <c r="BQ691" t="s">
        <v>74</v>
      </c>
      <c r="BR691" t="s">
        <v>102</v>
      </c>
      <c r="BS691" t="s">
        <v>13555</v>
      </c>
      <c r="BT691" t="str">
        <f>HYPERLINK("https%3A%2F%2Fwww.webofscience.com%2Fwos%2Fwoscc%2Ffull-record%2FWOS:000665963600001","View Full Record in Web of Science")</f>
        <v>View Full Record in Web of Science</v>
      </c>
    </row>
    <row r="692" spans="1:72" x14ac:dyDescent="0.15">
      <c r="A692" t="s">
        <v>72</v>
      </c>
      <c r="B692" t="s">
        <v>13556</v>
      </c>
      <c r="C692" t="s">
        <v>74</v>
      </c>
      <c r="D692" t="s">
        <v>74</v>
      </c>
      <c r="E692" t="s">
        <v>74</v>
      </c>
      <c r="F692" t="s">
        <v>13557</v>
      </c>
      <c r="G692" t="s">
        <v>74</v>
      </c>
      <c r="H692" t="s">
        <v>74</v>
      </c>
      <c r="I692" t="s">
        <v>13558</v>
      </c>
      <c r="J692" t="s">
        <v>7666</v>
      </c>
      <c r="K692" t="s">
        <v>74</v>
      </c>
      <c r="L692" t="s">
        <v>74</v>
      </c>
      <c r="M692" t="s">
        <v>78</v>
      </c>
      <c r="N692" t="s">
        <v>79</v>
      </c>
      <c r="O692" t="s">
        <v>74</v>
      </c>
      <c r="P692" t="s">
        <v>74</v>
      </c>
      <c r="Q692" t="s">
        <v>74</v>
      </c>
      <c r="R692" t="s">
        <v>74</v>
      </c>
      <c r="S692" t="s">
        <v>74</v>
      </c>
      <c r="T692" t="s">
        <v>74</v>
      </c>
      <c r="U692" t="s">
        <v>74</v>
      </c>
      <c r="V692" t="s">
        <v>13559</v>
      </c>
      <c r="W692" t="s">
        <v>13560</v>
      </c>
      <c r="X692" t="s">
        <v>13561</v>
      </c>
      <c r="Y692" t="s">
        <v>13562</v>
      </c>
      <c r="Z692" t="s">
        <v>13563</v>
      </c>
      <c r="AA692" t="s">
        <v>74</v>
      </c>
      <c r="AB692" t="s">
        <v>13564</v>
      </c>
      <c r="AC692" t="s">
        <v>13565</v>
      </c>
      <c r="AD692" t="s">
        <v>13566</v>
      </c>
      <c r="AE692" t="s">
        <v>13567</v>
      </c>
      <c r="AF692" t="s">
        <v>74</v>
      </c>
      <c r="AG692">
        <v>8</v>
      </c>
      <c r="AH692">
        <v>0</v>
      </c>
      <c r="AI692">
        <v>0</v>
      </c>
      <c r="AJ692">
        <v>0</v>
      </c>
      <c r="AK692">
        <v>5</v>
      </c>
      <c r="AL692" t="s">
        <v>6362</v>
      </c>
      <c r="AM692" t="s">
        <v>865</v>
      </c>
      <c r="AN692" t="s">
        <v>6363</v>
      </c>
      <c r="AO692" t="s">
        <v>7675</v>
      </c>
      <c r="AP692" t="s">
        <v>74</v>
      </c>
      <c r="AQ692" t="s">
        <v>74</v>
      </c>
      <c r="AR692" t="s">
        <v>7676</v>
      </c>
      <c r="AS692" t="s">
        <v>7677</v>
      </c>
      <c r="AT692" t="s">
        <v>4571</v>
      </c>
      <c r="AU692">
        <v>2021</v>
      </c>
      <c r="AV692">
        <v>10</v>
      </c>
      <c r="AW692">
        <v>22</v>
      </c>
      <c r="AX692" t="s">
        <v>74</v>
      </c>
      <c r="AY692" t="s">
        <v>74</v>
      </c>
      <c r="AZ692" t="s">
        <v>74</v>
      </c>
      <c r="BA692" t="s">
        <v>74</v>
      </c>
      <c r="BB692" t="s">
        <v>74</v>
      </c>
      <c r="BC692" t="s">
        <v>74</v>
      </c>
      <c r="BD692" t="s">
        <v>13568</v>
      </c>
      <c r="BE692" t="s">
        <v>13569</v>
      </c>
      <c r="BF692" t="str">
        <f>HYPERLINK("http://dx.doi.org/10.1128/MRA.01141-20","http://dx.doi.org/10.1128/MRA.01141-20")</f>
        <v>http://dx.doi.org/10.1128/MRA.01141-20</v>
      </c>
      <c r="BG692" t="s">
        <v>74</v>
      </c>
      <c r="BH692" t="s">
        <v>74</v>
      </c>
      <c r="BI692">
        <v>2</v>
      </c>
      <c r="BJ692" t="s">
        <v>1499</v>
      </c>
      <c r="BK692" t="s">
        <v>1819</v>
      </c>
      <c r="BL692" t="s">
        <v>1499</v>
      </c>
      <c r="BM692" t="s">
        <v>13570</v>
      </c>
      <c r="BN692">
        <v>34080902</v>
      </c>
      <c r="BO692" t="s">
        <v>238</v>
      </c>
      <c r="BP692" t="s">
        <v>74</v>
      </c>
      <c r="BQ692" t="s">
        <v>74</v>
      </c>
      <c r="BR692" t="s">
        <v>102</v>
      </c>
      <c r="BS692" t="s">
        <v>13571</v>
      </c>
      <c r="BT692" t="str">
        <f>HYPERLINK("https%3A%2F%2Fwww.webofscience.com%2Fwos%2Fwoscc%2Ffull-record%2FWOS:000665819700010","View Full Record in Web of Science")</f>
        <v>View Full Record in Web of Science</v>
      </c>
    </row>
    <row r="693" spans="1:72" x14ac:dyDescent="0.15">
      <c r="A693" t="s">
        <v>72</v>
      </c>
      <c r="B693" t="s">
        <v>13572</v>
      </c>
      <c r="C693" t="s">
        <v>74</v>
      </c>
      <c r="D693" t="s">
        <v>74</v>
      </c>
      <c r="E693" t="s">
        <v>74</v>
      </c>
      <c r="F693" t="s">
        <v>13573</v>
      </c>
      <c r="G693" t="s">
        <v>74</v>
      </c>
      <c r="H693" t="s">
        <v>74</v>
      </c>
      <c r="I693" t="s">
        <v>13574</v>
      </c>
      <c r="J693" t="s">
        <v>1486</v>
      </c>
      <c r="K693" t="s">
        <v>74</v>
      </c>
      <c r="L693" t="s">
        <v>74</v>
      </c>
      <c r="M693" t="s">
        <v>78</v>
      </c>
      <c r="N693" t="s">
        <v>79</v>
      </c>
      <c r="O693" t="s">
        <v>74</v>
      </c>
      <c r="P693" t="s">
        <v>74</v>
      </c>
      <c r="Q693" t="s">
        <v>74</v>
      </c>
      <c r="R693" t="s">
        <v>74</v>
      </c>
      <c r="S693" t="s">
        <v>74</v>
      </c>
      <c r="T693" t="s">
        <v>13575</v>
      </c>
      <c r="U693" t="s">
        <v>13576</v>
      </c>
      <c r="V693" t="s">
        <v>13577</v>
      </c>
      <c r="W693" t="s">
        <v>13578</v>
      </c>
      <c r="X693" t="s">
        <v>5481</v>
      </c>
      <c r="Y693" t="s">
        <v>13579</v>
      </c>
      <c r="Z693" t="s">
        <v>13580</v>
      </c>
      <c r="AA693" t="s">
        <v>13581</v>
      </c>
      <c r="AB693" t="s">
        <v>13582</v>
      </c>
      <c r="AC693" t="s">
        <v>13583</v>
      </c>
      <c r="AD693" t="s">
        <v>13583</v>
      </c>
      <c r="AE693" t="s">
        <v>13584</v>
      </c>
      <c r="AF693" t="s">
        <v>74</v>
      </c>
      <c r="AG693">
        <v>55</v>
      </c>
      <c r="AH693">
        <v>9</v>
      </c>
      <c r="AI693">
        <v>10</v>
      </c>
      <c r="AJ693">
        <v>1</v>
      </c>
      <c r="AK693">
        <v>10</v>
      </c>
      <c r="AL693" t="s">
        <v>1101</v>
      </c>
      <c r="AM693" t="s">
        <v>1102</v>
      </c>
      <c r="AN693" t="s">
        <v>1103</v>
      </c>
      <c r="AO693" t="s">
        <v>74</v>
      </c>
      <c r="AP693" t="s">
        <v>1496</v>
      </c>
      <c r="AQ693" t="s">
        <v>74</v>
      </c>
      <c r="AR693" t="s">
        <v>1486</v>
      </c>
      <c r="AS693" t="s">
        <v>1497</v>
      </c>
      <c r="AT693" t="s">
        <v>4571</v>
      </c>
      <c r="AU693">
        <v>2021</v>
      </c>
      <c r="AV693">
        <v>9</v>
      </c>
      <c r="AW693">
        <v>6</v>
      </c>
      <c r="AX693" t="s">
        <v>74</v>
      </c>
      <c r="AY693" t="s">
        <v>74</v>
      </c>
      <c r="AZ693" t="s">
        <v>74</v>
      </c>
      <c r="BA693" t="s">
        <v>74</v>
      </c>
      <c r="BB693" t="s">
        <v>74</v>
      </c>
      <c r="BC693" t="s">
        <v>74</v>
      </c>
      <c r="BD693">
        <v>1253</v>
      </c>
      <c r="BE693" t="s">
        <v>13585</v>
      </c>
      <c r="BF693" t="str">
        <f>HYPERLINK("http://dx.doi.org/10.3390/microorganisms9061253","http://dx.doi.org/10.3390/microorganisms9061253")</f>
        <v>http://dx.doi.org/10.3390/microorganisms9061253</v>
      </c>
      <c r="BG693" t="s">
        <v>74</v>
      </c>
      <c r="BH693" t="s">
        <v>74</v>
      </c>
      <c r="BI693">
        <v>19</v>
      </c>
      <c r="BJ693" t="s">
        <v>1499</v>
      </c>
      <c r="BK693" t="s">
        <v>128</v>
      </c>
      <c r="BL693" t="s">
        <v>1499</v>
      </c>
      <c r="BM693" t="s">
        <v>13586</v>
      </c>
      <c r="BN693">
        <v>34207615</v>
      </c>
      <c r="BO693" t="s">
        <v>311</v>
      </c>
      <c r="BP693" t="s">
        <v>74</v>
      </c>
      <c r="BQ693" t="s">
        <v>74</v>
      </c>
      <c r="BR693" t="s">
        <v>102</v>
      </c>
      <c r="BS693" t="s">
        <v>13587</v>
      </c>
      <c r="BT693" t="str">
        <f>HYPERLINK("https%3A%2F%2Fwww.webofscience.com%2Fwos%2Fwoscc%2Ffull-record%2FWOS:000666106700001","View Full Record in Web of Science")</f>
        <v>View Full Record in Web of Science</v>
      </c>
    </row>
    <row r="694" spans="1:72" x14ac:dyDescent="0.15">
      <c r="A694" t="s">
        <v>72</v>
      </c>
      <c r="B694" t="s">
        <v>13588</v>
      </c>
      <c r="C694" t="s">
        <v>74</v>
      </c>
      <c r="D694" t="s">
        <v>74</v>
      </c>
      <c r="E694" t="s">
        <v>74</v>
      </c>
      <c r="F694" t="s">
        <v>13589</v>
      </c>
      <c r="G694" t="s">
        <v>74</v>
      </c>
      <c r="H694" t="s">
        <v>74</v>
      </c>
      <c r="I694" t="s">
        <v>13590</v>
      </c>
      <c r="J694" t="s">
        <v>1486</v>
      </c>
      <c r="K694" t="s">
        <v>74</v>
      </c>
      <c r="L694" t="s">
        <v>74</v>
      </c>
      <c r="M694" t="s">
        <v>78</v>
      </c>
      <c r="N694" t="s">
        <v>79</v>
      </c>
      <c r="O694" t="s">
        <v>74</v>
      </c>
      <c r="P694" t="s">
        <v>74</v>
      </c>
      <c r="Q694" t="s">
        <v>74</v>
      </c>
      <c r="R694" t="s">
        <v>74</v>
      </c>
      <c r="S694" t="s">
        <v>74</v>
      </c>
      <c r="T694" t="s">
        <v>13591</v>
      </c>
      <c r="U694" t="s">
        <v>13592</v>
      </c>
      <c r="V694" t="s">
        <v>13593</v>
      </c>
      <c r="W694" t="s">
        <v>13594</v>
      </c>
      <c r="X694" t="s">
        <v>13595</v>
      </c>
      <c r="Y694" t="s">
        <v>13596</v>
      </c>
      <c r="Z694" t="s">
        <v>13597</v>
      </c>
      <c r="AA694" t="s">
        <v>13598</v>
      </c>
      <c r="AB694" t="s">
        <v>13599</v>
      </c>
      <c r="AC694" t="s">
        <v>13600</v>
      </c>
      <c r="AD694" t="s">
        <v>13601</v>
      </c>
      <c r="AE694" t="s">
        <v>13602</v>
      </c>
      <c r="AF694" t="s">
        <v>74</v>
      </c>
      <c r="AG694">
        <v>101</v>
      </c>
      <c r="AH694">
        <v>13</v>
      </c>
      <c r="AI694">
        <v>13</v>
      </c>
      <c r="AJ694">
        <v>2</v>
      </c>
      <c r="AK694">
        <v>7</v>
      </c>
      <c r="AL694" t="s">
        <v>1101</v>
      </c>
      <c r="AM694" t="s">
        <v>1102</v>
      </c>
      <c r="AN694" t="s">
        <v>1103</v>
      </c>
      <c r="AO694" t="s">
        <v>74</v>
      </c>
      <c r="AP694" t="s">
        <v>1496</v>
      </c>
      <c r="AQ694" t="s">
        <v>74</v>
      </c>
      <c r="AR694" t="s">
        <v>1486</v>
      </c>
      <c r="AS694" t="s">
        <v>1497</v>
      </c>
      <c r="AT694" t="s">
        <v>4571</v>
      </c>
      <c r="AU694">
        <v>2021</v>
      </c>
      <c r="AV694">
        <v>9</v>
      </c>
      <c r="AW694">
        <v>6</v>
      </c>
      <c r="AX694" t="s">
        <v>74</v>
      </c>
      <c r="AY694" t="s">
        <v>74</v>
      </c>
      <c r="AZ694" t="s">
        <v>74</v>
      </c>
      <c r="BA694" t="s">
        <v>74</v>
      </c>
      <c r="BB694" t="s">
        <v>74</v>
      </c>
      <c r="BC694" t="s">
        <v>74</v>
      </c>
      <c r="BD694">
        <v>1213</v>
      </c>
      <c r="BE694" t="s">
        <v>13603</v>
      </c>
      <c r="BF694" t="str">
        <f>HYPERLINK("http://dx.doi.org/10.3390/microorganisms9061213","http://dx.doi.org/10.3390/microorganisms9061213")</f>
        <v>http://dx.doi.org/10.3390/microorganisms9061213</v>
      </c>
      <c r="BG694" t="s">
        <v>74</v>
      </c>
      <c r="BH694" t="s">
        <v>74</v>
      </c>
      <c r="BI694">
        <v>22</v>
      </c>
      <c r="BJ694" t="s">
        <v>1499</v>
      </c>
      <c r="BK694" t="s">
        <v>128</v>
      </c>
      <c r="BL694" t="s">
        <v>1499</v>
      </c>
      <c r="BM694" t="s">
        <v>13604</v>
      </c>
      <c r="BN694">
        <v>34205164</v>
      </c>
      <c r="BO694" t="s">
        <v>8094</v>
      </c>
      <c r="BP694" t="s">
        <v>74</v>
      </c>
      <c r="BQ694" t="s">
        <v>74</v>
      </c>
      <c r="BR694" t="s">
        <v>102</v>
      </c>
      <c r="BS694" t="s">
        <v>13605</v>
      </c>
      <c r="BT694" t="str">
        <f>HYPERLINK("https%3A%2F%2Fwww.webofscience.com%2Fwos%2Fwoscc%2Ffull-record%2FWOS:000666738800001","View Full Record in Web of Science")</f>
        <v>View Full Record in Web of Science</v>
      </c>
    </row>
    <row r="695" spans="1:72" x14ac:dyDescent="0.15">
      <c r="A695" t="s">
        <v>72</v>
      </c>
      <c r="B695" t="s">
        <v>13606</v>
      </c>
      <c r="C695" t="s">
        <v>74</v>
      </c>
      <c r="D695" t="s">
        <v>74</v>
      </c>
      <c r="E695" t="s">
        <v>74</v>
      </c>
      <c r="F695" t="s">
        <v>13607</v>
      </c>
      <c r="G695" t="s">
        <v>74</v>
      </c>
      <c r="H695" t="s">
        <v>74</v>
      </c>
      <c r="I695" t="s">
        <v>13608</v>
      </c>
      <c r="J695" t="s">
        <v>13609</v>
      </c>
      <c r="K695" t="s">
        <v>74</v>
      </c>
      <c r="L695" t="s">
        <v>74</v>
      </c>
      <c r="M695" t="s">
        <v>78</v>
      </c>
      <c r="N695" t="s">
        <v>79</v>
      </c>
      <c r="O695" t="s">
        <v>74</v>
      </c>
      <c r="P695" t="s">
        <v>74</v>
      </c>
      <c r="Q695" t="s">
        <v>74</v>
      </c>
      <c r="R695" t="s">
        <v>74</v>
      </c>
      <c r="S695" t="s">
        <v>74</v>
      </c>
      <c r="T695" t="s">
        <v>13610</v>
      </c>
      <c r="U695" t="s">
        <v>13611</v>
      </c>
      <c r="V695" t="s">
        <v>13612</v>
      </c>
      <c r="W695" t="s">
        <v>13613</v>
      </c>
      <c r="X695" t="s">
        <v>13614</v>
      </c>
      <c r="Y695" t="s">
        <v>13615</v>
      </c>
      <c r="Z695" t="s">
        <v>13616</v>
      </c>
      <c r="AA695" t="s">
        <v>13617</v>
      </c>
      <c r="AB695" t="s">
        <v>13618</v>
      </c>
      <c r="AC695" t="s">
        <v>13619</v>
      </c>
      <c r="AD695" t="s">
        <v>13620</v>
      </c>
      <c r="AE695" t="s">
        <v>13621</v>
      </c>
      <c r="AF695" t="s">
        <v>74</v>
      </c>
      <c r="AG695">
        <v>27</v>
      </c>
      <c r="AH695">
        <v>9</v>
      </c>
      <c r="AI695">
        <v>10</v>
      </c>
      <c r="AJ695">
        <v>0</v>
      </c>
      <c r="AK695">
        <v>6</v>
      </c>
      <c r="AL695" t="s">
        <v>1101</v>
      </c>
      <c r="AM695" t="s">
        <v>1102</v>
      </c>
      <c r="AN695" t="s">
        <v>1103</v>
      </c>
      <c r="AO695" t="s">
        <v>74</v>
      </c>
      <c r="AP695" t="s">
        <v>13622</v>
      </c>
      <c r="AQ695" t="s">
        <v>74</v>
      </c>
      <c r="AR695" t="s">
        <v>13609</v>
      </c>
      <c r="AS695" t="s">
        <v>13623</v>
      </c>
      <c r="AT695" t="s">
        <v>4571</v>
      </c>
      <c r="AU695">
        <v>2021</v>
      </c>
      <c r="AV695">
        <v>26</v>
      </c>
      <c r="AW695">
        <v>12</v>
      </c>
      <c r="AX695" t="s">
        <v>74</v>
      </c>
      <c r="AY695" t="s">
        <v>74</v>
      </c>
      <c r="AZ695" t="s">
        <v>74</v>
      </c>
      <c r="BA695" t="s">
        <v>74</v>
      </c>
      <c r="BB695" t="s">
        <v>74</v>
      </c>
      <c r="BC695" t="s">
        <v>74</v>
      </c>
      <c r="BD695">
        <v>3760</v>
      </c>
      <c r="BE695" t="s">
        <v>13624</v>
      </c>
      <c r="BF695" t="str">
        <f>HYPERLINK("http://dx.doi.org/10.3390/molecules26123760","http://dx.doi.org/10.3390/molecules26123760")</f>
        <v>http://dx.doi.org/10.3390/molecules26123760</v>
      </c>
      <c r="BG695" t="s">
        <v>74</v>
      </c>
      <c r="BH695" t="s">
        <v>74</v>
      </c>
      <c r="BI695">
        <v>11</v>
      </c>
      <c r="BJ695" t="s">
        <v>7498</v>
      </c>
      <c r="BK695" t="s">
        <v>128</v>
      </c>
      <c r="BL695" t="s">
        <v>7499</v>
      </c>
      <c r="BM695" t="s">
        <v>13625</v>
      </c>
      <c r="BN695">
        <v>34205516</v>
      </c>
      <c r="BO695" t="s">
        <v>311</v>
      </c>
      <c r="BP695" t="s">
        <v>74</v>
      </c>
      <c r="BQ695" t="s">
        <v>74</v>
      </c>
      <c r="BR695" t="s">
        <v>102</v>
      </c>
      <c r="BS695" t="s">
        <v>13626</v>
      </c>
      <c r="BT695" t="str">
        <f>HYPERLINK("https%3A%2F%2Fwww.webofscience.com%2Fwos%2Fwoscc%2Ffull-record%2FWOS:000666504200001","View Full Record in Web of Science")</f>
        <v>View Full Record in Web of Science</v>
      </c>
    </row>
    <row r="696" spans="1:72" x14ac:dyDescent="0.15">
      <c r="A696" t="s">
        <v>72</v>
      </c>
      <c r="B696" t="s">
        <v>13627</v>
      </c>
      <c r="C696" t="s">
        <v>74</v>
      </c>
      <c r="D696" t="s">
        <v>74</v>
      </c>
      <c r="E696" t="s">
        <v>74</v>
      </c>
      <c r="F696" t="s">
        <v>13628</v>
      </c>
      <c r="G696" t="s">
        <v>74</v>
      </c>
      <c r="H696" t="s">
        <v>74</v>
      </c>
      <c r="I696" t="s">
        <v>13629</v>
      </c>
      <c r="J696" t="s">
        <v>13630</v>
      </c>
      <c r="K696" t="s">
        <v>74</v>
      </c>
      <c r="L696" t="s">
        <v>74</v>
      </c>
      <c r="M696" t="s">
        <v>78</v>
      </c>
      <c r="N696" t="s">
        <v>79</v>
      </c>
      <c r="O696" t="s">
        <v>74</v>
      </c>
      <c r="P696" t="s">
        <v>74</v>
      </c>
      <c r="Q696" t="s">
        <v>74</v>
      </c>
      <c r="R696" t="s">
        <v>74</v>
      </c>
      <c r="S696" t="s">
        <v>74</v>
      </c>
      <c r="T696" t="s">
        <v>13631</v>
      </c>
      <c r="U696" t="s">
        <v>13632</v>
      </c>
      <c r="V696" t="s">
        <v>13633</v>
      </c>
      <c r="W696" t="s">
        <v>13634</v>
      </c>
      <c r="X696" t="s">
        <v>7714</v>
      </c>
      <c r="Y696" t="s">
        <v>13635</v>
      </c>
      <c r="Z696" t="s">
        <v>13636</v>
      </c>
      <c r="AA696" t="s">
        <v>13637</v>
      </c>
      <c r="AB696" t="s">
        <v>13638</v>
      </c>
      <c r="AC696" t="s">
        <v>13639</v>
      </c>
      <c r="AD696" t="s">
        <v>13640</v>
      </c>
      <c r="AE696" t="s">
        <v>13641</v>
      </c>
      <c r="AF696" t="s">
        <v>74</v>
      </c>
      <c r="AG696">
        <v>65</v>
      </c>
      <c r="AH696">
        <v>8</v>
      </c>
      <c r="AI696">
        <v>8</v>
      </c>
      <c r="AJ696">
        <v>2</v>
      </c>
      <c r="AK696">
        <v>13</v>
      </c>
      <c r="AL696" t="s">
        <v>1101</v>
      </c>
      <c r="AM696" t="s">
        <v>1102</v>
      </c>
      <c r="AN696" t="s">
        <v>1103</v>
      </c>
      <c r="AO696" t="s">
        <v>74</v>
      </c>
      <c r="AP696" t="s">
        <v>13642</v>
      </c>
      <c r="AQ696" t="s">
        <v>74</v>
      </c>
      <c r="AR696" t="s">
        <v>13630</v>
      </c>
      <c r="AS696" t="s">
        <v>13643</v>
      </c>
      <c r="AT696" t="s">
        <v>4571</v>
      </c>
      <c r="AU696">
        <v>2021</v>
      </c>
      <c r="AV696">
        <v>8</v>
      </c>
      <c r="AW696">
        <v>6</v>
      </c>
      <c r="AX696" t="s">
        <v>74</v>
      </c>
      <c r="AY696" t="s">
        <v>74</v>
      </c>
      <c r="AZ696" t="s">
        <v>74</v>
      </c>
      <c r="BA696" t="s">
        <v>74</v>
      </c>
      <c r="BB696" t="s">
        <v>74</v>
      </c>
      <c r="BC696" t="s">
        <v>74</v>
      </c>
      <c r="BD696">
        <v>87</v>
      </c>
      <c r="BE696" t="s">
        <v>13644</v>
      </c>
      <c r="BF696" t="str">
        <f>HYPERLINK("http://dx.doi.org/10.3390/separations8060087","http://dx.doi.org/10.3390/separations8060087")</f>
        <v>http://dx.doi.org/10.3390/separations8060087</v>
      </c>
      <c r="BG696" t="s">
        <v>74</v>
      </c>
      <c r="BH696" t="s">
        <v>74</v>
      </c>
      <c r="BI696">
        <v>18</v>
      </c>
      <c r="BJ696" t="s">
        <v>13645</v>
      </c>
      <c r="BK696" t="s">
        <v>128</v>
      </c>
      <c r="BL696" t="s">
        <v>13646</v>
      </c>
      <c r="BM696" t="s">
        <v>13647</v>
      </c>
      <c r="BN696" t="s">
        <v>74</v>
      </c>
      <c r="BO696" t="s">
        <v>638</v>
      </c>
      <c r="BP696" t="s">
        <v>74</v>
      </c>
      <c r="BQ696" t="s">
        <v>74</v>
      </c>
      <c r="BR696" t="s">
        <v>102</v>
      </c>
      <c r="BS696" t="s">
        <v>13648</v>
      </c>
      <c r="BT696" t="str">
        <f>HYPERLINK("https%3A%2F%2Fwww.webofscience.com%2Fwos%2Fwoscc%2Ffull-record%2FWOS:000666254300001","View Full Record in Web of Science")</f>
        <v>View Full Record in Web of Science</v>
      </c>
    </row>
    <row r="697" spans="1:72" x14ac:dyDescent="0.15">
      <c r="A697" t="s">
        <v>72</v>
      </c>
      <c r="B697" t="s">
        <v>13649</v>
      </c>
      <c r="C697" t="s">
        <v>74</v>
      </c>
      <c r="D697" t="s">
        <v>74</v>
      </c>
      <c r="E697" t="s">
        <v>74</v>
      </c>
      <c r="F697" t="s">
        <v>13650</v>
      </c>
      <c r="G697" t="s">
        <v>74</v>
      </c>
      <c r="H697" t="s">
        <v>74</v>
      </c>
      <c r="I697" t="s">
        <v>13651</v>
      </c>
      <c r="J697" t="s">
        <v>1088</v>
      </c>
      <c r="K697" t="s">
        <v>74</v>
      </c>
      <c r="L697" t="s">
        <v>74</v>
      </c>
      <c r="M697" t="s">
        <v>78</v>
      </c>
      <c r="N697" t="s">
        <v>79</v>
      </c>
      <c r="O697" t="s">
        <v>74</v>
      </c>
      <c r="P697" t="s">
        <v>74</v>
      </c>
      <c r="Q697" t="s">
        <v>74</v>
      </c>
      <c r="R697" t="s">
        <v>74</v>
      </c>
      <c r="S697" t="s">
        <v>74</v>
      </c>
      <c r="T697" t="s">
        <v>13652</v>
      </c>
      <c r="U697" t="s">
        <v>13653</v>
      </c>
      <c r="V697" t="s">
        <v>13654</v>
      </c>
      <c r="W697" t="s">
        <v>13655</v>
      </c>
      <c r="X697" t="s">
        <v>13656</v>
      </c>
      <c r="Y697" t="s">
        <v>13657</v>
      </c>
      <c r="Z697" t="s">
        <v>13658</v>
      </c>
      <c r="AA697" t="s">
        <v>13659</v>
      </c>
      <c r="AB697" t="s">
        <v>13660</v>
      </c>
      <c r="AC697" t="s">
        <v>13661</v>
      </c>
      <c r="AD697" t="s">
        <v>13662</v>
      </c>
      <c r="AE697" t="s">
        <v>13663</v>
      </c>
      <c r="AF697" t="s">
        <v>74</v>
      </c>
      <c r="AG697">
        <v>70</v>
      </c>
      <c r="AH697">
        <v>26</v>
      </c>
      <c r="AI697">
        <v>27</v>
      </c>
      <c r="AJ697">
        <v>19</v>
      </c>
      <c r="AK697">
        <v>64</v>
      </c>
      <c r="AL697" t="s">
        <v>1101</v>
      </c>
      <c r="AM697" t="s">
        <v>1102</v>
      </c>
      <c r="AN697" t="s">
        <v>1103</v>
      </c>
      <c r="AO697" t="s">
        <v>74</v>
      </c>
      <c r="AP697" t="s">
        <v>1104</v>
      </c>
      <c r="AQ697" t="s">
        <v>74</v>
      </c>
      <c r="AR697" t="s">
        <v>1105</v>
      </c>
      <c r="AS697" t="s">
        <v>1106</v>
      </c>
      <c r="AT697" t="s">
        <v>4571</v>
      </c>
      <c r="AU697">
        <v>2021</v>
      </c>
      <c r="AV697">
        <v>19</v>
      </c>
      <c r="AW697">
        <v>6</v>
      </c>
      <c r="AX697" t="s">
        <v>74</v>
      </c>
      <c r="AY697" t="s">
        <v>74</v>
      </c>
      <c r="AZ697" t="s">
        <v>74</v>
      </c>
      <c r="BA697" t="s">
        <v>74</v>
      </c>
      <c r="BB697" t="s">
        <v>74</v>
      </c>
      <c r="BC697" t="s">
        <v>74</v>
      </c>
      <c r="BD697">
        <v>347</v>
      </c>
      <c r="BE697" t="s">
        <v>13664</v>
      </c>
      <c r="BF697" t="str">
        <f>HYPERLINK("http://dx.doi.org/10.3390/md19060347","http://dx.doi.org/10.3390/md19060347")</f>
        <v>http://dx.doi.org/10.3390/md19060347</v>
      </c>
      <c r="BG697" t="s">
        <v>74</v>
      </c>
      <c r="BH697" t="s">
        <v>74</v>
      </c>
      <c r="BI697">
        <v>18</v>
      </c>
      <c r="BJ697" t="s">
        <v>1108</v>
      </c>
      <c r="BK697" t="s">
        <v>128</v>
      </c>
      <c r="BL697" t="s">
        <v>1109</v>
      </c>
      <c r="BM697" t="s">
        <v>13665</v>
      </c>
      <c r="BN697">
        <v>34204535</v>
      </c>
      <c r="BO697" t="s">
        <v>1377</v>
      </c>
      <c r="BP697" t="s">
        <v>74</v>
      </c>
      <c r="BQ697" t="s">
        <v>74</v>
      </c>
      <c r="BR697" t="s">
        <v>102</v>
      </c>
      <c r="BS697" t="s">
        <v>13666</v>
      </c>
      <c r="BT697" t="str">
        <f>HYPERLINK("https%3A%2F%2Fwww.webofscience.com%2Fwos%2Fwoscc%2Ffull-record%2FWOS:000666752800001","View Full Record in Web of Science")</f>
        <v>View Full Record in Web of Science</v>
      </c>
    </row>
    <row r="698" spans="1:72" x14ac:dyDescent="0.15">
      <c r="A698" t="s">
        <v>72</v>
      </c>
      <c r="B698" t="s">
        <v>13667</v>
      </c>
      <c r="C698" t="s">
        <v>74</v>
      </c>
      <c r="D698" t="s">
        <v>74</v>
      </c>
      <c r="E698" t="s">
        <v>74</v>
      </c>
      <c r="F698" t="s">
        <v>13668</v>
      </c>
      <c r="G698" t="s">
        <v>74</v>
      </c>
      <c r="H698" t="s">
        <v>74</v>
      </c>
      <c r="I698" t="s">
        <v>13669</v>
      </c>
      <c r="J698" t="s">
        <v>1404</v>
      </c>
      <c r="K698" t="s">
        <v>74</v>
      </c>
      <c r="L698" t="s">
        <v>74</v>
      </c>
      <c r="M698" t="s">
        <v>78</v>
      </c>
      <c r="N698" t="s">
        <v>79</v>
      </c>
      <c r="O698" t="s">
        <v>74</v>
      </c>
      <c r="P698" t="s">
        <v>74</v>
      </c>
      <c r="Q698" t="s">
        <v>74</v>
      </c>
      <c r="R698" t="s">
        <v>74</v>
      </c>
      <c r="S698" t="s">
        <v>74</v>
      </c>
      <c r="T698" t="s">
        <v>13670</v>
      </c>
      <c r="U698" t="s">
        <v>13671</v>
      </c>
      <c r="V698" t="s">
        <v>13672</v>
      </c>
      <c r="W698" t="s">
        <v>13673</v>
      </c>
      <c r="X698" t="s">
        <v>13674</v>
      </c>
      <c r="Y698" t="s">
        <v>13675</v>
      </c>
      <c r="Z698" t="s">
        <v>13676</v>
      </c>
      <c r="AA698" t="s">
        <v>13677</v>
      </c>
      <c r="AB698" t="s">
        <v>13678</v>
      </c>
      <c r="AC698" t="s">
        <v>13679</v>
      </c>
      <c r="AD698" t="s">
        <v>13680</v>
      </c>
      <c r="AE698" t="s">
        <v>13681</v>
      </c>
      <c r="AF698" t="s">
        <v>74</v>
      </c>
      <c r="AG698">
        <v>32</v>
      </c>
      <c r="AH698">
        <v>13</v>
      </c>
      <c r="AI698">
        <v>13</v>
      </c>
      <c r="AJ698">
        <v>11</v>
      </c>
      <c r="AK698">
        <v>46</v>
      </c>
      <c r="AL698" t="s">
        <v>1101</v>
      </c>
      <c r="AM698" t="s">
        <v>1102</v>
      </c>
      <c r="AN698" t="s">
        <v>1103</v>
      </c>
      <c r="AO698" t="s">
        <v>74</v>
      </c>
      <c r="AP698" t="s">
        <v>1417</v>
      </c>
      <c r="AQ698" t="s">
        <v>74</v>
      </c>
      <c r="AR698" t="s">
        <v>1418</v>
      </c>
      <c r="AS698" t="s">
        <v>1419</v>
      </c>
      <c r="AT698" t="s">
        <v>4571</v>
      </c>
      <c r="AU698">
        <v>2021</v>
      </c>
      <c r="AV698">
        <v>13</v>
      </c>
      <c r="AW698">
        <v>12</v>
      </c>
      <c r="AX698" t="s">
        <v>74</v>
      </c>
      <c r="AY698" t="s">
        <v>74</v>
      </c>
      <c r="AZ698" t="s">
        <v>74</v>
      </c>
      <c r="BA698" t="s">
        <v>74</v>
      </c>
      <c r="BB698" t="s">
        <v>74</v>
      </c>
      <c r="BC698" t="s">
        <v>74</v>
      </c>
      <c r="BD698">
        <v>2312</v>
      </c>
      <c r="BE698" t="s">
        <v>13682</v>
      </c>
      <c r="BF698" t="str">
        <f>HYPERLINK("http://dx.doi.org/10.3390/rs13122312","http://dx.doi.org/10.3390/rs13122312")</f>
        <v>http://dx.doi.org/10.3390/rs13122312</v>
      </c>
      <c r="BG698" t="s">
        <v>74</v>
      </c>
      <c r="BH698" t="s">
        <v>74</v>
      </c>
      <c r="BI698">
        <v>17</v>
      </c>
      <c r="BJ698" t="s">
        <v>1421</v>
      </c>
      <c r="BK698" t="s">
        <v>128</v>
      </c>
      <c r="BL698" t="s">
        <v>1422</v>
      </c>
      <c r="BM698" t="s">
        <v>13683</v>
      </c>
      <c r="BN698" t="s">
        <v>74</v>
      </c>
      <c r="BO698" t="s">
        <v>638</v>
      </c>
      <c r="BP698" t="s">
        <v>74</v>
      </c>
      <c r="BQ698" t="s">
        <v>74</v>
      </c>
      <c r="BR698" t="s">
        <v>102</v>
      </c>
      <c r="BS698" t="s">
        <v>13684</v>
      </c>
      <c r="BT698" t="str">
        <f>HYPERLINK("https%3A%2F%2Fwww.webofscience.com%2Fwos%2Fwoscc%2Ffull-record%2FWOS:000666393700001","View Full Record in Web of Science")</f>
        <v>View Full Record in Web of Science</v>
      </c>
    </row>
    <row r="699" spans="1:72" x14ac:dyDescent="0.15">
      <c r="A699" t="s">
        <v>72</v>
      </c>
      <c r="B699" t="s">
        <v>13685</v>
      </c>
      <c r="C699" t="s">
        <v>74</v>
      </c>
      <c r="D699" t="s">
        <v>74</v>
      </c>
      <c r="E699" t="s">
        <v>74</v>
      </c>
      <c r="F699" t="s">
        <v>13686</v>
      </c>
      <c r="G699" t="s">
        <v>74</v>
      </c>
      <c r="H699" t="s">
        <v>74</v>
      </c>
      <c r="I699" t="s">
        <v>13687</v>
      </c>
      <c r="J699" t="s">
        <v>13688</v>
      </c>
      <c r="K699" t="s">
        <v>74</v>
      </c>
      <c r="L699" t="s">
        <v>74</v>
      </c>
      <c r="M699" t="s">
        <v>78</v>
      </c>
      <c r="N699" t="s">
        <v>79</v>
      </c>
      <c r="O699" t="s">
        <v>74</v>
      </c>
      <c r="P699" t="s">
        <v>74</v>
      </c>
      <c r="Q699" t="s">
        <v>74</v>
      </c>
      <c r="R699" t="s">
        <v>74</v>
      </c>
      <c r="S699" t="s">
        <v>74</v>
      </c>
      <c r="T699" t="s">
        <v>13689</v>
      </c>
      <c r="U699" t="s">
        <v>13690</v>
      </c>
      <c r="V699" t="s">
        <v>13691</v>
      </c>
      <c r="W699" t="s">
        <v>13692</v>
      </c>
      <c r="X699" t="s">
        <v>13693</v>
      </c>
      <c r="Y699" t="s">
        <v>13694</v>
      </c>
      <c r="Z699" t="s">
        <v>13695</v>
      </c>
      <c r="AA699" t="s">
        <v>74</v>
      </c>
      <c r="AB699" t="s">
        <v>74</v>
      </c>
      <c r="AC699" t="s">
        <v>13696</v>
      </c>
      <c r="AD699" t="s">
        <v>13697</v>
      </c>
      <c r="AE699" t="s">
        <v>13698</v>
      </c>
      <c r="AF699" t="s">
        <v>74</v>
      </c>
      <c r="AG699">
        <v>89</v>
      </c>
      <c r="AH699">
        <v>9</v>
      </c>
      <c r="AI699">
        <v>9</v>
      </c>
      <c r="AJ699">
        <v>0</v>
      </c>
      <c r="AK699">
        <v>19</v>
      </c>
      <c r="AL699" t="s">
        <v>89</v>
      </c>
      <c r="AM699" t="s">
        <v>90</v>
      </c>
      <c r="AN699" t="s">
        <v>91</v>
      </c>
      <c r="AO699" t="s">
        <v>13699</v>
      </c>
      <c r="AP699" t="s">
        <v>13700</v>
      </c>
      <c r="AQ699" t="s">
        <v>74</v>
      </c>
      <c r="AR699" t="s">
        <v>13701</v>
      </c>
      <c r="AS699" t="s">
        <v>13702</v>
      </c>
      <c r="AT699" t="s">
        <v>402</v>
      </c>
      <c r="AU699">
        <v>2021</v>
      </c>
      <c r="AV699">
        <v>221</v>
      </c>
      <c r="AW699" t="s">
        <v>74</v>
      </c>
      <c r="AX699" t="s">
        <v>74</v>
      </c>
      <c r="AY699" t="s">
        <v>74</v>
      </c>
      <c r="AZ699" t="s">
        <v>74</v>
      </c>
      <c r="BA699" t="s">
        <v>74</v>
      </c>
      <c r="BB699" t="s">
        <v>74</v>
      </c>
      <c r="BC699" t="s">
        <v>74</v>
      </c>
      <c r="BD699">
        <v>103576</v>
      </c>
      <c r="BE699" t="s">
        <v>13703</v>
      </c>
      <c r="BF699" t="str">
        <f>HYPERLINK("http://dx.doi.org/10.1016/j.jmarsys.2021.103576","http://dx.doi.org/10.1016/j.jmarsys.2021.103576")</f>
        <v>http://dx.doi.org/10.1016/j.jmarsys.2021.103576</v>
      </c>
      <c r="BG699" t="s">
        <v>74</v>
      </c>
      <c r="BH699" t="s">
        <v>8134</v>
      </c>
      <c r="BI699">
        <v>13</v>
      </c>
      <c r="BJ699" t="s">
        <v>13704</v>
      </c>
      <c r="BK699" t="s">
        <v>128</v>
      </c>
      <c r="BL699" t="s">
        <v>13705</v>
      </c>
      <c r="BM699" t="s">
        <v>13706</v>
      </c>
      <c r="BN699" t="s">
        <v>74</v>
      </c>
      <c r="BO699" t="s">
        <v>291</v>
      </c>
      <c r="BP699" t="s">
        <v>74</v>
      </c>
      <c r="BQ699" t="s">
        <v>74</v>
      </c>
      <c r="BR699" t="s">
        <v>102</v>
      </c>
      <c r="BS699" t="s">
        <v>13707</v>
      </c>
      <c r="BT699" t="str">
        <f>HYPERLINK("https%3A%2F%2Fwww.webofscience.com%2Fwos%2Fwoscc%2Ffull-record%2FWOS:000658513500001","View Full Record in Web of Science")</f>
        <v>View Full Record in Web of Science</v>
      </c>
    </row>
    <row r="700" spans="1:72" x14ac:dyDescent="0.15">
      <c r="A700" t="s">
        <v>72</v>
      </c>
      <c r="B700" t="s">
        <v>13708</v>
      </c>
      <c r="C700" t="s">
        <v>74</v>
      </c>
      <c r="D700" t="s">
        <v>74</v>
      </c>
      <c r="E700" t="s">
        <v>74</v>
      </c>
      <c r="F700" t="s">
        <v>13709</v>
      </c>
      <c r="G700" t="s">
        <v>74</v>
      </c>
      <c r="H700" t="s">
        <v>74</v>
      </c>
      <c r="I700" t="s">
        <v>13710</v>
      </c>
      <c r="J700" t="s">
        <v>4399</v>
      </c>
      <c r="K700" t="s">
        <v>74</v>
      </c>
      <c r="L700" t="s">
        <v>74</v>
      </c>
      <c r="M700" t="s">
        <v>78</v>
      </c>
      <c r="N700" t="s">
        <v>79</v>
      </c>
      <c r="O700" t="s">
        <v>74</v>
      </c>
      <c r="P700" t="s">
        <v>74</v>
      </c>
      <c r="Q700" t="s">
        <v>74</v>
      </c>
      <c r="R700" t="s">
        <v>74</v>
      </c>
      <c r="S700" t="s">
        <v>74</v>
      </c>
      <c r="T700" t="s">
        <v>13711</v>
      </c>
      <c r="U700" t="s">
        <v>13712</v>
      </c>
      <c r="V700" t="s">
        <v>13713</v>
      </c>
      <c r="W700" t="s">
        <v>13714</v>
      </c>
      <c r="X700" t="s">
        <v>13715</v>
      </c>
      <c r="Y700" t="s">
        <v>13716</v>
      </c>
      <c r="Z700" t="s">
        <v>13717</v>
      </c>
      <c r="AA700" t="s">
        <v>13718</v>
      </c>
      <c r="AB700" t="s">
        <v>13719</v>
      </c>
      <c r="AC700" t="s">
        <v>13720</v>
      </c>
      <c r="AD700" t="s">
        <v>13721</v>
      </c>
      <c r="AE700" t="s">
        <v>13722</v>
      </c>
      <c r="AF700" t="s">
        <v>74</v>
      </c>
      <c r="AG700">
        <v>128</v>
      </c>
      <c r="AH700">
        <v>13</v>
      </c>
      <c r="AI700">
        <v>13</v>
      </c>
      <c r="AJ700">
        <v>3</v>
      </c>
      <c r="AK700">
        <v>24</v>
      </c>
      <c r="AL700" t="s">
        <v>119</v>
      </c>
      <c r="AM700" t="s">
        <v>120</v>
      </c>
      <c r="AN700" t="s">
        <v>121</v>
      </c>
      <c r="AO700" t="s">
        <v>74</v>
      </c>
      <c r="AP700" t="s">
        <v>4412</v>
      </c>
      <c r="AQ700" t="s">
        <v>74</v>
      </c>
      <c r="AR700" t="s">
        <v>4413</v>
      </c>
      <c r="AS700" t="s">
        <v>4414</v>
      </c>
      <c r="AT700" t="s">
        <v>13723</v>
      </c>
      <c r="AU700">
        <v>2021</v>
      </c>
      <c r="AV700">
        <v>12</v>
      </c>
      <c r="AW700" t="s">
        <v>74</v>
      </c>
      <c r="AX700" t="s">
        <v>74</v>
      </c>
      <c r="AY700" t="s">
        <v>74</v>
      </c>
      <c r="AZ700" t="s">
        <v>74</v>
      </c>
      <c r="BA700" t="s">
        <v>74</v>
      </c>
      <c r="BB700" t="s">
        <v>74</v>
      </c>
      <c r="BC700" t="s">
        <v>74</v>
      </c>
      <c r="BD700">
        <v>674758</v>
      </c>
      <c r="BE700" t="s">
        <v>13724</v>
      </c>
      <c r="BF700" t="str">
        <f>HYPERLINK("http://dx.doi.org/10.3389/fmicb.2021.674758","http://dx.doi.org/10.3389/fmicb.2021.674758")</f>
        <v>http://dx.doi.org/10.3389/fmicb.2021.674758</v>
      </c>
      <c r="BG700" t="s">
        <v>74</v>
      </c>
      <c r="BH700" t="s">
        <v>74</v>
      </c>
      <c r="BI700">
        <v>16</v>
      </c>
      <c r="BJ700" t="s">
        <v>1499</v>
      </c>
      <c r="BK700" t="s">
        <v>128</v>
      </c>
      <c r="BL700" t="s">
        <v>1499</v>
      </c>
      <c r="BM700" t="s">
        <v>13725</v>
      </c>
      <c r="BN700">
        <v>34140946</v>
      </c>
      <c r="BO700" t="s">
        <v>7542</v>
      </c>
      <c r="BP700" t="s">
        <v>74</v>
      </c>
      <c r="BQ700" t="s">
        <v>74</v>
      </c>
      <c r="BR700" t="s">
        <v>102</v>
      </c>
      <c r="BS700" t="s">
        <v>13726</v>
      </c>
      <c r="BT700" t="str">
        <f>HYPERLINK("https%3A%2F%2Fwww.webofscience.com%2Fwos%2Fwoscc%2Ffull-record%2FWOS:000661545700001","View Full Record in Web of Science")</f>
        <v>View Full Record in Web of Science</v>
      </c>
    </row>
    <row r="701" spans="1:72" x14ac:dyDescent="0.15">
      <c r="A701" t="s">
        <v>72</v>
      </c>
      <c r="B701" t="s">
        <v>13727</v>
      </c>
      <c r="C701" t="s">
        <v>74</v>
      </c>
      <c r="D701" t="s">
        <v>74</v>
      </c>
      <c r="E701" t="s">
        <v>74</v>
      </c>
      <c r="F701" t="s">
        <v>13728</v>
      </c>
      <c r="G701" t="s">
        <v>74</v>
      </c>
      <c r="H701" t="s">
        <v>74</v>
      </c>
      <c r="I701" t="s">
        <v>13729</v>
      </c>
      <c r="J701" t="s">
        <v>13730</v>
      </c>
      <c r="K701" t="s">
        <v>74</v>
      </c>
      <c r="L701" t="s">
        <v>74</v>
      </c>
      <c r="M701" t="s">
        <v>78</v>
      </c>
      <c r="N701" t="s">
        <v>79</v>
      </c>
      <c r="O701" t="s">
        <v>74</v>
      </c>
      <c r="P701" t="s">
        <v>74</v>
      </c>
      <c r="Q701" t="s">
        <v>74</v>
      </c>
      <c r="R701" t="s">
        <v>74</v>
      </c>
      <c r="S701" t="s">
        <v>74</v>
      </c>
      <c r="T701" t="s">
        <v>13731</v>
      </c>
      <c r="U701" t="s">
        <v>74</v>
      </c>
      <c r="V701" t="s">
        <v>13732</v>
      </c>
      <c r="W701" t="s">
        <v>13733</v>
      </c>
      <c r="X701" t="s">
        <v>13734</v>
      </c>
      <c r="Y701" t="s">
        <v>13735</v>
      </c>
      <c r="Z701" t="s">
        <v>13736</v>
      </c>
      <c r="AA701" t="s">
        <v>74</v>
      </c>
      <c r="AB701" t="s">
        <v>13737</v>
      </c>
      <c r="AC701" t="s">
        <v>13738</v>
      </c>
      <c r="AD701" t="s">
        <v>13739</v>
      </c>
      <c r="AE701" t="s">
        <v>13740</v>
      </c>
      <c r="AF701" t="s">
        <v>74</v>
      </c>
      <c r="AG701">
        <v>11</v>
      </c>
      <c r="AH701">
        <v>1</v>
      </c>
      <c r="AI701">
        <v>2</v>
      </c>
      <c r="AJ701">
        <v>0</v>
      </c>
      <c r="AK701">
        <v>1</v>
      </c>
      <c r="AL701" t="s">
        <v>13741</v>
      </c>
      <c r="AM701" t="s">
        <v>13742</v>
      </c>
      <c r="AN701" t="s">
        <v>13743</v>
      </c>
      <c r="AO701" t="s">
        <v>13744</v>
      </c>
      <c r="AP701" t="s">
        <v>13745</v>
      </c>
      <c r="AQ701" t="s">
        <v>74</v>
      </c>
      <c r="AR701" t="s">
        <v>13746</v>
      </c>
      <c r="AS701" t="s">
        <v>13747</v>
      </c>
      <c r="AT701" t="s">
        <v>4571</v>
      </c>
      <c r="AU701">
        <v>2021</v>
      </c>
      <c r="AV701">
        <v>10</v>
      </c>
      <c r="AW701">
        <v>2</v>
      </c>
      <c r="AX701" t="s">
        <v>74</v>
      </c>
      <c r="AY701" t="s">
        <v>74</v>
      </c>
      <c r="AZ701" t="s">
        <v>74</v>
      </c>
      <c r="BA701" t="s">
        <v>74</v>
      </c>
      <c r="BB701" t="s">
        <v>74</v>
      </c>
      <c r="BC701" t="s">
        <v>74</v>
      </c>
      <c r="BD701">
        <v>2150007</v>
      </c>
      <c r="BE701" t="s">
        <v>13748</v>
      </c>
      <c r="BF701" t="str">
        <f>HYPERLINK("http://dx.doi.org/10.1142/S2251171721500070","http://dx.doi.org/10.1142/S2251171721500070")</f>
        <v>http://dx.doi.org/10.1142/S2251171721500070</v>
      </c>
      <c r="BG701" t="s">
        <v>74</v>
      </c>
      <c r="BH701" t="s">
        <v>74</v>
      </c>
      <c r="BI701">
        <v>7</v>
      </c>
      <c r="BJ701" t="s">
        <v>1267</v>
      </c>
      <c r="BK701" t="s">
        <v>1819</v>
      </c>
      <c r="BL701" t="s">
        <v>1267</v>
      </c>
      <c r="BM701" t="s">
        <v>13749</v>
      </c>
      <c r="BN701" t="s">
        <v>74</v>
      </c>
      <c r="BO701" t="s">
        <v>13750</v>
      </c>
      <c r="BP701" t="s">
        <v>74</v>
      </c>
      <c r="BQ701" t="s">
        <v>74</v>
      </c>
      <c r="BR701" t="s">
        <v>102</v>
      </c>
      <c r="BS701" t="s">
        <v>13751</v>
      </c>
      <c r="BT701" t="str">
        <f>HYPERLINK("https%3A%2F%2Fwww.webofscience.com%2Fwos%2Fwoscc%2Ffull-record%2FWOS:000661122100003","View Full Record in Web of Science")</f>
        <v>View Full Record in Web of Science</v>
      </c>
    </row>
    <row r="702" spans="1:72" x14ac:dyDescent="0.15">
      <c r="A702" t="s">
        <v>72</v>
      </c>
      <c r="B702" t="s">
        <v>13752</v>
      </c>
      <c r="C702" t="s">
        <v>74</v>
      </c>
      <c r="D702" t="s">
        <v>74</v>
      </c>
      <c r="E702" t="s">
        <v>74</v>
      </c>
      <c r="F702" t="s">
        <v>13753</v>
      </c>
      <c r="G702" t="s">
        <v>74</v>
      </c>
      <c r="H702" t="s">
        <v>74</v>
      </c>
      <c r="I702" t="s">
        <v>13754</v>
      </c>
      <c r="J702" t="s">
        <v>1404</v>
      </c>
      <c r="K702" t="s">
        <v>74</v>
      </c>
      <c r="L702" t="s">
        <v>74</v>
      </c>
      <c r="M702" t="s">
        <v>78</v>
      </c>
      <c r="N702" t="s">
        <v>79</v>
      </c>
      <c r="O702" t="s">
        <v>74</v>
      </c>
      <c r="P702" t="s">
        <v>74</v>
      </c>
      <c r="Q702" t="s">
        <v>74</v>
      </c>
      <c r="R702" t="s">
        <v>74</v>
      </c>
      <c r="S702" t="s">
        <v>74</v>
      </c>
      <c r="T702" t="s">
        <v>13755</v>
      </c>
      <c r="U702" t="s">
        <v>13756</v>
      </c>
      <c r="V702" t="s">
        <v>13757</v>
      </c>
      <c r="W702" t="s">
        <v>13758</v>
      </c>
      <c r="X702" t="s">
        <v>13759</v>
      </c>
      <c r="Y702" t="s">
        <v>13760</v>
      </c>
      <c r="Z702" t="s">
        <v>13761</v>
      </c>
      <c r="AA702" t="s">
        <v>13762</v>
      </c>
      <c r="AB702" t="s">
        <v>13763</v>
      </c>
      <c r="AC702" t="s">
        <v>13764</v>
      </c>
      <c r="AD702" t="s">
        <v>13764</v>
      </c>
      <c r="AE702" t="s">
        <v>13765</v>
      </c>
      <c r="AF702" t="s">
        <v>74</v>
      </c>
      <c r="AG702">
        <v>114</v>
      </c>
      <c r="AH702">
        <v>18</v>
      </c>
      <c r="AI702">
        <v>19</v>
      </c>
      <c r="AJ702">
        <v>6</v>
      </c>
      <c r="AK702">
        <v>18</v>
      </c>
      <c r="AL702" t="s">
        <v>1101</v>
      </c>
      <c r="AM702" t="s">
        <v>1102</v>
      </c>
      <c r="AN702" t="s">
        <v>1103</v>
      </c>
      <c r="AO702" t="s">
        <v>74</v>
      </c>
      <c r="AP702" t="s">
        <v>1417</v>
      </c>
      <c r="AQ702" t="s">
        <v>74</v>
      </c>
      <c r="AR702" t="s">
        <v>1418</v>
      </c>
      <c r="AS702" t="s">
        <v>1419</v>
      </c>
      <c r="AT702" t="s">
        <v>4571</v>
      </c>
      <c r="AU702">
        <v>2021</v>
      </c>
      <c r="AV702">
        <v>13</v>
      </c>
      <c r="AW702">
        <v>11</v>
      </c>
      <c r="AX702" t="s">
        <v>74</v>
      </c>
      <c r="AY702" t="s">
        <v>74</v>
      </c>
      <c r="AZ702" t="s">
        <v>74</v>
      </c>
      <c r="BA702" t="s">
        <v>74</v>
      </c>
      <c r="BB702" t="s">
        <v>74</v>
      </c>
      <c r="BC702" t="s">
        <v>74</v>
      </c>
      <c r="BD702">
        <v>2074</v>
      </c>
      <c r="BE702" t="s">
        <v>13766</v>
      </c>
      <c r="BF702" t="str">
        <f>HYPERLINK("http://dx.doi.org/10.3390/rs13112074","http://dx.doi.org/10.3390/rs13112074")</f>
        <v>http://dx.doi.org/10.3390/rs13112074</v>
      </c>
      <c r="BG702" t="s">
        <v>74</v>
      </c>
      <c r="BH702" t="s">
        <v>74</v>
      </c>
      <c r="BI702">
        <v>23</v>
      </c>
      <c r="BJ702" t="s">
        <v>1421</v>
      </c>
      <c r="BK702" t="s">
        <v>128</v>
      </c>
      <c r="BL702" t="s">
        <v>1422</v>
      </c>
      <c r="BM702" t="s">
        <v>13767</v>
      </c>
      <c r="BN702" t="s">
        <v>74</v>
      </c>
      <c r="BO702" t="s">
        <v>7792</v>
      </c>
      <c r="BP702" t="s">
        <v>74</v>
      </c>
      <c r="BQ702" t="s">
        <v>74</v>
      </c>
      <c r="BR702" t="s">
        <v>102</v>
      </c>
      <c r="BS702" t="s">
        <v>13768</v>
      </c>
      <c r="BT702" t="str">
        <f>HYPERLINK("https%3A%2F%2Fwww.webofscience.com%2Fwos%2Fwoscc%2Ffull-record%2FWOS:000660599100001","View Full Record in Web of Science")</f>
        <v>View Full Record in Web of Science</v>
      </c>
    </row>
    <row r="703" spans="1:72" x14ac:dyDescent="0.15">
      <c r="A703" t="s">
        <v>72</v>
      </c>
      <c r="B703" t="s">
        <v>13769</v>
      </c>
      <c r="C703" t="s">
        <v>74</v>
      </c>
      <c r="D703" t="s">
        <v>74</v>
      </c>
      <c r="E703" t="s">
        <v>74</v>
      </c>
      <c r="F703" t="s">
        <v>13770</v>
      </c>
      <c r="G703" t="s">
        <v>74</v>
      </c>
      <c r="H703" t="s">
        <v>74</v>
      </c>
      <c r="I703" t="s">
        <v>13771</v>
      </c>
      <c r="J703" t="s">
        <v>1404</v>
      </c>
      <c r="K703" t="s">
        <v>74</v>
      </c>
      <c r="L703" t="s">
        <v>74</v>
      </c>
      <c r="M703" t="s">
        <v>78</v>
      </c>
      <c r="N703" t="s">
        <v>79</v>
      </c>
      <c r="O703" t="s">
        <v>74</v>
      </c>
      <c r="P703" t="s">
        <v>74</v>
      </c>
      <c r="Q703" t="s">
        <v>74</v>
      </c>
      <c r="R703" t="s">
        <v>74</v>
      </c>
      <c r="S703" t="s">
        <v>74</v>
      </c>
      <c r="T703" t="s">
        <v>13772</v>
      </c>
      <c r="U703" t="s">
        <v>13773</v>
      </c>
      <c r="V703" t="s">
        <v>13774</v>
      </c>
      <c r="W703" t="s">
        <v>13775</v>
      </c>
      <c r="X703" t="s">
        <v>13776</v>
      </c>
      <c r="Y703" t="s">
        <v>13777</v>
      </c>
      <c r="Z703" t="s">
        <v>13778</v>
      </c>
      <c r="AA703" t="s">
        <v>13779</v>
      </c>
      <c r="AB703" t="s">
        <v>13780</v>
      </c>
      <c r="AC703" t="s">
        <v>13781</v>
      </c>
      <c r="AD703" t="s">
        <v>13781</v>
      </c>
      <c r="AE703" t="s">
        <v>13782</v>
      </c>
      <c r="AF703" t="s">
        <v>74</v>
      </c>
      <c r="AG703">
        <v>56</v>
      </c>
      <c r="AH703">
        <v>4</v>
      </c>
      <c r="AI703">
        <v>4</v>
      </c>
      <c r="AJ703">
        <v>2</v>
      </c>
      <c r="AK703">
        <v>17</v>
      </c>
      <c r="AL703" t="s">
        <v>1101</v>
      </c>
      <c r="AM703" t="s">
        <v>1102</v>
      </c>
      <c r="AN703" t="s">
        <v>1103</v>
      </c>
      <c r="AO703" t="s">
        <v>74</v>
      </c>
      <c r="AP703" t="s">
        <v>1417</v>
      </c>
      <c r="AQ703" t="s">
        <v>74</v>
      </c>
      <c r="AR703" t="s">
        <v>1418</v>
      </c>
      <c r="AS703" t="s">
        <v>1419</v>
      </c>
      <c r="AT703" t="s">
        <v>4571</v>
      </c>
      <c r="AU703">
        <v>2021</v>
      </c>
      <c r="AV703">
        <v>13</v>
      </c>
      <c r="AW703">
        <v>11</v>
      </c>
      <c r="AX703" t="s">
        <v>74</v>
      </c>
      <c r="AY703" t="s">
        <v>74</v>
      </c>
      <c r="AZ703" t="s">
        <v>74</v>
      </c>
      <c r="BA703" t="s">
        <v>74</v>
      </c>
      <c r="BB703" t="s">
        <v>74</v>
      </c>
      <c r="BC703" t="s">
        <v>74</v>
      </c>
      <c r="BD703">
        <v>2168</v>
      </c>
      <c r="BE703" t="s">
        <v>13783</v>
      </c>
      <c r="BF703" t="str">
        <f>HYPERLINK("http://dx.doi.org/10.3390/rs13112168","http://dx.doi.org/10.3390/rs13112168")</f>
        <v>http://dx.doi.org/10.3390/rs13112168</v>
      </c>
      <c r="BG703" t="s">
        <v>74</v>
      </c>
      <c r="BH703" t="s">
        <v>74</v>
      </c>
      <c r="BI703">
        <v>16</v>
      </c>
      <c r="BJ703" t="s">
        <v>1421</v>
      </c>
      <c r="BK703" t="s">
        <v>128</v>
      </c>
      <c r="BL703" t="s">
        <v>1422</v>
      </c>
      <c r="BM703" t="s">
        <v>13784</v>
      </c>
      <c r="BN703" t="s">
        <v>74</v>
      </c>
      <c r="BO703" t="s">
        <v>638</v>
      </c>
      <c r="BP703" t="s">
        <v>74</v>
      </c>
      <c r="BQ703" t="s">
        <v>74</v>
      </c>
      <c r="BR703" t="s">
        <v>102</v>
      </c>
      <c r="BS703" t="s">
        <v>13785</v>
      </c>
      <c r="BT703" t="str">
        <f>HYPERLINK("https%3A%2F%2Fwww.webofscience.com%2Fwos%2Fwoscc%2Ffull-record%2FWOS:000660602900001","View Full Record in Web of Science")</f>
        <v>View Full Record in Web of Science</v>
      </c>
    </row>
    <row r="704" spans="1:72" x14ac:dyDescent="0.15">
      <c r="A704" t="s">
        <v>72</v>
      </c>
      <c r="B704" t="s">
        <v>13786</v>
      </c>
      <c r="C704" t="s">
        <v>74</v>
      </c>
      <c r="D704" t="s">
        <v>74</v>
      </c>
      <c r="E704" t="s">
        <v>74</v>
      </c>
      <c r="F704" t="s">
        <v>13787</v>
      </c>
      <c r="G704" t="s">
        <v>74</v>
      </c>
      <c r="H704" t="s">
        <v>74</v>
      </c>
      <c r="I704" t="s">
        <v>13788</v>
      </c>
      <c r="J704" t="s">
        <v>1404</v>
      </c>
      <c r="K704" t="s">
        <v>74</v>
      </c>
      <c r="L704" t="s">
        <v>74</v>
      </c>
      <c r="M704" t="s">
        <v>78</v>
      </c>
      <c r="N704" t="s">
        <v>79</v>
      </c>
      <c r="O704" t="s">
        <v>74</v>
      </c>
      <c r="P704" t="s">
        <v>74</v>
      </c>
      <c r="Q704" t="s">
        <v>74</v>
      </c>
      <c r="R704" t="s">
        <v>74</v>
      </c>
      <c r="S704" t="s">
        <v>74</v>
      </c>
      <c r="T704" t="s">
        <v>13789</v>
      </c>
      <c r="U704" t="s">
        <v>13790</v>
      </c>
      <c r="V704" t="s">
        <v>13791</v>
      </c>
      <c r="W704" t="s">
        <v>13792</v>
      </c>
      <c r="X704" t="s">
        <v>13793</v>
      </c>
      <c r="Y704" t="s">
        <v>13794</v>
      </c>
      <c r="Z704" t="s">
        <v>13795</v>
      </c>
      <c r="AA704" t="s">
        <v>74</v>
      </c>
      <c r="AB704" t="s">
        <v>13796</v>
      </c>
      <c r="AC704" t="s">
        <v>13797</v>
      </c>
      <c r="AD704" t="s">
        <v>13798</v>
      </c>
      <c r="AE704" t="s">
        <v>13799</v>
      </c>
      <c r="AF704" t="s">
        <v>74</v>
      </c>
      <c r="AG704">
        <v>64</v>
      </c>
      <c r="AH704">
        <v>1</v>
      </c>
      <c r="AI704">
        <v>1</v>
      </c>
      <c r="AJ704">
        <v>2</v>
      </c>
      <c r="AK704">
        <v>6</v>
      </c>
      <c r="AL704" t="s">
        <v>1101</v>
      </c>
      <c r="AM704" t="s">
        <v>1102</v>
      </c>
      <c r="AN704" t="s">
        <v>1103</v>
      </c>
      <c r="AO704" t="s">
        <v>74</v>
      </c>
      <c r="AP704" t="s">
        <v>1417</v>
      </c>
      <c r="AQ704" t="s">
        <v>74</v>
      </c>
      <c r="AR704" t="s">
        <v>1418</v>
      </c>
      <c r="AS704" t="s">
        <v>1419</v>
      </c>
      <c r="AT704" t="s">
        <v>4571</v>
      </c>
      <c r="AU704">
        <v>2021</v>
      </c>
      <c r="AV704">
        <v>13</v>
      </c>
      <c r="AW704">
        <v>11</v>
      </c>
      <c r="AX704" t="s">
        <v>74</v>
      </c>
      <c r="AY704" t="s">
        <v>74</v>
      </c>
      <c r="AZ704" t="s">
        <v>74</v>
      </c>
      <c r="BA704" t="s">
        <v>74</v>
      </c>
      <c r="BB704" t="s">
        <v>74</v>
      </c>
      <c r="BC704" t="s">
        <v>74</v>
      </c>
      <c r="BD704">
        <v>2122</v>
      </c>
      <c r="BE704" t="s">
        <v>13800</v>
      </c>
      <c r="BF704" t="str">
        <f>HYPERLINK("http://dx.doi.org/10.3390/rs13112122","http://dx.doi.org/10.3390/rs13112122")</f>
        <v>http://dx.doi.org/10.3390/rs13112122</v>
      </c>
      <c r="BG704" t="s">
        <v>74</v>
      </c>
      <c r="BH704" t="s">
        <v>74</v>
      </c>
      <c r="BI704">
        <v>14</v>
      </c>
      <c r="BJ704" t="s">
        <v>1421</v>
      </c>
      <c r="BK704" t="s">
        <v>128</v>
      </c>
      <c r="BL704" t="s">
        <v>1422</v>
      </c>
      <c r="BM704" t="s">
        <v>13801</v>
      </c>
      <c r="BN704" t="s">
        <v>74</v>
      </c>
      <c r="BO704" t="s">
        <v>638</v>
      </c>
      <c r="BP704" t="s">
        <v>74</v>
      </c>
      <c r="BQ704" t="s">
        <v>74</v>
      </c>
      <c r="BR704" t="s">
        <v>102</v>
      </c>
      <c r="BS704" t="s">
        <v>13802</v>
      </c>
      <c r="BT704" t="str">
        <f>HYPERLINK("https%3A%2F%2Fwww.webofscience.com%2Fwos%2Fwoscc%2Ffull-record%2FWOS:000660610400001","View Full Record in Web of Science")</f>
        <v>View Full Record in Web of Science</v>
      </c>
    </row>
    <row r="705" spans="1:72" x14ac:dyDescent="0.15">
      <c r="A705" t="s">
        <v>72</v>
      </c>
      <c r="B705" t="s">
        <v>13803</v>
      </c>
      <c r="C705" t="s">
        <v>74</v>
      </c>
      <c r="D705" t="s">
        <v>74</v>
      </c>
      <c r="E705" t="s">
        <v>74</v>
      </c>
      <c r="F705" t="s">
        <v>13804</v>
      </c>
      <c r="G705" t="s">
        <v>74</v>
      </c>
      <c r="H705" t="s">
        <v>74</v>
      </c>
      <c r="I705" t="s">
        <v>13805</v>
      </c>
      <c r="J705" t="s">
        <v>1404</v>
      </c>
      <c r="K705" t="s">
        <v>74</v>
      </c>
      <c r="L705" t="s">
        <v>74</v>
      </c>
      <c r="M705" t="s">
        <v>78</v>
      </c>
      <c r="N705" t="s">
        <v>79</v>
      </c>
      <c r="O705" t="s">
        <v>74</v>
      </c>
      <c r="P705" t="s">
        <v>74</v>
      </c>
      <c r="Q705" t="s">
        <v>74</v>
      </c>
      <c r="R705" t="s">
        <v>74</v>
      </c>
      <c r="S705" t="s">
        <v>74</v>
      </c>
      <c r="T705" t="s">
        <v>13806</v>
      </c>
      <c r="U705" t="s">
        <v>13807</v>
      </c>
      <c r="V705" t="s">
        <v>13808</v>
      </c>
      <c r="W705" t="s">
        <v>13809</v>
      </c>
      <c r="X705" t="s">
        <v>13810</v>
      </c>
      <c r="Y705" t="s">
        <v>13811</v>
      </c>
      <c r="Z705" t="s">
        <v>13812</v>
      </c>
      <c r="AA705" t="s">
        <v>74</v>
      </c>
      <c r="AB705" t="s">
        <v>74</v>
      </c>
      <c r="AC705" t="s">
        <v>13813</v>
      </c>
      <c r="AD705" t="s">
        <v>3361</v>
      </c>
      <c r="AE705" t="s">
        <v>13814</v>
      </c>
      <c r="AF705" t="s">
        <v>74</v>
      </c>
      <c r="AG705">
        <v>27</v>
      </c>
      <c r="AH705">
        <v>6</v>
      </c>
      <c r="AI705">
        <v>7</v>
      </c>
      <c r="AJ705">
        <v>3</v>
      </c>
      <c r="AK705">
        <v>23</v>
      </c>
      <c r="AL705" t="s">
        <v>1101</v>
      </c>
      <c r="AM705" t="s">
        <v>1102</v>
      </c>
      <c r="AN705" t="s">
        <v>1103</v>
      </c>
      <c r="AO705" t="s">
        <v>74</v>
      </c>
      <c r="AP705" t="s">
        <v>1417</v>
      </c>
      <c r="AQ705" t="s">
        <v>74</v>
      </c>
      <c r="AR705" t="s">
        <v>1418</v>
      </c>
      <c r="AS705" t="s">
        <v>1419</v>
      </c>
      <c r="AT705" t="s">
        <v>4571</v>
      </c>
      <c r="AU705">
        <v>2021</v>
      </c>
      <c r="AV705">
        <v>13</v>
      </c>
      <c r="AW705">
        <v>11</v>
      </c>
      <c r="AX705" t="s">
        <v>74</v>
      </c>
      <c r="AY705" t="s">
        <v>74</v>
      </c>
      <c r="AZ705" t="s">
        <v>74</v>
      </c>
      <c r="BA705" t="s">
        <v>74</v>
      </c>
      <c r="BB705" t="s">
        <v>74</v>
      </c>
      <c r="BC705" t="s">
        <v>74</v>
      </c>
      <c r="BD705">
        <v>2174</v>
      </c>
      <c r="BE705" t="s">
        <v>13815</v>
      </c>
      <c r="BF705" t="str">
        <f>HYPERLINK("http://dx.doi.org/10.3390/rs13112174","http://dx.doi.org/10.3390/rs13112174")</f>
        <v>http://dx.doi.org/10.3390/rs13112174</v>
      </c>
      <c r="BG705" t="s">
        <v>74</v>
      </c>
      <c r="BH705" t="s">
        <v>74</v>
      </c>
      <c r="BI705">
        <v>21</v>
      </c>
      <c r="BJ705" t="s">
        <v>1421</v>
      </c>
      <c r="BK705" t="s">
        <v>128</v>
      </c>
      <c r="BL705" t="s">
        <v>1422</v>
      </c>
      <c r="BM705" t="s">
        <v>13816</v>
      </c>
      <c r="BN705" t="s">
        <v>74</v>
      </c>
      <c r="BO705" t="s">
        <v>638</v>
      </c>
      <c r="BP705" t="s">
        <v>74</v>
      </c>
      <c r="BQ705" t="s">
        <v>74</v>
      </c>
      <c r="BR705" t="s">
        <v>102</v>
      </c>
      <c r="BS705" t="s">
        <v>13817</v>
      </c>
      <c r="BT705" t="str">
        <f>HYPERLINK("https%3A%2F%2Fwww.webofscience.com%2Fwos%2Fwoscc%2Ffull-record%2FWOS:000660597000001","View Full Record in Web of Science")</f>
        <v>View Full Record in Web of Science</v>
      </c>
    </row>
    <row r="706" spans="1:72" x14ac:dyDescent="0.15">
      <c r="A706" t="s">
        <v>72</v>
      </c>
      <c r="B706" t="s">
        <v>13818</v>
      </c>
      <c r="C706" t="s">
        <v>74</v>
      </c>
      <c r="D706" t="s">
        <v>74</v>
      </c>
      <c r="E706" t="s">
        <v>74</v>
      </c>
      <c r="F706" t="s">
        <v>13819</v>
      </c>
      <c r="G706" t="s">
        <v>74</v>
      </c>
      <c r="H706" t="s">
        <v>74</v>
      </c>
      <c r="I706" t="s">
        <v>13820</v>
      </c>
      <c r="J706" t="s">
        <v>107</v>
      </c>
      <c r="K706" t="s">
        <v>74</v>
      </c>
      <c r="L706" t="s">
        <v>74</v>
      </c>
      <c r="M706" t="s">
        <v>78</v>
      </c>
      <c r="N706" t="s">
        <v>79</v>
      </c>
      <c r="O706" t="s">
        <v>74</v>
      </c>
      <c r="P706" t="s">
        <v>74</v>
      </c>
      <c r="Q706" t="s">
        <v>74</v>
      </c>
      <c r="R706" t="s">
        <v>74</v>
      </c>
      <c r="S706" t="s">
        <v>74</v>
      </c>
      <c r="T706" t="s">
        <v>13821</v>
      </c>
      <c r="U706" t="s">
        <v>13822</v>
      </c>
      <c r="V706" t="s">
        <v>13823</v>
      </c>
      <c r="W706" t="s">
        <v>13824</v>
      </c>
      <c r="X706" t="s">
        <v>13825</v>
      </c>
      <c r="Y706" t="s">
        <v>13826</v>
      </c>
      <c r="Z706" t="s">
        <v>13827</v>
      </c>
      <c r="AA706" t="s">
        <v>13828</v>
      </c>
      <c r="AB706" t="s">
        <v>13829</v>
      </c>
      <c r="AC706" t="s">
        <v>13830</v>
      </c>
      <c r="AD706" t="s">
        <v>13831</v>
      </c>
      <c r="AE706" t="s">
        <v>13832</v>
      </c>
      <c r="AF706" t="s">
        <v>74</v>
      </c>
      <c r="AG706">
        <v>47</v>
      </c>
      <c r="AH706">
        <v>14</v>
      </c>
      <c r="AI706">
        <v>14</v>
      </c>
      <c r="AJ706">
        <v>0</v>
      </c>
      <c r="AK706">
        <v>21</v>
      </c>
      <c r="AL706" t="s">
        <v>119</v>
      </c>
      <c r="AM706" t="s">
        <v>120</v>
      </c>
      <c r="AN706" t="s">
        <v>121</v>
      </c>
      <c r="AO706" t="s">
        <v>74</v>
      </c>
      <c r="AP706" t="s">
        <v>122</v>
      </c>
      <c r="AQ706" t="s">
        <v>74</v>
      </c>
      <c r="AR706" t="s">
        <v>123</v>
      </c>
      <c r="AS706" t="s">
        <v>124</v>
      </c>
      <c r="AT706" t="s">
        <v>13723</v>
      </c>
      <c r="AU706">
        <v>2021</v>
      </c>
      <c r="AV706">
        <v>8</v>
      </c>
      <c r="AW706" t="s">
        <v>74</v>
      </c>
      <c r="AX706" t="s">
        <v>74</v>
      </c>
      <c r="AY706" t="s">
        <v>74</v>
      </c>
      <c r="AZ706" t="s">
        <v>74</v>
      </c>
      <c r="BA706" t="s">
        <v>74</v>
      </c>
      <c r="BB706" t="s">
        <v>74</v>
      </c>
      <c r="BC706" t="s">
        <v>74</v>
      </c>
      <c r="BD706">
        <v>654215</v>
      </c>
      <c r="BE706" t="s">
        <v>13833</v>
      </c>
      <c r="BF706" t="str">
        <f>HYPERLINK("http://dx.doi.org/10.3389/fmars.2021.654215","http://dx.doi.org/10.3389/fmars.2021.654215")</f>
        <v>http://dx.doi.org/10.3389/fmars.2021.654215</v>
      </c>
      <c r="BG706" t="s">
        <v>74</v>
      </c>
      <c r="BH706" t="s">
        <v>74</v>
      </c>
      <c r="BI706">
        <v>16</v>
      </c>
      <c r="BJ706" t="s">
        <v>127</v>
      </c>
      <c r="BK706" t="s">
        <v>128</v>
      </c>
      <c r="BL706" t="s">
        <v>129</v>
      </c>
      <c r="BM706" t="s">
        <v>13834</v>
      </c>
      <c r="BN706" t="s">
        <v>74</v>
      </c>
      <c r="BO706" t="s">
        <v>2749</v>
      </c>
      <c r="BP706" t="s">
        <v>74</v>
      </c>
      <c r="BQ706" t="s">
        <v>74</v>
      </c>
      <c r="BR706" t="s">
        <v>102</v>
      </c>
      <c r="BS706" t="s">
        <v>13835</v>
      </c>
      <c r="BT706" t="str">
        <f>HYPERLINK("https%3A%2F%2Fwww.webofscience.com%2Fwos%2Fwoscc%2Ffull-record%2FWOS:000659448500001","View Full Record in Web of Science")</f>
        <v>View Full Record in Web of Science</v>
      </c>
    </row>
    <row r="707" spans="1:72" x14ac:dyDescent="0.15">
      <c r="A707" t="s">
        <v>72</v>
      </c>
      <c r="B707" t="s">
        <v>13836</v>
      </c>
      <c r="C707" t="s">
        <v>74</v>
      </c>
      <c r="D707" t="s">
        <v>74</v>
      </c>
      <c r="E707" t="s">
        <v>74</v>
      </c>
      <c r="F707" t="s">
        <v>13837</v>
      </c>
      <c r="G707" t="s">
        <v>74</v>
      </c>
      <c r="H707" t="s">
        <v>74</v>
      </c>
      <c r="I707" t="s">
        <v>13838</v>
      </c>
      <c r="J707" t="s">
        <v>13839</v>
      </c>
      <c r="K707" t="s">
        <v>74</v>
      </c>
      <c r="L707" t="s">
        <v>74</v>
      </c>
      <c r="M707" t="s">
        <v>78</v>
      </c>
      <c r="N707" t="s">
        <v>79</v>
      </c>
      <c r="O707" t="s">
        <v>74</v>
      </c>
      <c r="P707" t="s">
        <v>74</v>
      </c>
      <c r="Q707" t="s">
        <v>74</v>
      </c>
      <c r="R707" t="s">
        <v>74</v>
      </c>
      <c r="S707" t="s">
        <v>74</v>
      </c>
      <c r="T707" t="s">
        <v>13840</v>
      </c>
      <c r="U707" t="s">
        <v>13841</v>
      </c>
      <c r="V707" t="s">
        <v>13842</v>
      </c>
      <c r="W707" t="s">
        <v>13843</v>
      </c>
      <c r="X707" t="s">
        <v>13844</v>
      </c>
      <c r="Y707" t="s">
        <v>13845</v>
      </c>
      <c r="Z707" t="s">
        <v>13846</v>
      </c>
      <c r="AA707" t="s">
        <v>13847</v>
      </c>
      <c r="AB707" t="s">
        <v>13848</v>
      </c>
      <c r="AC707" t="s">
        <v>13849</v>
      </c>
      <c r="AD707" t="s">
        <v>13850</v>
      </c>
      <c r="AE707" t="s">
        <v>13851</v>
      </c>
      <c r="AF707" t="s">
        <v>74</v>
      </c>
      <c r="AG707">
        <v>52</v>
      </c>
      <c r="AH707">
        <v>2</v>
      </c>
      <c r="AI707">
        <v>2</v>
      </c>
      <c r="AJ707">
        <v>1</v>
      </c>
      <c r="AK707">
        <v>6</v>
      </c>
      <c r="AL707" t="s">
        <v>2143</v>
      </c>
      <c r="AM707" t="s">
        <v>2144</v>
      </c>
      <c r="AN707" t="s">
        <v>2145</v>
      </c>
      <c r="AO707" t="s">
        <v>74</v>
      </c>
      <c r="AP707" t="s">
        <v>13852</v>
      </c>
      <c r="AQ707" t="s">
        <v>74</v>
      </c>
      <c r="AR707" t="s">
        <v>13853</v>
      </c>
      <c r="AS707" t="s">
        <v>13854</v>
      </c>
      <c r="AT707" t="s">
        <v>4571</v>
      </c>
      <c r="AU707">
        <v>2021</v>
      </c>
      <c r="AV707">
        <v>2</v>
      </c>
      <c r="AW707">
        <v>2</v>
      </c>
      <c r="AX707" t="s">
        <v>74</v>
      </c>
      <c r="AY707" t="s">
        <v>74</v>
      </c>
      <c r="AZ707" t="s">
        <v>74</v>
      </c>
      <c r="BA707" t="s">
        <v>74</v>
      </c>
      <c r="BB707" t="s">
        <v>74</v>
      </c>
      <c r="BC707" t="s">
        <v>74</v>
      </c>
      <c r="BD707">
        <v>25031</v>
      </c>
      <c r="BE707" t="s">
        <v>13855</v>
      </c>
      <c r="BF707" t="str">
        <f>HYPERLINK("http://dx.doi.org/10.1088/2632-2153/abde8e","http://dx.doi.org/10.1088/2632-2153/abde8e")</f>
        <v>http://dx.doi.org/10.1088/2632-2153/abde8e</v>
      </c>
      <c r="BG707" t="s">
        <v>74</v>
      </c>
      <c r="BH707" t="s">
        <v>74</v>
      </c>
      <c r="BI707">
        <v>18</v>
      </c>
      <c r="BJ707" t="s">
        <v>13856</v>
      </c>
      <c r="BK707" t="s">
        <v>128</v>
      </c>
      <c r="BL707" t="s">
        <v>13857</v>
      </c>
      <c r="BM707" t="s">
        <v>13858</v>
      </c>
      <c r="BN707" t="s">
        <v>74</v>
      </c>
      <c r="BO707" t="s">
        <v>638</v>
      </c>
      <c r="BP707" t="s">
        <v>74</v>
      </c>
      <c r="BQ707" t="s">
        <v>74</v>
      </c>
      <c r="BR707" t="s">
        <v>102</v>
      </c>
      <c r="BS707" t="s">
        <v>13859</v>
      </c>
      <c r="BT707" t="str">
        <f>HYPERLINK("https%3A%2F%2Fwww.webofscience.com%2Fwos%2Fwoscc%2Ffull-record%2FWOS:000660866600001","View Full Record in Web of Science")</f>
        <v>View Full Record in Web of Science</v>
      </c>
    </row>
    <row r="708" spans="1:72" x14ac:dyDescent="0.15">
      <c r="A708" t="s">
        <v>72</v>
      </c>
      <c r="B708" t="s">
        <v>13860</v>
      </c>
      <c r="C708" t="s">
        <v>74</v>
      </c>
      <c r="D708" t="s">
        <v>74</v>
      </c>
      <c r="E708" t="s">
        <v>74</v>
      </c>
      <c r="F708" t="s">
        <v>13861</v>
      </c>
      <c r="G708" t="s">
        <v>74</v>
      </c>
      <c r="H708" t="s">
        <v>74</v>
      </c>
      <c r="I708" t="s">
        <v>13862</v>
      </c>
      <c r="J708" t="s">
        <v>13863</v>
      </c>
      <c r="K708" t="s">
        <v>74</v>
      </c>
      <c r="L708" t="s">
        <v>74</v>
      </c>
      <c r="M708" t="s">
        <v>78</v>
      </c>
      <c r="N708" t="s">
        <v>700</v>
      </c>
      <c r="O708" t="s">
        <v>74</v>
      </c>
      <c r="P708" t="s">
        <v>74</v>
      </c>
      <c r="Q708" t="s">
        <v>74</v>
      </c>
      <c r="R708" t="s">
        <v>74</v>
      </c>
      <c r="S708" t="s">
        <v>74</v>
      </c>
      <c r="T708" t="s">
        <v>13864</v>
      </c>
      <c r="U708" t="s">
        <v>13865</v>
      </c>
      <c r="V708" t="s">
        <v>13866</v>
      </c>
      <c r="W708" t="s">
        <v>13867</v>
      </c>
      <c r="X708" t="s">
        <v>13868</v>
      </c>
      <c r="Y708" t="s">
        <v>13869</v>
      </c>
      <c r="Z708" t="s">
        <v>13870</v>
      </c>
      <c r="AA708" t="s">
        <v>74</v>
      </c>
      <c r="AB708" t="s">
        <v>13871</v>
      </c>
      <c r="AC708" t="s">
        <v>74</v>
      </c>
      <c r="AD708" t="s">
        <v>74</v>
      </c>
      <c r="AE708" t="s">
        <v>74</v>
      </c>
      <c r="AF708" t="s">
        <v>74</v>
      </c>
      <c r="AG708">
        <v>338</v>
      </c>
      <c r="AH708">
        <v>2</v>
      </c>
      <c r="AI708">
        <v>2</v>
      </c>
      <c r="AJ708">
        <v>0</v>
      </c>
      <c r="AK708">
        <v>3</v>
      </c>
      <c r="AL708" t="s">
        <v>13872</v>
      </c>
      <c r="AM708" t="s">
        <v>13873</v>
      </c>
      <c r="AN708" t="s">
        <v>13874</v>
      </c>
      <c r="AO708" t="s">
        <v>13875</v>
      </c>
      <c r="AP708" t="s">
        <v>13876</v>
      </c>
      <c r="AQ708" t="s">
        <v>74</v>
      </c>
      <c r="AR708" t="s">
        <v>13863</v>
      </c>
      <c r="AS708" t="s">
        <v>13877</v>
      </c>
      <c r="AT708" t="s">
        <v>13723</v>
      </c>
      <c r="AU708">
        <v>2021</v>
      </c>
      <c r="AV708">
        <v>4980</v>
      </c>
      <c r="AW708">
        <v>2</v>
      </c>
      <c r="AX708" t="s">
        <v>74</v>
      </c>
      <c r="AY708" t="s">
        <v>74</v>
      </c>
      <c r="AZ708" t="s">
        <v>74</v>
      </c>
      <c r="BA708" t="s">
        <v>74</v>
      </c>
      <c r="BB708">
        <v>201</v>
      </c>
      <c r="BC708">
        <v>255</v>
      </c>
      <c r="BD708" t="s">
        <v>74</v>
      </c>
      <c r="BE708" t="s">
        <v>13878</v>
      </c>
      <c r="BF708" t="str">
        <f>HYPERLINK("http://dx.doi.org/10.11646/zootaxa.4980.2.1","http://dx.doi.org/10.11646/zootaxa.4980.2.1")</f>
        <v>http://dx.doi.org/10.11646/zootaxa.4980.2.1</v>
      </c>
      <c r="BG708" t="s">
        <v>74</v>
      </c>
      <c r="BH708" t="s">
        <v>74</v>
      </c>
      <c r="BI708">
        <v>55</v>
      </c>
      <c r="BJ708" t="s">
        <v>2197</v>
      </c>
      <c r="BK708" t="s">
        <v>128</v>
      </c>
      <c r="BL708" t="s">
        <v>2197</v>
      </c>
      <c r="BM708" t="s">
        <v>13879</v>
      </c>
      <c r="BN708">
        <v>34186982</v>
      </c>
      <c r="BO708" t="s">
        <v>74</v>
      </c>
      <c r="BP708" t="s">
        <v>74</v>
      </c>
      <c r="BQ708" t="s">
        <v>74</v>
      </c>
      <c r="BR708" t="s">
        <v>102</v>
      </c>
      <c r="BS708" t="s">
        <v>13880</v>
      </c>
      <c r="BT708" t="str">
        <f>HYPERLINK("https%3A%2F%2Fwww.webofscience.com%2Fwos%2Fwoscc%2Ffull-record%2FWOS:000659469200001","View Full Record in Web of Science")</f>
        <v>View Full Record in Web of Science</v>
      </c>
    </row>
    <row r="709" spans="1:72" x14ac:dyDescent="0.15">
      <c r="A709" t="s">
        <v>72</v>
      </c>
      <c r="B709" t="s">
        <v>13881</v>
      </c>
      <c r="C709" t="s">
        <v>74</v>
      </c>
      <c r="D709" t="s">
        <v>74</v>
      </c>
      <c r="E709" t="s">
        <v>74</v>
      </c>
      <c r="F709" t="s">
        <v>13882</v>
      </c>
      <c r="G709" t="s">
        <v>74</v>
      </c>
      <c r="H709" t="s">
        <v>74</v>
      </c>
      <c r="I709" t="s">
        <v>13883</v>
      </c>
      <c r="J709" t="s">
        <v>1404</v>
      </c>
      <c r="K709" t="s">
        <v>74</v>
      </c>
      <c r="L709" t="s">
        <v>74</v>
      </c>
      <c r="M709" t="s">
        <v>78</v>
      </c>
      <c r="N709" t="s">
        <v>79</v>
      </c>
      <c r="O709" t="s">
        <v>74</v>
      </c>
      <c r="P709" t="s">
        <v>74</v>
      </c>
      <c r="Q709" t="s">
        <v>74</v>
      </c>
      <c r="R709" t="s">
        <v>74</v>
      </c>
      <c r="S709" t="s">
        <v>74</v>
      </c>
      <c r="T709" t="s">
        <v>13884</v>
      </c>
      <c r="U709" t="s">
        <v>13885</v>
      </c>
      <c r="V709" t="s">
        <v>13886</v>
      </c>
      <c r="W709" t="s">
        <v>13887</v>
      </c>
      <c r="X709" t="s">
        <v>13888</v>
      </c>
      <c r="Y709" t="s">
        <v>13889</v>
      </c>
      <c r="Z709" t="s">
        <v>13890</v>
      </c>
      <c r="AA709" t="s">
        <v>13891</v>
      </c>
      <c r="AB709" t="s">
        <v>13892</v>
      </c>
      <c r="AC709" t="s">
        <v>13893</v>
      </c>
      <c r="AD709" t="s">
        <v>13893</v>
      </c>
      <c r="AE709" t="s">
        <v>13894</v>
      </c>
      <c r="AF709" t="s">
        <v>74</v>
      </c>
      <c r="AG709">
        <v>75</v>
      </c>
      <c r="AH709">
        <v>5</v>
      </c>
      <c r="AI709">
        <v>5</v>
      </c>
      <c r="AJ709">
        <v>2</v>
      </c>
      <c r="AK709">
        <v>13</v>
      </c>
      <c r="AL709" t="s">
        <v>1101</v>
      </c>
      <c r="AM709" t="s">
        <v>1102</v>
      </c>
      <c r="AN709" t="s">
        <v>1103</v>
      </c>
      <c r="AO709" t="s">
        <v>74</v>
      </c>
      <c r="AP709" t="s">
        <v>1417</v>
      </c>
      <c r="AQ709" t="s">
        <v>74</v>
      </c>
      <c r="AR709" t="s">
        <v>1418</v>
      </c>
      <c r="AS709" t="s">
        <v>1419</v>
      </c>
      <c r="AT709" t="s">
        <v>4571</v>
      </c>
      <c r="AU709">
        <v>2021</v>
      </c>
      <c r="AV709">
        <v>13</v>
      </c>
      <c r="AW709">
        <v>11</v>
      </c>
      <c r="AX709" t="s">
        <v>74</v>
      </c>
      <c r="AY709" t="s">
        <v>74</v>
      </c>
      <c r="AZ709" t="s">
        <v>74</v>
      </c>
      <c r="BA709" t="s">
        <v>74</v>
      </c>
      <c r="BB709" t="s">
        <v>74</v>
      </c>
      <c r="BC709" t="s">
        <v>74</v>
      </c>
      <c r="BD709">
        <v>2199</v>
      </c>
      <c r="BE709" t="s">
        <v>13895</v>
      </c>
      <c r="BF709" t="str">
        <f>HYPERLINK("http://dx.doi.org/10.3390/rs13112199","http://dx.doi.org/10.3390/rs13112199")</f>
        <v>http://dx.doi.org/10.3390/rs13112199</v>
      </c>
      <c r="BG709" t="s">
        <v>74</v>
      </c>
      <c r="BH709" t="s">
        <v>74</v>
      </c>
      <c r="BI709">
        <v>22</v>
      </c>
      <c r="BJ709" t="s">
        <v>1421</v>
      </c>
      <c r="BK709" t="s">
        <v>128</v>
      </c>
      <c r="BL709" t="s">
        <v>1422</v>
      </c>
      <c r="BM709" t="s">
        <v>13896</v>
      </c>
      <c r="BN709" t="s">
        <v>74</v>
      </c>
      <c r="BO709" t="s">
        <v>1377</v>
      </c>
      <c r="BP709" t="s">
        <v>74</v>
      </c>
      <c r="BQ709" t="s">
        <v>74</v>
      </c>
      <c r="BR709" t="s">
        <v>102</v>
      </c>
      <c r="BS709" t="s">
        <v>13897</v>
      </c>
      <c r="BT709" t="str">
        <f>HYPERLINK("https%3A%2F%2Fwww.webofscience.com%2Fwos%2Fwoscc%2Ffull-record%2FWOS:000660598200001","View Full Record in Web of Science")</f>
        <v>View Full Record in Web of Science</v>
      </c>
    </row>
    <row r="710" spans="1:72" x14ac:dyDescent="0.15">
      <c r="A710" t="s">
        <v>72</v>
      </c>
      <c r="B710" t="s">
        <v>13898</v>
      </c>
      <c r="C710" t="s">
        <v>74</v>
      </c>
      <c r="D710" t="s">
        <v>74</v>
      </c>
      <c r="E710" t="s">
        <v>74</v>
      </c>
      <c r="F710" t="s">
        <v>13899</v>
      </c>
      <c r="G710" t="s">
        <v>74</v>
      </c>
      <c r="H710" t="s">
        <v>74</v>
      </c>
      <c r="I710" t="s">
        <v>13900</v>
      </c>
      <c r="J710" t="s">
        <v>2013</v>
      </c>
      <c r="K710" t="s">
        <v>74</v>
      </c>
      <c r="L710" t="s">
        <v>74</v>
      </c>
      <c r="M710" t="s">
        <v>78</v>
      </c>
      <c r="N710" t="s">
        <v>79</v>
      </c>
      <c r="O710" t="s">
        <v>74</v>
      </c>
      <c r="P710" t="s">
        <v>74</v>
      </c>
      <c r="Q710" t="s">
        <v>74</v>
      </c>
      <c r="R710" t="s">
        <v>74</v>
      </c>
      <c r="S710" t="s">
        <v>74</v>
      </c>
      <c r="T710" t="s">
        <v>13901</v>
      </c>
      <c r="U710" t="s">
        <v>13902</v>
      </c>
      <c r="V710" t="s">
        <v>13903</v>
      </c>
      <c r="W710" t="s">
        <v>13904</v>
      </c>
      <c r="X710" t="s">
        <v>13905</v>
      </c>
      <c r="Y710" t="s">
        <v>13906</v>
      </c>
      <c r="Z710" t="s">
        <v>13907</v>
      </c>
      <c r="AA710" t="s">
        <v>13908</v>
      </c>
      <c r="AB710" t="s">
        <v>13909</v>
      </c>
      <c r="AC710" t="s">
        <v>13910</v>
      </c>
      <c r="AD710" t="s">
        <v>13911</v>
      </c>
      <c r="AE710" t="s">
        <v>13912</v>
      </c>
      <c r="AF710" t="s">
        <v>74</v>
      </c>
      <c r="AG710">
        <v>47</v>
      </c>
      <c r="AH710">
        <v>3</v>
      </c>
      <c r="AI710">
        <v>3</v>
      </c>
      <c r="AJ710">
        <v>1</v>
      </c>
      <c r="AK710">
        <v>18</v>
      </c>
      <c r="AL710" t="s">
        <v>557</v>
      </c>
      <c r="AM710" t="s">
        <v>558</v>
      </c>
      <c r="AN710" t="s">
        <v>559</v>
      </c>
      <c r="AO710" t="s">
        <v>2023</v>
      </c>
      <c r="AP710" t="s">
        <v>2024</v>
      </c>
      <c r="AQ710" t="s">
        <v>74</v>
      </c>
      <c r="AR710" t="s">
        <v>2025</v>
      </c>
      <c r="AS710" t="s">
        <v>2026</v>
      </c>
      <c r="AT710" t="s">
        <v>4571</v>
      </c>
      <c r="AU710">
        <v>2021</v>
      </c>
      <c r="AV710">
        <v>34</v>
      </c>
      <c r="AW710">
        <v>12</v>
      </c>
      <c r="AX710" t="s">
        <v>74</v>
      </c>
      <c r="AY710" t="s">
        <v>74</v>
      </c>
      <c r="AZ710" t="s">
        <v>74</v>
      </c>
      <c r="BA710" t="s">
        <v>74</v>
      </c>
      <c r="BB710">
        <v>4661</v>
      </c>
      <c r="BC710">
        <v>4674</v>
      </c>
      <c r="BD710" t="s">
        <v>74</v>
      </c>
      <c r="BE710" t="s">
        <v>13913</v>
      </c>
      <c r="BF710" t="str">
        <f>HYPERLINK("http://dx.doi.org/10.1175/JCLI-D-20-0615.1","http://dx.doi.org/10.1175/JCLI-D-20-0615.1")</f>
        <v>http://dx.doi.org/10.1175/JCLI-D-20-0615.1</v>
      </c>
      <c r="BG710" t="s">
        <v>74</v>
      </c>
      <c r="BH710" t="s">
        <v>74</v>
      </c>
      <c r="BI710">
        <v>14</v>
      </c>
      <c r="BJ710" t="s">
        <v>567</v>
      </c>
      <c r="BK710" t="s">
        <v>128</v>
      </c>
      <c r="BL710" t="s">
        <v>567</v>
      </c>
      <c r="BM710" t="s">
        <v>13914</v>
      </c>
      <c r="BN710" t="s">
        <v>74</v>
      </c>
      <c r="BO710" t="s">
        <v>661</v>
      </c>
      <c r="BP710" t="s">
        <v>74</v>
      </c>
      <c r="BQ710" t="s">
        <v>74</v>
      </c>
      <c r="BR710" t="s">
        <v>102</v>
      </c>
      <c r="BS710" t="s">
        <v>13915</v>
      </c>
      <c r="BT710" t="str">
        <f>HYPERLINK("https%3A%2F%2Fwww.webofscience.com%2Fwos%2Fwoscc%2Ffull-record%2FWOS:000655123900001","View Full Record in Web of Science")</f>
        <v>View Full Record in Web of Science</v>
      </c>
    </row>
    <row r="711" spans="1:72" x14ac:dyDescent="0.15">
      <c r="A711" t="s">
        <v>72</v>
      </c>
      <c r="B711" t="s">
        <v>13916</v>
      </c>
      <c r="C711" t="s">
        <v>74</v>
      </c>
      <c r="D711" t="s">
        <v>74</v>
      </c>
      <c r="E711" t="s">
        <v>74</v>
      </c>
      <c r="F711" t="s">
        <v>13917</v>
      </c>
      <c r="G711" t="s">
        <v>74</v>
      </c>
      <c r="H711" t="s">
        <v>74</v>
      </c>
      <c r="I711" t="s">
        <v>13918</v>
      </c>
      <c r="J711" t="s">
        <v>2013</v>
      </c>
      <c r="K711" t="s">
        <v>74</v>
      </c>
      <c r="L711" t="s">
        <v>74</v>
      </c>
      <c r="M711" t="s">
        <v>78</v>
      </c>
      <c r="N711" t="s">
        <v>79</v>
      </c>
      <c r="O711" t="s">
        <v>74</v>
      </c>
      <c r="P711" t="s">
        <v>74</v>
      </c>
      <c r="Q711" t="s">
        <v>74</v>
      </c>
      <c r="R711" t="s">
        <v>74</v>
      </c>
      <c r="S711" t="s">
        <v>74</v>
      </c>
      <c r="T711" t="s">
        <v>13919</v>
      </c>
      <c r="U711" t="s">
        <v>13920</v>
      </c>
      <c r="V711" t="s">
        <v>13921</v>
      </c>
      <c r="W711" t="s">
        <v>13922</v>
      </c>
      <c r="X711" t="s">
        <v>7116</v>
      </c>
      <c r="Y711" t="s">
        <v>13923</v>
      </c>
      <c r="Z711" t="s">
        <v>13924</v>
      </c>
      <c r="AA711" t="s">
        <v>13925</v>
      </c>
      <c r="AB711" t="s">
        <v>13926</v>
      </c>
      <c r="AC711" t="s">
        <v>13927</v>
      </c>
      <c r="AD711" t="s">
        <v>13928</v>
      </c>
      <c r="AE711" t="s">
        <v>13929</v>
      </c>
      <c r="AF711" t="s">
        <v>74</v>
      </c>
      <c r="AG711">
        <v>31</v>
      </c>
      <c r="AH711">
        <v>5</v>
      </c>
      <c r="AI711">
        <v>6</v>
      </c>
      <c r="AJ711">
        <v>0</v>
      </c>
      <c r="AK711">
        <v>3</v>
      </c>
      <c r="AL711" t="s">
        <v>557</v>
      </c>
      <c r="AM711" t="s">
        <v>558</v>
      </c>
      <c r="AN711" t="s">
        <v>584</v>
      </c>
      <c r="AO711" t="s">
        <v>2023</v>
      </c>
      <c r="AP711" t="s">
        <v>2024</v>
      </c>
      <c r="AQ711" t="s">
        <v>74</v>
      </c>
      <c r="AR711" t="s">
        <v>2025</v>
      </c>
      <c r="AS711" t="s">
        <v>2026</v>
      </c>
      <c r="AT711" t="s">
        <v>4571</v>
      </c>
      <c r="AU711">
        <v>2021</v>
      </c>
      <c r="AV711">
        <v>34</v>
      </c>
      <c r="AW711">
        <v>12</v>
      </c>
      <c r="AX711" t="s">
        <v>74</v>
      </c>
      <c r="AY711" t="s">
        <v>74</v>
      </c>
      <c r="AZ711" t="s">
        <v>74</v>
      </c>
      <c r="BA711" t="s">
        <v>74</v>
      </c>
      <c r="BB711">
        <v>4771</v>
      </c>
      <c r="BC711">
        <v>4783</v>
      </c>
      <c r="BD711" t="s">
        <v>74</v>
      </c>
      <c r="BE711" t="s">
        <v>13930</v>
      </c>
      <c r="BF711" t="str">
        <f>HYPERLINK("http://dx.doi.org/10.1175/JCLI-D-20-0748.1","http://dx.doi.org/10.1175/JCLI-D-20-0748.1")</f>
        <v>http://dx.doi.org/10.1175/JCLI-D-20-0748.1</v>
      </c>
      <c r="BG711" t="s">
        <v>74</v>
      </c>
      <c r="BH711" t="s">
        <v>74</v>
      </c>
      <c r="BI711">
        <v>13</v>
      </c>
      <c r="BJ711" t="s">
        <v>567</v>
      </c>
      <c r="BK711" t="s">
        <v>128</v>
      </c>
      <c r="BL711" t="s">
        <v>567</v>
      </c>
      <c r="BM711" t="s">
        <v>13914</v>
      </c>
      <c r="BN711" t="s">
        <v>74</v>
      </c>
      <c r="BO711" t="s">
        <v>338</v>
      </c>
      <c r="BP711" t="s">
        <v>74</v>
      </c>
      <c r="BQ711" t="s">
        <v>74</v>
      </c>
      <c r="BR711" t="s">
        <v>102</v>
      </c>
      <c r="BS711" t="s">
        <v>13931</v>
      </c>
      <c r="BT711" t="str">
        <f>HYPERLINK("https%3A%2F%2Fwww.webofscience.com%2Fwos%2Fwoscc%2Ffull-record%2FWOS:000655123900007","View Full Record in Web of Science")</f>
        <v>View Full Record in Web of Science</v>
      </c>
    </row>
    <row r="712" spans="1:72" x14ac:dyDescent="0.15">
      <c r="A712" t="s">
        <v>72</v>
      </c>
      <c r="B712" t="s">
        <v>13932</v>
      </c>
      <c r="C712" t="s">
        <v>74</v>
      </c>
      <c r="D712" t="s">
        <v>74</v>
      </c>
      <c r="E712" t="s">
        <v>74</v>
      </c>
      <c r="F712" t="s">
        <v>13933</v>
      </c>
      <c r="G712" t="s">
        <v>74</v>
      </c>
      <c r="H712" t="s">
        <v>74</v>
      </c>
      <c r="I712" t="s">
        <v>13934</v>
      </c>
      <c r="J712" t="s">
        <v>2862</v>
      </c>
      <c r="K712" t="s">
        <v>74</v>
      </c>
      <c r="L712" t="s">
        <v>74</v>
      </c>
      <c r="M712" t="s">
        <v>78</v>
      </c>
      <c r="N712" t="s">
        <v>79</v>
      </c>
      <c r="O712" t="s">
        <v>74</v>
      </c>
      <c r="P712" t="s">
        <v>74</v>
      </c>
      <c r="Q712" t="s">
        <v>74</v>
      </c>
      <c r="R712" t="s">
        <v>74</v>
      </c>
      <c r="S712" t="s">
        <v>74</v>
      </c>
      <c r="T712" t="s">
        <v>13935</v>
      </c>
      <c r="U712" t="s">
        <v>13936</v>
      </c>
      <c r="V712" t="s">
        <v>13937</v>
      </c>
      <c r="W712" t="s">
        <v>13938</v>
      </c>
      <c r="X712" t="s">
        <v>13939</v>
      </c>
      <c r="Y712" t="s">
        <v>13940</v>
      </c>
      <c r="Z712" t="s">
        <v>13941</v>
      </c>
      <c r="AA712" t="s">
        <v>13942</v>
      </c>
      <c r="AB712" t="s">
        <v>13943</v>
      </c>
      <c r="AC712" t="s">
        <v>13944</v>
      </c>
      <c r="AD712" t="s">
        <v>13945</v>
      </c>
      <c r="AE712" t="s">
        <v>13946</v>
      </c>
      <c r="AF712" t="s">
        <v>74</v>
      </c>
      <c r="AG712">
        <v>118</v>
      </c>
      <c r="AH712">
        <v>3</v>
      </c>
      <c r="AI712">
        <v>3</v>
      </c>
      <c r="AJ712">
        <v>1</v>
      </c>
      <c r="AK712">
        <v>6</v>
      </c>
      <c r="AL712" t="s">
        <v>450</v>
      </c>
      <c r="AM712" t="s">
        <v>650</v>
      </c>
      <c r="AN712" t="s">
        <v>1957</v>
      </c>
      <c r="AO712" t="s">
        <v>2874</v>
      </c>
      <c r="AP712" t="s">
        <v>2875</v>
      </c>
      <c r="AQ712" t="s">
        <v>74</v>
      </c>
      <c r="AR712" t="s">
        <v>2876</v>
      </c>
      <c r="AS712" t="s">
        <v>2877</v>
      </c>
      <c r="AT712" t="s">
        <v>430</v>
      </c>
      <c r="AU712">
        <v>2021</v>
      </c>
      <c r="AV712">
        <v>44</v>
      </c>
      <c r="AW712">
        <v>7</v>
      </c>
      <c r="AX712" t="s">
        <v>74</v>
      </c>
      <c r="AY712" t="s">
        <v>74</v>
      </c>
      <c r="AZ712" t="s">
        <v>74</v>
      </c>
      <c r="BA712" t="s">
        <v>74</v>
      </c>
      <c r="BB712">
        <v>1365</v>
      </c>
      <c r="BC712">
        <v>1377</v>
      </c>
      <c r="BD712" t="s">
        <v>74</v>
      </c>
      <c r="BE712" t="s">
        <v>13947</v>
      </c>
      <c r="BF712" t="str">
        <f>HYPERLINK("http://dx.doi.org/10.1007/s00300-021-02885-6","http://dx.doi.org/10.1007/s00300-021-02885-6")</f>
        <v>http://dx.doi.org/10.1007/s00300-021-02885-6</v>
      </c>
      <c r="BG712" t="s">
        <v>74</v>
      </c>
      <c r="BH712" t="s">
        <v>8134</v>
      </c>
      <c r="BI712">
        <v>13</v>
      </c>
      <c r="BJ712" t="s">
        <v>1883</v>
      </c>
      <c r="BK712" t="s">
        <v>128</v>
      </c>
      <c r="BL712" t="s">
        <v>207</v>
      </c>
      <c r="BM712" t="s">
        <v>10717</v>
      </c>
      <c r="BN712">
        <v>34092908</v>
      </c>
      <c r="BO712" t="s">
        <v>7579</v>
      </c>
      <c r="BP712" t="s">
        <v>74</v>
      </c>
      <c r="BQ712" t="s">
        <v>74</v>
      </c>
      <c r="BR712" t="s">
        <v>102</v>
      </c>
      <c r="BS712" t="s">
        <v>13948</v>
      </c>
      <c r="BT712" t="str">
        <f>HYPERLINK("https%3A%2F%2Fwww.webofscience.com%2Fwos%2Fwoscc%2Ffull-record%2FWOS:000656770300001","View Full Record in Web of Science")</f>
        <v>View Full Record in Web of Science</v>
      </c>
    </row>
    <row r="713" spans="1:72" x14ac:dyDescent="0.15">
      <c r="A713" t="s">
        <v>72</v>
      </c>
      <c r="B713" t="s">
        <v>13949</v>
      </c>
      <c r="C713" t="s">
        <v>74</v>
      </c>
      <c r="D713" t="s">
        <v>74</v>
      </c>
      <c r="E713" t="s">
        <v>74</v>
      </c>
      <c r="F713" t="s">
        <v>13950</v>
      </c>
      <c r="G713" t="s">
        <v>74</v>
      </c>
      <c r="H713" t="s">
        <v>74</v>
      </c>
      <c r="I713" t="s">
        <v>13951</v>
      </c>
      <c r="J713" t="s">
        <v>5427</v>
      </c>
      <c r="K713" t="s">
        <v>74</v>
      </c>
      <c r="L713" t="s">
        <v>74</v>
      </c>
      <c r="M713" t="s">
        <v>78</v>
      </c>
      <c r="N713" t="s">
        <v>79</v>
      </c>
      <c r="O713" t="s">
        <v>74</v>
      </c>
      <c r="P713" t="s">
        <v>74</v>
      </c>
      <c r="Q713" t="s">
        <v>74</v>
      </c>
      <c r="R713" t="s">
        <v>74</v>
      </c>
      <c r="S713" t="s">
        <v>74</v>
      </c>
      <c r="T713" t="s">
        <v>13952</v>
      </c>
      <c r="U713" t="s">
        <v>13953</v>
      </c>
      <c r="V713" t="s">
        <v>13954</v>
      </c>
      <c r="W713" t="s">
        <v>13955</v>
      </c>
      <c r="X713" t="s">
        <v>13956</v>
      </c>
      <c r="Y713" t="s">
        <v>13957</v>
      </c>
      <c r="Z713" t="s">
        <v>13958</v>
      </c>
      <c r="AA713" t="s">
        <v>13959</v>
      </c>
      <c r="AB713" t="s">
        <v>13960</v>
      </c>
      <c r="AC713" t="s">
        <v>13961</v>
      </c>
      <c r="AD713" t="s">
        <v>13962</v>
      </c>
      <c r="AE713" t="s">
        <v>13963</v>
      </c>
      <c r="AF713" t="s">
        <v>74</v>
      </c>
      <c r="AG713">
        <v>45</v>
      </c>
      <c r="AH713">
        <v>5</v>
      </c>
      <c r="AI713">
        <v>5</v>
      </c>
      <c r="AJ713">
        <v>2</v>
      </c>
      <c r="AK713">
        <v>28</v>
      </c>
      <c r="AL713" t="s">
        <v>5440</v>
      </c>
      <c r="AM713" t="s">
        <v>5441</v>
      </c>
      <c r="AN713" t="s">
        <v>5442</v>
      </c>
      <c r="AO713" t="s">
        <v>5443</v>
      </c>
      <c r="AP713" t="s">
        <v>5444</v>
      </c>
      <c r="AQ713" t="s">
        <v>74</v>
      </c>
      <c r="AR713" t="s">
        <v>5445</v>
      </c>
      <c r="AS713" t="s">
        <v>5446</v>
      </c>
      <c r="AT713" t="s">
        <v>4571</v>
      </c>
      <c r="AU713">
        <v>2021</v>
      </c>
      <c r="AV713">
        <v>59</v>
      </c>
      <c r="AW713">
        <v>6</v>
      </c>
      <c r="AX713" t="s">
        <v>74</v>
      </c>
      <c r="AY713" t="s">
        <v>74</v>
      </c>
      <c r="AZ713" t="s">
        <v>74</v>
      </c>
      <c r="BA713" t="s">
        <v>74</v>
      </c>
      <c r="BB713">
        <v>5272</v>
      </c>
      <c r="BC713">
        <v>5279</v>
      </c>
      <c r="BD713" t="s">
        <v>74</v>
      </c>
      <c r="BE713" t="s">
        <v>13964</v>
      </c>
      <c r="BF713" t="str">
        <f>HYPERLINK("http://dx.doi.org/10.1109/TGRS.2020.3004829","http://dx.doi.org/10.1109/TGRS.2020.3004829")</f>
        <v>http://dx.doi.org/10.1109/TGRS.2020.3004829</v>
      </c>
      <c r="BG713" t="s">
        <v>74</v>
      </c>
      <c r="BH713" t="s">
        <v>74</v>
      </c>
      <c r="BI713">
        <v>8</v>
      </c>
      <c r="BJ713" t="s">
        <v>5448</v>
      </c>
      <c r="BK713" t="s">
        <v>128</v>
      </c>
      <c r="BL713" t="s">
        <v>5449</v>
      </c>
      <c r="BM713" t="s">
        <v>13965</v>
      </c>
      <c r="BN713" t="s">
        <v>74</v>
      </c>
      <c r="BO713" t="s">
        <v>74</v>
      </c>
      <c r="BP713" t="s">
        <v>74</v>
      </c>
      <c r="BQ713" t="s">
        <v>74</v>
      </c>
      <c r="BR713" t="s">
        <v>102</v>
      </c>
      <c r="BS713" t="s">
        <v>13966</v>
      </c>
      <c r="BT713" t="str">
        <f>HYPERLINK("https%3A%2F%2Fwww.webofscience.com%2Fwos%2Fwoscc%2Ffull-record%2FWOS:000652834200057","View Full Record in Web of Science")</f>
        <v>View Full Record in Web of Science</v>
      </c>
    </row>
    <row r="714" spans="1:72" x14ac:dyDescent="0.15">
      <c r="A714" t="s">
        <v>72</v>
      </c>
      <c r="B714" t="s">
        <v>13967</v>
      </c>
      <c r="C714" t="s">
        <v>74</v>
      </c>
      <c r="D714" t="s">
        <v>74</v>
      </c>
      <c r="E714" t="s">
        <v>74</v>
      </c>
      <c r="F714" t="s">
        <v>13968</v>
      </c>
      <c r="G714" t="s">
        <v>74</v>
      </c>
      <c r="H714" t="s">
        <v>74</v>
      </c>
      <c r="I714" t="s">
        <v>13969</v>
      </c>
      <c r="J714" t="s">
        <v>13970</v>
      </c>
      <c r="K714" t="s">
        <v>74</v>
      </c>
      <c r="L714" t="s">
        <v>74</v>
      </c>
      <c r="M714" t="s">
        <v>78</v>
      </c>
      <c r="N714" t="s">
        <v>79</v>
      </c>
      <c r="O714" t="s">
        <v>74</v>
      </c>
      <c r="P714" t="s">
        <v>74</v>
      </c>
      <c r="Q714" t="s">
        <v>74</v>
      </c>
      <c r="R714" t="s">
        <v>74</v>
      </c>
      <c r="S714" t="s">
        <v>74</v>
      </c>
      <c r="T714" t="s">
        <v>13971</v>
      </c>
      <c r="U714" t="s">
        <v>13972</v>
      </c>
      <c r="V714" t="s">
        <v>13973</v>
      </c>
      <c r="W714" t="s">
        <v>13974</v>
      </c>
      <c r="X714" t="s">
        <v>13975</v>
      </c>
      <c r="Y714" t="s">
        <v>13976</v>
      </c>
      <c r="Z714" t="s">
        <v>13977</v>
      </c>
      <c r="AA714" t="s">
        <v>13978</v>
      </c>
      <c r="AB714" t="s">
        <v>13979</v>
      </c>
      <c r="AC714" t="s">
        <v>13980</v>
      </c>
      <c r="AD714" t="s">
        <v>13980</v>
      </c>
      <c r="AE714" t="s">
        <v>13981</v>
      </c>
      <c r="AF714" t="s">
        <v>74</v>
      </c>
      <c r="AG714">
        <v>65</v>
      </c>
      <c r="AH714">
        <v>5</v>
      </c>
      <c r="AI714">
        <v>6</v>
      </c>
      <c r="AJ714">
        <v>2</v>
      </c>
      <c r="AK714">
        <v>25</v>
      </c>
      <c r="AL714" t="s">
        <v>450</v>
      </c>
      <c r="AM714" t="s">
        <v>451</v>
      </c>
      <c r="AN714" t="s">
        <v>452</v>
      </c>
      <c r="AO714" t="s">
        <v>13982</v>
      </c>
      <c r="AP714" t="s">
        <v>13983</v>
      </c>
      <c r="AQ714" t="s">
        <v>74</v>
      </c>
      <c r="AR714" t="s">
        <v>13970</v>
      </c>
      <c r="AS714" t="s">
        <v>13984</v>
      </c>
      <c r="AT714" t="s">
        <v>4571</v>
      </c>
      <c r="AU714">
        <v>2021</v>
      </c>
      <c r="AV714">
        <v>41</v>
      </c>
      <c r="AW714">
        <v>5</v>
      </c>
      <c r="AX714" t="s">
        <v>74</v>
      </c>
      <c r="AY714" t="s">
        <v>74</v>
      </c>
      <c r="AZ714" t="s">
        <v>74</v>
      </c>
      <c r="BA714" t="s">
        <v>74</v>
      </c>
      <c r="BB714" t="s">
        <v>74</v>
      </c>
      <c r="BC714" t="s">
        <v>74</v>
      </c>
      <c r="BD714">
        <v>65</v>
      </c>
      <c r="BE714" t="s">
        <v>13985</v>
      </c>
      <c r="BF714" t="str">
        <f>HYPERLINK("http://dx.doi.org/10.1007/s13157-021-01460-3","http://dx.doi.org/10.1007/s13157-021-01460-3")</f>
        <v>http://dx.doi.org/10.1007/s13157-021-01460-3</v>
      </c>
      <c r="BG714" t="s">
        <v>74</v>
      </c>
      <c r="BH714" t="s">
        <v>74</v>
      </c>
      <c r="BI714">
        <v>13</v>
      </c>
      <c r="BJ714" t="s">
        <v>8407</v>
      </c>
      <c r="BK714" t="s">
        <v>128</v>
      </c>
      <c r="BL714" t="s">
        <v>263</v>
      </c>
      <c r="BM714" t="s">
        <v>13986</v>
      </c>
      <c r="BN714" t="s">
        <v>74</v>
      </c>
      <c r="BO714" t="s">
        <v>408</v>
      </c>
      <c r="BP714" t="s">
        <v>74</v>
      </c>
      <c r="BQ714" t="s">
        <v>74</v>
      </c>
      <c r="BR714" t="s">
        <v>102</v>
      </c>
      <c r="BS714" t="s">
        <v>13987</v>
      </c>
      <c r="BT714" t="str">
        <f>HYPERLINK("https%3A%2F%2Fwww.webofscience.com%2Fwos%2Fwoscc%2Ffull-record%2FWOS:000658164700001","View Full Record in Web of Science")</f>
        <v>View Full Record in Web of Science</v>
      </c>
    </row>
    <row r="715" spans="1:72" x14ac:dyDescent="0.15">
      <c r="A715" t="s">
        <v>72</v>
      </c>
      <c r="B715" t="s">
        <v>13988</v>
      </c>
      <c r="C715" t="s">
        <v>74</v>
      </c>
      <c r="D715" t="s">
        <v>74</v>
      </c>
      <c r="E715" t="s">
        <v>74</v>
      </c>
      <c r="F715" t="s">
        <v>13989</v>
      </c>
      <c r="G715" t="s">
        <v>74</v>
      </c>
      <c r="H715" t="s">
        <v>74</v>
      </c>
      <c r="I715" t="s">
        <v>13990</v>
      </c>
      <c r="J715" t="s">
        <v>2204</v>
      </c>
      <c r="K715" t="s">
        <v>74</v>
      </c>
      <c r="L715" t="s">
        <v>74</v>
      </c>
      <c r="M715" t="s">
        <v>78</v>
      </c>
      <c r="N715" t="s">
        <v>700</v>
      </c>
      <c r="O715" t="s">
        <v>74</v>
      </c>
      <c r="P715" t="s">
        <v>74</v>
      </c>
      <c r="Q715" t="s">
        <v>74</v>
      </c>
      <c r="R715" t="s">
        <v>74</v>
      </c>
      <c r="S715" t="s">
        <v>74</v>
      </c>
      <c r="T715" t="s">
        <v>13991</v>
      </c>
      <c r="U715" t="s">
        <v>13992</v>
      </c>
      <c r="V715" t="s">
        <v>13993</v>
      </c>
      <c r="W715" t="s">
        <v>13994</v>
      </c>
      <c r="X715" t="s">
        <v>13995</v>
      </c>
      <c r="Y715" t="s">
        <v>13996</v>
      </c>
      <c r="Z715" t="s">
        <v>13997</v>
      </c>
      <c r="AA715" t="s">
        <v>13998</v>
      </c>
      <c r="AB715" t="s">
        <v>13999</v>
      </c>
      <c r="AC715" t="s">
        <v>14000</v>
      </c>
      <c r="AD715" t="s">
        <v>14001</v>
      </c>
      <c r="AE715" t="s">
        <v>14002</v>
      </c>
      <c r="AF715" t="s">
        <v>74</v>
      </c>
      <c r="AG715">
        <v>85</v>
      </c>
      <c r="AH715">
        <v>12</v>
      </c>
      <c r="AI715">
        <v>12</v>
      </c>
      <c r="AJ715">
        <v>5</v>
      </c>
      <c r="AK715">
        <v>24</v>
      </c>
      <c r="AL715" t="s">
        <v>2143</v>
      </c>
      <c r="AM715" t="s">
        <v>2144</v>
      </c>
      <c r="AN715" t="s">
        <v>2145</v>
      </c>
      <c r="AO715" t="s">
        <v>2217</v>
      </c>
      <c r="AP715" t="s">
        <v>74</v>
      </c>
      <c r="AQ715" t="s">
        <v>74</v>
      </c>
      <c r="AR715" t="s">
        <v>2218</v>
      </c>
      <c r="AS715" t="s">
        <v>2219</v>
      </c>
      <c r="AT715" t="s">
        <v>4571</v>
      </c>
      <c r="AU715">
        <v>2021</v>
      </c>
      <c r="AV715">
        <v>16</v>
      </c>
      <c r="AW715">
        <v>6</v>
      </c>
      <c r="AX715" t="s">
        <v>74</v>
      </c>
      <c r="AY715" t="s">
        <v>74</v>
      </c>
      <c r="AZ715" t="s">
        <v>74</v>
      </c>
      <c r="BA715" t="s">
        <v>74</v>
      </c>
      <c r="BB715" t="s">
        <v>74</v>
      </c>
      <c r="BC715" t="s">
        <v>74</v>
      </c>
      <c r="BD715">
        <v>63005</v>
      </c>
      <c r="BE715" t="s">
        <v>14003</v>
      </c>
      <c r="BF715" t="str">
        <f>HYPERLINK("http://dx.doi.org/10.1088/1748-9326/ac02ed","http://dx.doi.org/10.1088/1748-9326/ac02ed")</f>
        <v>http://dx.doi.org/10.1088/1748-9326/ac02ed</v>
      </c>
      <c r="BG715" t="s">
        <v>74</v>
      </c>
      <c r="BH715" t="s">
        <v>74</v>
      </c>
      <c r="BI715">
        <v>15</v>
      </c>
      <c r="BJ715" t="s">
        <v>635</v>
      </c>
      <c r="BK715" t="s">
        <v>100</v>
      </c>
      <c r="BL715" t="s">
        <v>636</v>
      </c>
      <c r="BM715" t="s">
        <v>14004</v>
      </c>
      <c r="BN715" t="s">
        <v>74</v>
      </c>
      <c r="BO715" t="s">
        <v>3248</v>
      </c>
      <c r="BP715" t="s">
        <v>74</v>
      </c>
      <c r="BQ715" t="s">
        <v>74</v>
      </c>
      <c r="BR715" t="s">
        <v>102</v>
      </c>
      <c r="BS715" t="s">
        <v>14005</v>
      </c>
      <c r="BT715" t="str">
        <f>HYPERLINK("https%3A%2F%2Fwww.webofscience.com%2Fwos%2Fwoscc%2Ffull-record%2FWOS:000657920700001","View Full Record in Web of Science")</f>
        <v>View Full Record in Web of Science</v>
      </c>
    </row>
    <row r="716" spans="1:72" x14ac:dyDescent="0.15">
      <c r="A716" t="s">
        <v>72</v>
      </c>
      <c r="B716" t="s">
        <v>14006</v>
      </c>
      <c r="C716" t="s">
        <v>74</v>
      </c>
      <c r="D716" t="s">
        <v>74</v>
      </c>
      <c r="E716" t="s">
        <v>74</v>
      </c>
      <c r="F716" t="s">
        <v>14007</v>
      </c>
      <c r="G716" t="s">
        <v>74</v>
      </c>
      <c r="H716" t="s">
        <v>74</v>
      </c>
      <c r="I716" t="s">
        <v>14008</v>
      </c>
      <c r="J716" t="s">
        <v>2204</v>
      </c>
      <c r="K716" t="s">
        <v>74</v>
      </c>
      <c r="L716" t="s">
        <v>74</v>
      </c>
      <c r="M716" t="s">
        <v>78</v>
      </c>
      <c r="N716" t="s">
        <v>79</v>
      </c>
      <c r="O716" t="s">
        <v>74</v>
      </c>
      <c r="P716" t="s">
        <v>74</v>
      </c>
      <c r="Q716" t="s">
        <v>74</v>
      </c>
      <c r="R716" t="s">
        <v>74</v>
      </c>
      <c r="S716" t="s">
        <v>74</v>
      </c>
      <c r="T716" t="s">
        <v>14009</v>
      </c>
      <c r="U716" t="s">
        <v>14010</v>
      </c>
      <c r="V716" t="s">
        <v>14011</v>
      </c>
      <c r="W716" t="s">
        <v>14012</v>
      </c>
      <c r="X716" t="s">
        <v>14013</v>
      </c>
      <c r="Y716" t="s">
        <v>14014</v>
      </c>
      <c r="Z716" t="s">
        <v>14015</v>
      </c>
      <c r="AA716" t="s">
        <v>74</v>
      </c>
      <c r="AB716" t="s">
        <v>14016</v>
      </c>
      <c r="AC716" t="s">
        <v>14017</v>
      </c>
      <c r="AD716" t="s">
        <v>14018</v>
      </c>
      <c r="AE716" t="s">
        <v>14019</v>
      </c>
      <c r="AF716" t="s">
        <v>74</v>
      </c>
      <c r="AG716">
        <v>68</v>
      </c>
      <c r="AH716">
        <v>24</v>
      </c>
      <c r="AI716">
        <v>24</v>
      </c>
      <c r="AJ716">
        <v>1</v>
      </c>
      <c r="AK716">
        <v>23</v>
      </c>
      <c r="AL716" t="s">
        <v>7807</v>
      </c>
      <c r="AM716" t="s">
        <v>2144</v>
      </c>
      <c r="AN716" t="s">
        <v>2145</v>
      </c>
      <c r="AO716" t="s">
        <v>2217</v>
      </c>
      <c r="AP716" t="s">
        <v>74</v>
      </c>
      <c r="AQ716" t="s">
        <v>74</v>
      </c>
      <c r="AR716" t="s">
        <v>2218</v>
      </c>
      <c r="AS716" t="s">
        <v>2219</v>
      </c>
      <c r="AT716" t="s">
        <v>4571</v>
      </c>
      <c r="AU716">
        <v>2021</v>
      </c>
      <c r="AV716">
        <v>16</v>
      </c>
      <c r="AW716">
        <v>6</v>
      </c>
      <c r="AX716" t="s">
        <v>74</v>
      </c>
      <c r="AY716" t="s">
        <v>74</v>
      </c>
      <c r="AZ716" t="s">
        <v>74</v>
      </c>
      <c r="BA716" t="s">
        <v>74</v>
      </c>
      <c r="BB716" t="s">
        <v>74</v>
      </c>
      <c r="BC716" t="s">
        <v>74</v>
      </c>
      <c r="BD716">
        <v>64059</v>
      </c>
      <c r="BE716" t="s">
        <v>14020</v>
      </c>
      <c r="BF716" t="str">
        <f>HYPERLINK("http://dx.doi.org/10.1088/1748-9326/ac0211","http://dx.doi.org/10.1088/1748-9326/ac0211")</f>
        <v>http://dx.doi.org/10.1088/1748-9326/ac0211</v>
      </c>
      <c r="BG716" t="s">
        <v>74</v>
      </c>
      <c r="BH716" t="s">
        <v>74</v>
      </c>
      <c r="BI716">
        <v>11</v>
      </c>
      <c r="BJ716" t="s">
        <v>635</v>
      </c>
      <c r="BK716" t="s">
        <v>128</v>
      </c>
      <c r="BL716" t="s">
        <v>636</v>
      </c>
      <c r="BM716" t="s">
        <v>14021</v>
      </c>
      <c r="BN716" t="s">
        <v>74</v>
      </c>
      <c r="BO716" t="s">
        <v>638</v>
      </c>
      <c r="BP716" t="s">
        <v>74</v>
      </c>
      <c r="BQ716" t="s">
        <v>74</v>
      </c>
      <c r="BR716" t="s">
        <v>102</v>
      </c>
      <c r="BS716" t="s">
        <v>14022</v>
      </c>
      <c r="BT716" t="str">
        <f>HYPERLINK("https%3A%2F%2Fwww.webofscience.com%2Fwos%2Fwoscc%2Ffull-record%2FWOS:000658013200001","View Full Record in Web of Science")</f>
        <v>View Full Record in Web of Science</v>
      </c>
    </row>
    <row r="717" spans="1:72" x14ac:dyDescent="0.15">
      <c r="A717" t="s">
        <v>72</v>
      </c>
      <c r="B717" t="s">
        <v>14023</v>
      </c>
      <c r="C717" t="s">
        <v>74</v>
      </c>
      <c r="D717" t="s">
        <v>74</v>
      </c>
      <c r="E717" t="s">
        <v>74</v>
      </c>
      <c r="F717" t="s">
        <v>14024</v>
      </c>
      <c r="G717" t="s">
        <v>74</v>
      </c>
      <c r="H717" t="s">
        <v>74</v>
      </c>
      <c r="I717" t="s">
        <v>14025</v>
      </c>
      <c r="J717" t="s">
        <v>14026</v>
      </c>
      <c r="K717" t="s">
        <v>74</v>
      </c>
      <c r="L717" t="s">
        <v>74</v>
      </c>
      <c r="M717" t="s">
        <v>78</v>
      </c>
      <c r="N717" t="s">
        <v>79</v>
      </c>
      <c r="O717" t="s">
        <v>74</v>
      </c>
      <c r="P717" t="s">
        <v>74</v>
      </c>
      <c r="Q717" t="s">
        <v>74</v>
      </c>
      <c r="R717" t="s">
        <v>74</v>
      </c>
      <c r="S717" t="s">
        <v>74</v>
      </c>
      <c r="T717" t="s">
        <v>74</v>
      </c>
      <c r="U717" t="s">
        <v>14027</v>
      </c>
      <c r="V717" t="s">
        <v>14028</v>
      </c>
      <c r="W717" t="s">
        <v>14029</v>
      </c>
      <c r="X717" t="s">
        <v>14030</v>
      </c>
      <c r="Y717" t="s">
        <v>14031</v>
      </c>
      <c r="Z717" t="s">
        <v>14032</v>
      </c>
      <c r="AA717" t="s">
        <v>14033</v>
      </c>
      <c r="AB717" t="s">
        <v>14034</v>
      </c>
      <c r="AC717" t="s">
        <v>14035</v>
      </c>
      <c r="AD717" t="s">
        <v>14036</v>
      </c>
      <c r="AE717" t="s">
        <v>14037</v>
      </c>
      <c r="AF717" t="s">
        <v>74</v>
      </c>
      <c r="AG717">
        <v>54</v>
      </c>
      <c r="AH717">
        <v>2</v>
      </c>
      <c r="AI717">
        <v>2</v>
      </c>
      <c r="AJ717">
        <v>0</v>
      </c>
      <c r="AK717">
        <v>4</v>
      </c>
      <c r="AL717" t="s">
        <v>7807</v>
      </c>
      <c r="AM717" t="s">
        <v>2144</v>
      </c>
      <c r="AN717" t="s">
        <v>2145</v>
      </c>
      <c r="AO717" t="s">
        <v>14038</v>
      </c>
      <c r="AP717" t="s">
        <v>14039</v>
      </c>
      <c r="AQ717" t="s">
        <v>74</v>
      </c>
      <c r="AR717" t="s">
        <v>14040</v>
      </c>
      <c r="AS717" t="s">
        <v>14041</v>
      </c>
      <c r="AT717" t="s">
        <v>4571</v>
      </c>
      <c r="AU717">
        <v>2021</v>
      </c>
      <c r="AV717">
        <v>913</v>
      </c>
      <c r="AW717">
        <v>2</v>
      </c>
      <c r="AX717" t="s">
        <v>74</v>
      </c>
      <c r="AY717" t="s">
        <v>74</v>
      </c>
      <c r="AZ717" t="s">
        <v>74</v>
      </c>
      <c r="BA717" t="s">
        <v>74</v>
      </c>
      <c r="BB717" t="s">
        <v>74</v>
      </c>
      <c r="BC717" t="s">
        <v>74</v>
      </c>
      <c r="BD717">
        <v>111</v>
      </c>
      <c r="BE717" t="s">
        <v>14042</v>
      </c>
      <c r="BF717" t="str">
        <f>HYPERLINK("http://dx.doi.org/10.3847/1538-4357/abf4de","http://dx.doi.org/10.3847/1538-4357/abf4de")</f>
        <v>http://dx.doi.org/10.3847/1538-4357/abf4de</v>
      </c>
      <c r="BG717" t="s">
        <v>74</v>
      </c>
      <c r="BH717" t="s">
        <v>74</v>
      </c>
      <c r="BI717">
        <v>12</v>
      </c>
      <c r="BJ717" t="s">
        <v>1267</v>
      </c>
      <c r="BK717" t="s">
        <v>128</v>
      </c>
      <c r="BL717" t="s">
        <v>1267</v>
      </c>
      <c r="BM717" t="s">
        <v>14043</v>
      </c>
      <c r="BN717" t="s">
        <v>74</v>
      </c>
      <c r="BO717" t="s">
        <v>908</v>
      </c>
      <c r="BP717" t="s">
        <v>74</v>
      </c>
      <c r="BQ717" t="s">
        <v>74</v>
      </c>
      <c r="BR717" t="s">
        <v>102</v>
      </c>
      <c r="BS717" t="s">
        <v>14044</v>
      </c>
      <c r="BT717" t="str">
        <f>HYPERLINK("https%3A%2F%2Fwww.webofscience.com%2Fwos%2Fwoscc%2Ffull-record%2FWOS:000656672600001","View Full Record in Web of Science")</f>
        <v>View Full Record in Web of Science</v>
      </c>
    </row>
    <row r="718" spans="1:72" x14ac:dyDescent="0.15">
      <c r="A718" t="s">
        <v>72</v>
      </c>
      <c r="B718" t="s">
        <v>14045</v>
      </c>
      <c r="C718" t="s">
        <v>74</v>
      </c>
      <c r="D718" t="s">
        <v>74</v>
      </c>
      <c r="E718" t="s">
        <v>74</v>
      </c>
      <c r="F718" t="s">
        <v>14046</v>
      </c>
      <c r="G718" t="s">
        <v>74</v>
      </c>
      <c r="H718" t="s">
        <v>74</v>
      </c>
      <c r="I718" t="s">
        <v>14047</v>
      </c>
      <c r="J718" t="s">
        <v>14048</v>
      </c>
      <c r="K718" t="s">
        <v>74</v>
      </c>
      <c r="L718" t="s">
        <v>74</v>
      </c>
      <c r="M718" t="s">
        <v>78</v>
      </c>
      <c r="N718" t="s">
        <v>79</v>
      </c>
      <c r="O718" t="s">
        <v>74</v>
      </c>
      <c r="P718" t="s">
        <v>74</v>
      </c>
      <c r="Q718" t="s">
        <v>74</v>
      </c>
      <c r="R718" t="s">
        <v>74</v>
      </c>
      <c r="S718" t="s">
        <v>74</v>
      </c>
      <c r="T718" t="s">
        <v>14049</v>
      </c>
      <c r="U718" t="s">
        <v>74</v>
      </c>
      <c r="V718" t="s">
        <v>14050</v>
      </c>
      <c r="W718" t="s">
        <v>14051</v>
      </c>
      <c r="X718" t="s">
        <v>14052</v>
      </c>
      <c r="Y718" t="s">
        <v>14053</v>
      </c>
      <c r="Z718" t="s">
        <v>14054</v>
      </c>
      <c r="AA718" t="s">
        <v>74</v>
      </c>
      <c r="AB718" t="s">
        <v>14055</v>
      </c>
      <c r="AC718" t="s">
        <v>14056</v>
      </c>
      <c r="AD718" t="s">
        <v>14056</v>
      </c>
      <c r="AE718" t="s">
        <v>14057</v>
      </c>
      <c r="AF718" t="s">
        <v>74</v>
      </c>
      <c r="AG718">
        <v>20</v>
      </c>
      <c r="AH718">
        <v>0</v>
      </c>
      <c r="AI718">
        <v>0</v>
      </c>
      <c r="AJ718">
        <v>3</v>
      </c>
      <c r="AK718">
        <v>8</v>
      </c>
      <c r="AL718" t="s">
        <v>649</v>
      </c>
      <c r="AM718" t="s">
        <v>650</v>
      </c>
      <c r="AN718" t="s">
        <v>651</v>
      </c>
      <c r="AO718" t="s">
        <v>14058</v>
      </c>
      <c r="AP718" t="s">
        <v>14059</v>
      </c>
      <c r="AQ718" t="s">
        <v>74</v>
      </c>
      <c r="AR718" t="s">
        <v>14060</v>
      </c>
      <c r="AS718" t="s">
        <v>14061</v>
      </c>
      <c r="AT718" t="s">
        <v>4571</v>
      </c>
      <c r="AU718">
        <v>2021</v>
      </c>
      <c r="AV718">
        <v>31</v>
      </c>
      <c r="AW718">
        <v>2</v>
      </c>
      <c r="AX718" t="s">
        <v>74</v>
      </c>
      <c r="AY718" t="s">
        <v>74</v>
      </c>
      <c r="AZ718" t="s">
        <v>74</v>
      </c>
      <c r="BA718" t="s">
        <v>74</v>
      </c>
      <c r="BB718">
        <v>286</v>
      </c>
      <c r="BC718">
        <v>292</v>
      </c>
      <c r="BD718" t="s">
        <v>14062</v>
      </c>
      <c r="BE718" t="s">
        <v>14063</v>
      </c>
      <c r="BF718" t="str">
        <f>HYPERLINK("http://dx.doi.org/10.1017/S0959270920000453","http://dx.doi.org/10.1017/S0959270920000453")</f>
        <v>http://dx.doi.org/10.1017/S0959270920000453</v>
      </c>
      <c r="BG718" t="s">
        <v>74</v>
      </c>
      <c r="BH718" t="s">
        <v>74</v>
      </c>
      <c r="BI718">
        <v>7</v>
      </c>
      <c r="BJ718" t="s">
        <v>14064</v>
      </c>
      <c r="BK718" t="s">
        <v>128</v>
      </c>
      <c r="BL718" t="s">
        <v>14065</v>
      </c>
      <c r="BM718" t="s">
        <v>14066</v>
      </c>
      <c r="BN718" t="s">
        <v>74</v>
      </c>
      <c r="BO718" t="s">
        <v>74</v>
      </c>
      <c r="BP718" t="s">
        <v>74</v>
      </c>
      <c r="BQ718" t="s">
        <v>74</v>
      </c>
      <c r="BR718" t="s">
        <v>102</v>
      </c>
      <c r="BS718" t="s">
        <v>14067</v>
      </c>
      <c r="BT718" t="str">
        <f>HYPERLINK("https%3A%2F%2Fwww.webofscience.com%2Fwos%2Fwoscc%2Ffull-record%2FWOS:000647793900008","View Full Record in Web of Science")</f>
        <v>View Full Record in Web of Science</v>
      </c>
    </row>
    <row r="719" spans="1:72" x14ac:dyDescent="0.15">
      <c r="A719" t="s">
        <v>72</v>
      </c>
      <c r="B719" t="s">
        <v>14068</v>
      </c>
      <c r="C719" t="s">
        <v>74</v>
      </c>
      <c r="D719" t="s">
        <v>74</v>
      </c>
      <c r="E719" t="s">
        <v>74</v>
      </c>
      <c r="F719" t="s">
        <v>14069</v>
      </c>
      <c r="G719" t="s">
        <v>74</v>
      </c>
      <c r="H719" t="s">
        <v>74</v>
      </c>
      <c r="I719" t="s">
        <v>14070</v>
      </c>
      <c r="J719" t="s">
        <v>14071</v>
      </c>
      <c r="K719" t="s">
        <v>74</v>
      </c>
      <c r="L719" t="s">
        <v>74</v>
      </c>
      <c r="M719" t="s">
        <v>78</v>
      </c>
      <c r="N719" t="s">
        <v>79</v>
      </c>
      <c r="O719" t="s">
        <v>74</v>
      </c>
      <c r="P719" t="s">
        <v>74</v>
      </c>
      <c r="Q719" t="s">
        <v>74</v>
      </c>
      <c r="R719" t="s">
        <v>74</v>
      </c>
      <c r="S719" t="s">
        <v>74</v>
      </c>
      <c r="T719" t="s">
        <v>74</v>
      </c>
      <c r="U719" t="s">
        <v>14072</v>
      </c>
      <c r="V719" t="s">
        <v>14073</v>
      </c>
      <c r="W719" t="s">
        <v>14074</v>
      </c>
      <c r="X719" t="s">
        <v>14075</v>
      </c>
      <c r="Y719" t="s">
        <v>14076</v>
      </c>
      <c r="Z719" t="s">
        <v>14077</v>
      </c>
      <c r="AA719" t="s">
        <v>14078</v>
      </c>
      <c r="AB719" t="s">
        <v>14079</v>
      </c>
      <c r="AC719" t="s">
        <v>14080</v>
      </c>
      <c r="AD719" t="s">
        <v>14081</v>
      </c>
      <c r="AE719" t="s">
        <v>14082</v>
      </c>
      <c r="AF719" t="s">
        <v>74</v>
      </c>
      <c r="AG719">
        <v>63</v>
      </c>
      <c r="AH719">
        <v>2</v>
      </c>
      <c r="AI719">
        <v>2</v>
      </c>
      <c r="AJ719">
        <v>1</v>
      </c>
      <c r="AK719">
        <v>5</v>
      </c>
      <c r="AL719" t="s">
        <v>649</v>
      </c>
      <c r="AM719" t="s">
        <v>650</v>
      </c>
      <c r="AN719" t="s">
        <v>651</v>
      </c>
      <c r="AO719" t="s">
        <v>14083</v>
      </c>
      <c r="AP719" t="s">
        <v>14084</v>
      </c>
      <c r="AQ719" t="s">
        <v>74</v>
      </c>
      <c r="AR719" t="s">
        <v>14085</v>
      </c>
      <c r="AS719" t="s">
        <v>14086</v>
      </c>
      <c r="AT719" t="s">
        <v>4571</v>
      </c>
      <c r="AU719">
        <v>2021</v>
      </c>
      <c r="AV719">
        <v>153</v>
      </c>
      <c r="AW719">
        <v>3</v>
      </c>
      <c r="AX719" t="s">
        <v>74</v>
      </c>
      <c r="AY719" t="s">
        <v>74</v>
      </c>
      <c r="AZ719" t="s">
        <v>74</v>
      </c>
      <c r="BA719" t="s">
        <v>74</v>
      </c>
      <c r="BB719">
        <v>301</v>
      </c>
      <c r="BC719">
        <v>313</v>
      </c>
      <c r="BD719" t="s">
        <v>14087</v>
      </c>
      <c r="BE719" t="s">
        <v>14088</v>
      </c>
      <c r="BF719" t="str">
        <f>HYPERLINK("http://dx.doi.org/10.4039/tce.2021.2","http://dx.doi.org/10.4039/tce.2021.2")</f>
        <v>http://dx.doi.org/10.4039/tce.2021.2</v>
      </c>
      <c r="BG719" t="s">
        <v>74</v>
      </c>
      <c r="BH719" t="s">
        <v>74</v>
      </c>
      <c r="BI719">
        <v>13</v>
      </c>
      <c r="BJ719" t="s">
        <v>5473</v>
      </c>
      <c r="BK719" t="s">
        <v>128</v>
      </c>
      <c r="BL719" t="s">
        <v>5473</v>
      </c>
      <c r="BM719" t="s">
        <v>14089</v>
      </c>
      <c r="BN719" t="s">
        <v>74</v>
      </c>
      <c r="BO719" t="s">
        <v>74</v>
      </c>
      <c r="BP719" t="s">
        <v>74</v>
      </c>
      <c r="BQ719" t="s">
        <v>74</v>
      </c>
      <c r="BR719" t="s">
        <v>102</v>
      </c>
      <c r="BS719" t="s">
        <v>14090</v>
      </c>
      <c r="BT719" t="str">
        <f>HYPERLINK("https%3A%2F%2Fwww.webofscience.com%2Fwos%2Fwoscc%2Ffull-record%2FWOS:000645560200004","View Full Record in Web of Science")</f>
        <v>View Full Record in Web of Science</v>
      </c>
    </row>
    <row r="720" spans="1:72" x14ac:dyDescent="0.15">
      <c r="A720" t="s">
        <v>72</v>
      </c>
      <c r="B720" t="s">
        <v>14091</v>
      </c>
      <c r="C720" t="s">
        <v>74</v>
      </c>
      <c r="D720" t="s">
        <v>74</v>
      </c>
      <c r="E720" t="s">
        <v>74</v>
      </c>
      <c r="F720" t="s">
        <v>14092</v>
      </c>
      <c r="G720" t="s">
        <v>74</v>
      </c>
      <c r="H720" t="s">
        <v>74</v>
      </c>
      <c r="I720" t="s">
        <v>14093</v>
      </c>
      <c r="J720" t="s">
        <v>10288</v>
      </c>
      <c r="K720" t="s">
        <v>74</v>
      </c>
      <c r="L720" t="s">
        <v>74</v>
      </c>
      <c r="M720" t="s">
        <v>78</v>
      </c>
      <c r="N720" t="s">
        <v>79</v>
      </c>
      <c r="O720" t="s">
        <v>74</v>
      </c>
      <c r="P720" t="s">
        <v>74</v>
      </c>
      <c r="Q720" t="s">
        <v>74</v>
      </c>
      <c r="R720" t="s">
        <v>74</v>
      </c>
      <c r="S720" t="s">
        <v>74</v>
      </c>
      <c r="T720" t="s">
        <v>14094</v>
      </c>
      <c r="U720" t="s">
        <v>14095</v>
      </c>
      <c r="V720" t="s">
        <v>14096</v>
      </c>
      <c r="W720" t="s">
        <v>14097</v>
      </c>
      <c r="X720" t="s">
        <v>14098</v>
      </c>
      <c r="Y720" t="s">
        <v>14099</v>
      </c>
      <c r="Z720" t="s">
        <v>14100</v>
      </c>
      <c r="AA720" t="s">
        <v>14101</v>
      </c>
      <c r="AB720" t="s">
        <v>14102</v>
      </c>
      <c r="AC720" t="s">
        <v>74</v>
      </c>
      <c r="AD720" t="s">
        <v>74</v>
      </c>
      <c r="AE720" t="s">
        <v>74</v>
      </c>
      <c r="AF720" t="s">
        <v>74</v>
      </c>
      <c r="AG720">
        <v>64</v>
      </c>
      <c r="AH720">
        <v>4</v>
      </c>
      <c r="AI720">
        <v>7</v>
      </c>
      <c r="AJ720">
        <v>4</v>
      </c>
      <c r="AK720">
        <v>20</v>
      </c>
      <c r="AL720" t="s">
        <v>89</v>
      </c>
      <c r="AM720" t="s">
        <v>90</v>
      </c>
      <c r="AN720" t="s">
        <v>91</v>
      </c>
      <c r="AO720" t="s">
        <v>10299</v>
      </c>
      <c r="AP720" t="s">
        <v>10300</v>
      </c>
      <c r="AQ720" t="s">
        <v>74</v>
      </c>
      <c r="AR720" t="s">
        <v>10301</v>
      </c>
      <c r="AS720" t="s">
        <v>10302</v>
      </c>
      <c r="AT720" t="s">
        <v>3746</v>
      </c>
      <c r="AU720">
        <v>2021</v>
      </c>
      <c r="AV720">
        <v>568</v>
      </c>
      <c r="AW720" t="s">
        <v>74</v>
      </c>
      <c r="AX720" t="s">
        <v>74</v>
      </c>
      <c r="AY720" t="s">
        <v>74</v>
      </c>
      <c r="AZ720" t="s">
        <v>74</v>
      </c>
      <c r="BA720" t="s">
        <v>74</v>
      </c>
      <c r="BB720" t="s">
        <v>74</v>
      </c>
      <c r="BC720" t="s">
        <v>74</v>
      </c>
      <c r="BD720">
        <v>117015</v>
      </c>
      <c r="BE720" t="s">
        <v>14103</v>
      </c>
      <c r="BF720" t="str">
        <f>HYPERLINK("http://dx.doi.org/10.1016/j.epsl.2021.117015","http://dx.doi.org/10.1016/j.epsl.2021.117015")</f>
        <v>http://dx.doi.org/10.1016/j.epsl.2021.117015</v>
      </c>
      <c r="BG720" t="s">
        <v>74</v>
      </c>
      <c r="BH720" t="s">
        <v>8134</v>
      </c>
      <c r="BI720">
        <v>10</v>
      </c>
      <c r="BJ720" t="s">
        <v>289</v>
      </c>
      <c r="BK720" t="s">
        <v>128</v>
      </c>
      <c r="BL720" t="s">
        <v>289</v>
      </c>
      <c r="BM720" t="s">
        <v>10304</v>
      </c>
      <c r="BN720" t="s">
        <v>74</v>
      </c>
      <c r="BO720" t="s">
        <v>291</v>
      </c>
      <c r="BP720" t="s">
        <v>74</v>
      </c>
      <c r="BQ720" t="s">
        <v>74</v>
      </c>
      <c r="BR720" t="s">
        <v>102</v>
      </c>
      <c r="BS720" t="s">
        <v>14104</v>
      </c>
      <c r="BT720" t="str">
        <f>HYPERLINK("https%3A%2F%2Fwww.webofscience.com%2Fwos%2Fwoscc%2Ffull-record%2FWOS:000667964800009","View Full Record in Web of Science")</f>
        <v>View Full Record in Web of Science</v>
      </c>
    </row>
    <row r="721" spans="1:72" x14ac:dyDescent="0.15">
      <c r="A721" t="s">
        <v>72</v>
      </c>
      <c r="B721" t="s">
        <v>14105</v>
      </c>
      <c r="C721" t="s">
        <v>74</v>
      </c>
      <c r="D721" t="s">
        <v>74</v>
      </c>
      <c r="E721" t="s">
        <v>74</v>
      </c>
      <c r="F721" t="s">
        <v>14106</v>
      </c>
      <c r="G721" t="s">
        <v>74</v>
      </c>
      <c r="H721" t="s">
        <v>74</v>
      </c>
      <c r="I721" t="s">
        <v>14107</v>
      </c>
      <c r="J721" t="s">
        <v>5756</v>
      </c>
      <c r="K721" t="s">
        <v>74</v>
      </c>
      <c r="L721" t="s">
        <v>74</v>
      </c>
      <c r="M721" t="s">
        <v>78</v>
      </c>
      <c r="N721" t="s">
        <v>79</v>
      </c>
      <c r="O721" t="s">
        <v>74</v>
      </c>
      <c r="P721" t="s">
        <v>74</v>
      </c>
      <c r="Q721" t="s">
        <v>74</v>
      </c>
      <c r="R721" t="s">
        <v>74</v>
      </c>
      <c r="S721" t="s">
        <v>74</v>
      </c>
      <c r="T721" t="s">
        <v>14108</v>
      </c>
      <c r="U721" t="s">
        <v>14109</v>
      </c>
      <c r="V721" t="s">
        <v>14110</v>
      </c>
      <c r="W721" t="s">
        <v>14111</v>
      </c>
      <c r="X721" t="s">
        <v>14112</v>
      </c>
      <c r="Y721" t="s">
        <v>14113</v>
      </c>
      <c r="Z721" t="s">
        <v>14114</v>
      </c>
      <c r="AA721" t="s">
        <v>14115</v>
      </c>
      <c r="AB721" t="s">
        <v>14116</v>
      </c>
      <c r="AC721" t="s">
        <v>14117</v>
      </c>
      <c r="AD721" t="s">
        <v>14118</v>
      </c>
      <c r="AE721" t="s">
        <v>14119</v>
      </c>
      <c r="AF721" t="s">
        <v>74</v>
      </c>
      <c r="AG721">
        <v>82</v>
      </c>
      <c r="AH721">
        <v>4</v>
      </c>
      <c r="AI721">
        <v>4</v>
      </c>
      <c r="AJ721">
        <v>1</v>
      </c>
      <c r="AK721">
        <v>20</v>
      </c>
      <c r="AL721" t="s">
        <v>89</v>
      </c>
      <c r="AM721" t="s">
        <v>90</v>
      </c>
      <c r="AN721" t="s">
        <v>91</v>
      </c>
      <c r="AO721" t="s">
        <v>5769</v>
      </c>
      <c r="AP721" t="s">
        <v>5770</v>
      </c>
      <c r="AQ721" t="s">
        <v>74</v>
      </c>
      <c r="AR721" t="s">
        <v>5771</v>
      </c>
      <c r="AS721" t="s">
        <v>5772</v>
      </c>
      <c r="AT721" t="s">
        <v>402</v>
      </c>
      <c r="AU721">
        <v>2021</v>
      </c>
      <c r="AV721">
        <v>128</v>
      </c>
      <c r="AW721" t="s">
        <v>74</v>
      </c>
      <c r="AX721" t="s">
        <v>74</v>
      </c>
      <c r="AY721" t="s">
        <v>74</v>
      </c>
      <c r="AZ721" t="s">
        <v>74</v>
      </c>
      <c r="BA721" t="s">
        <v>74</v>
      </c>
      <c r="BB721" t="s">
        <v>74</v>
      </c>
      <c r="BC721" t="s">
        <v>74</v>
      </c>
      <c r="BD721">
        <v>107832</v>
      </c>
      <c r="BE721" t="s">
        <v>14120</v>
      </c>
      <c r="BF721" t="str">
        <f>HYPERLINK("http://dx.doi.org/10.1016/j.ecolind.2021.107832","http://dx.doi.org/10.1016/j.ecolind.2021.107832")</f>
        <v>http://dx.doi.org/10.1016/j.ecolind.2021.107832</v>
      </c>
      <c r="BG721" t="s">
        <v>74</v>
      </c>
      <c r="BH721" t="s">
        <v>8134</v>
      </c>
      <c r="BI721">
        <v>9</v>
      </c>
      <c r="BJ721" t="s">
        <v>5774</v>
      </c>
      <c r="BK721" t="s">
        <v>128</v>
      </c>
      <c r="BL721" t="s">
        <v>207</v>
      </c>
      <c r="BM721" t="s">
        <v>14121</v>
      </c>
      <c r="BN721" t="s">
        <v>74</v>
      </c>
      <c r="BO721" t="s">
        <v>486</v>
      </c>
      <c r="BP721" t="s">
        <v>74</v>
      </c>
      <c r="BQ721" t="s">
        <v>74</v>
      </c>
      <c r="BR721" t="s">
        <v>102</v>
      </c>
      <c r="BS721" t="s">
        <v>14122</v>
      </c>
      <c r="BT721" t="str">
        <f>HYPERLINK("https%3A%2F%2Fwww.webofscience.com%2Fwos%2Fwoscc%2Ffull-record%2FWOS:000663325100008","View Full Record in Web of Science")</f>
        <v>View Full Record in Web of Science</v>
      </c>
    </row>
    <row r="722" spans="1:72" x14ac:dyDescent="0.15">
      <c r="A722" t="s">
        <v>72</v>
      </c>
      <c r="B722" t="s">
        <v>14123</v>
      </c>
      <c r="C722" t="s">
        <v>74</v>
      </c>
      <c r="D722" t="s">
        <v>74</v>
      </c>
      <c r="E722" t="s">
        <v>74</v>
      </c>
      <c r="F722" t="s">
        <v>14124</v>
      </c>
      <c r="G722" t="s">
        <v>74</v>
      </c>
      <c r="H722" t="s">
        <v>74</v>
      </c>
      <c r="I722" t="s">
        <v>14125</v>
      </c>
      <c r="J722" t="s">
        <v>2013</v>
      </c>
      <c r="K722" t="s">
        <v>74</v>
      </c>
      <c r="L722" t="s">
        <v>74</v>
      </c>
      <c r="M722" t="s">
        <v>78</v>
      </c>
      <c r="N722" t="s">
        <v>79</v>
      </c>
      <c r="O722" t="s">
        <v>74</v>
      </c>
      <c r="P722" t="s">
        <v>74</v>
      </c>
      <c r="Q722" t="s">
        <v>74</v>
      </c>
      <c r="R722" t="s">
        <v>74</v>
      </c>
      <c r="S722" t="s">
        <v>74</v>
      </c>
      <c r="T722" t="s">
        <v>14126</v>
      </c>
      <c r="U722" t="s">
        <v>14127</v>
      </c>
      <c r="V722" t="s">
        <v>14128</v>
      </c>
      <c r="W722" t="s">
        <v>14129</v>
      </c>
      <c r="X722" t="s">
        <v>14130</v>
      </c>
      <c r="Y722" t="s">
        <v>14131</v>
      </c>
      <c r="Z722" t="s">
        <v>14132</v>
      </c>
      <c r="AA722" t="s">
        <v>74</v>
      </c>
      <c r="AB722" t="s">
        <v>14133</v>
      </c>
      <c r="AC722" t="s">
        <v>14134</v>
      </c>
      <c r="AD722" t="s">
        <v>14135</v>
      </c>
      <c r="AE722" t="s">
        <v>14136</v>
      </c>
      <c r="AF722" t="s">
        <v>74</v>
      </c>
      <c r="AG722">
        <v>37</v>
      </c>
      <c r="AH722">
        <v>8</v>
      </c>
      <c r="AI722">
        <v>12</v>
      </c>
      <c r="AJ722">
        <v>0</v>
      </c>
      <c r="AK722">
        <v>5</v>
      </c>
      <c r="AL722" t="s">
        <v>557</v>
      </c>
      <c r="AM722" t="s">
        <v>558</v>
      </c>
      <c r="AN722" t="s">
        <v>559</v>
      </c>
      <c r="AO722" t="s">
        <v>2023</v>
      </c>
      <c r="AP722" t="s">
        <v>2024</v>
      </c>
      <c r="AQ722" t="s">
        <v>74</v>
      </c>
      <c r="AR722" t="s">
        <v>2025</v>
      </c>
      <c r="AS722" t="s">
        <v>2026</v>
      </c>
      <c r="AT722" t="s">
        <v>4571</v>
      </c>
      <c r="AU722">
        <v>2021</v>
      </c>
      <c r="AV722">
        <v>34</v>
      </c>
      <c r="AW722">
        <v>11</v>
      </c>
      <c r="AX722" t="s">
        <v>74</v>
      </c>
      <c r="AY722" t="s">
        <v>74</v>
      </c>
      <c r="AZ722" t="s">
        <v>74</v>
      </c>
      <c r="BA722" t="s">
        <v>74</v>
      </c>
      <c r="BB722">
        <v>4261</v>
      </c>
      <c r="BC722">
        <v>4278</v>
      </c>
      <c r="BD722" t="s">
        <v>74</v>
      </c>
      <c r="BE722" t="s">
        <v>14137</v>
      </c>
      <c r="BF722" t="str">
        <f>HYPERLINK("http://dx.doi.org/10.1175/JCLI-D-20-0722.1","http://dx.doi.org/10.1175/JCLI-D-20-0722.1")</f>
        <v>http://dx.doi.org/10.1175/JCLI-D-20-0722.1</v>
      </c>
      <c r="BG722" t="s">
        <v>74</v>
      </c>
      <c r="BH722" t="s">
        <v>74</v>
      </c>
      <c r="BI722">
        <v>18</v>
      </c>
      <c r="BJ722" t="s">
        <v>567</v>
      </c>
      <c r="BK722" t="s">
        <v>128</v>
      </c>
      <c r="BL722" t="s">
        <v>567</v>
      </c>
      <c r="BM722" t="s">
        <v>14138</v>
      </c>
      <c r="BN722" t="s">
        <v>74</v>
      </c>
      <c r="BO722" t="s">
        <v>661</v>
      </c>
      <c r="BP722" t="s">
        <v>74</v>
      </c>
      <c r="BQ722" t="s">
        <v>74</v>
      </c>
      <c r="BR722" t="s">
        <v>102</v>
      </c>
      <c r="BS722" t="s">
        <v>14139</v>
      </c>
      <c r="BT722" t="str">
        <f>HYPERLINK("https%3A%2F%2Fwww.webofscience.com%2Fwos%2Fwoscc%2Ffull-record%2FWOS:000648587900005","View Full Record in Web of Science")</f>
        <v>View Full Record in Web of Science</v>
      </c>
    </row>
    <row r="723" spans="1:72" x14ac:dyDescent="0.15">
      <c r="A723" t="s">
        <v>72</v>
      </c>
      <c r="B723" t="s">
        <v>14140</v>
      </c>
      <c r="C723" t="s">
        <v>74</v>
      </c>
      <c r="D723" t="s">
        <v>74</v>
      </c>
      <c r="E723" t="s">
        <v>74</v>
      </c>
      <c r="F723" t="s">
        <v>14141</v>
      </c>
      <c r="G723" t="s">
        <v>74</v>
      </c>
      <c r="H723" t="s">
        <v>74</v>
      </c>
      <c r="I723" t="s">
        <v>14142</v>
      </c>
      <c r="J723" t="s">
        <v>2013</v>
      </c>
      <c r="K723" t="s">
        <v>74</v>
      </c>
      <c r="L723" t="s">
        <v>74</v>
      </c>
      <c r="M723" t="s">
        <v>78</v>
      </c>
      <c r="N723" t="s">
        <v>79</v>
      </c>
      <c r="O723" t="s">
        <v>74</v>
      </c>
      <c r="P723" t="s">
        <v>74</v>
      </c>
      <c r="Q723" t="s">
        <v>74</v>
      </c>
      <c r="R723" t="s">
        <v>74</v>
      </c>
      <c r="S723" t="s">
        <v>74</v>
      </c>
      <c r="T723" t="s">
        <v>14143</v>
      </c>
      <c r="U723" t="s">
        <v>14144</v>
      </c>
      <c r="V723" t="s">
        <v>14145</v>
      </c>
      <c r="W723" t="s">
        <v>14146</v>
      </c>
      <c r="X723" t="s">
        <v>14147</v>
      </c>
      <c r="Y723" t="s">
        <v>14148</v>
      </c>
      <c r="Z723" t="s">
        <v>14149</v>
      </c>
      <c r="AA723" t="s">
        <v>74</v>
      </c>
      <c r="AB723" t="s">
        <v>14150</v>
      </c>
      <c r="AC723" t="s">
        <v>14151</v>
      </c>
      <c r="AD723" t="s">
        <v>14152</v>
      </c>
      <c r="AE723" t="s">
        <v>14153</v>
      </c>
      <c r="AF723" t="s">
        <v>74</v>
      </c>
      <c r="AG723">
        <v>52</v>
      </c>
      <c r="AH723">
        <v>9</v>
      </c>
      <c r="AI723">
        <v>10</v>
      </c>
      <c r="AJ723">
        <v>0</v>
      </c>
      <c r="AK723">
        <v>12</v>
      </c>
      <c r="AL723" t="s">
        <v>557</v>
      </c>
      <c r="AM723" t="s">
        <v>558</v>
      </c>
      <c r="AN723" t="s">
        <v>559</v>
      </c>
      <c r="AO723" t="s">
        <v>2023</v>
      </c>
      <c r="AP723" t="s">
        <v>2024</v>
      </c>
      <c r="AQ723" t="s">
        <v>74</v>
      </c>
      <c r="AR723" t="s">
        <v>2025</v>
      </c>
      <c r="AS723" t="s">
        <v>2026</v>
      </c>
      <c r="AT723" t="s">
        <v>4571</v>
      </c>
      <c r="AU723">
        <v>2021</v>
      </c>
      <c r="AV723">
        <v>34</v>
      </c>
      <c r="AW723">
        <v>11</v>
      </c>
      <c r="AX723" t="s">
        <v>74</v>
      </c>
      <c r="AY723" t="s">
        <v>74</v>
      </c>
      <c r="AZ723" t="s">
        <v>74</v>
      </c>
      <c r="BA723" t="s">
        <v>74</v>
      </c>
      <c r="BB723">
        <v>4463</v>
      </c>
      <c r="BC723">
        <v>4480</v>
      </c>
      <c r="BD723" t="s">
        <v>74</v>
      </c>
      <c r="BE723" t="s">
        <v>14154</v>
      </c>
      <c r="BF723" t="str">
        <f>HYPERLINK("http://dx.doi.org/10.1175/JCLI-D-20-0798.1","http://dx.doi.org/10.1175/JCLI-D-20-0798.1")</f>
        <v>http://dx.doi.org/10.1175/JCLI-D-20-0798.1</v>
      </c>
      <c r="BG723" t="s">
        <v>74</v>
      </c>
      <c r="BH723" t="s">
        <v>74</v>
      </c>
      <c r="BI723">
        <v>18</v>
      </c>
      <c r="BJ723" t="s">
        <v>567</v>
      </c>
      <c r="BK723" t="s">
        <v>128</v>
      </c>
      <c r="BL723" t="s">
        <v>567</v>
      </c>
      <c r="BM723" t="s">
        <v>14138</v>
      </c>
      <c r="BN723" t="s">
        <v>74</v>
      </c>
      <c r="BO723" t="s">
        <v>661</v>
      </c>
      <c r="BP723" t="s">
        <v>74</v>
      </c>
      <c r="BQ723" t="s">
        <v>74</v>
      </c>
      <c r="BR723" t="s">
        <v>102</v>
      </c>
      <c r="BS723" t="s">
        <v>14155</v>
      </c>
      <c r="BT723" t="str">
        <f>HYPERLINK("https%3A%2F%2Fwww.webofscience.com%2Fwos%2Fwoscc%2Ffull-record%2FWOS:000648587900015","View Full Record in Web of Science")</f>
        <v>View Full Record in Web of Science</v>
      </c>
    </row>
    <row r="724" spans="1:72" x14ac:dyDescent="0.15">
      <c r="A724" t="s">
        <v>72</v>
      </c>
      <c r="B724" t="s">
        <v>14156</v>
      </c>
      <c r="C724" t="s">
        <v>74</v>
      </c>
      <c r="D724" t="s">
        <v>74</v>
      </c>
      <c r="E724" t="s">
        <v>74</v>
      </c>
      <c r="F724" t="s">
        <v>14157</v>
      </c>
      <c r="G724" t="s">
        <v>74</v>
      </c>
      <c r="H724" t="s">
        <v>74</v>
      </c>
      <c r="I724" t="s">
        <v>14158</v>
      </c>
      <c r="J724" t="s">
        <v>1088</v>
      </c>
      <c r="K724" t="s">
        <v>74</v>
      </c>
      <c r="L724" t="s">
        <v>74</v>
      </c>
      <c r="M724" t="s">
        <v>78</v>
      </c>
      <c r="N724" t="s">
        <v>700</v>
      </c>
      <c r="O724" t="s">
        <v>74</v>
      </c>
      <c r="P724" t="s">
        <v>74</v>
      </c>
      <c r="Q724" t="s">
        <v>74</v>
      </c>
      <c r="R724" t="s">
        <v>74</v>
      </c>
      <c r="S724" t="s">
        <v>74</v>
      </c>
      <c r="T724" t="s">
        <v>14159</v>
      </c>
      <c r="U724" t="s">
        <v>14160</v>
      </c>
      <c r="V724" t="s">
        <v>14161</v>
      </c>
      <c r="W724" t="s">
        <v>14162</v>
      </c>
      <c r="X724" t="s">
        <v>14163</v>
      </c>
      <c r="Y724" t="s">
        <v>14164</v>
      </c>
      <c r="Z724" t="s">
        <v>14165</v>
      </c>
      <c r="AA724" t="s">
        <v>14166</v>
      </c>
      <c r="AB724" t="s">
        <v>14167</v>
      </c>
      <c r="AC724" t="s">
        <v>74</v>
      </c>
      <c r="AD724" t="s">
        <v>74</v>
      </c>
      <c r="AE724" t="s">
        <v>74</v>
      </c>
      <c r="AF724" t="s">
        <v>74</v>
      </c>
      <c r="AG724">
        <v>165</v>
      </c>
      <c r="AH724">
        <v>18</v>
      </c>
      <c r="AI724">
        <v>18</v>
      </c>
      <c r="AJ724">
        <v>12</v>
      </c>
      <c r="AK724">
        <v>75</v>
      </c>
      <c r="AL724" t="s">
        <v>1101</v>
      </c>
      <c r="AM724" t="s">
        <v>1102</v>
      </c>
      <c r="AN724" t="s">
        <v>1103</v>
      </c>
      <c r="AO724" t="s">
        <v>74</v>
      </c>
      <c r="AP724" t="s">
        <v>1104</v>
      </c>
      <c r="AQ724" t="s">
        <v>74</v>
      </c>
      <c r="AR724" t="s">
        <v>1105</v>
      </c>
      <c r="AS724" t="s">
        <v>1106</v>
      </c>
      <c r="AT724" t="s">
        <v>4571</v>
      </c>
      <c r="AU724">
        <v>2021</v>
      </c>
      <c r="AV724">
        <v>19</v>
      </c>
      <c r="AW724">
        <v>6</v>
      </c>
      <c r="AX724" t="s">
        <v>74</v>
      </c>
      <c r="AY724" t="s">
        <v>74</v>
      </c>
      <c r="AZ724" t="s">
        <v>74</v>
      </c>
      <c r="BA724" t="s">
        <v>74</v>
      </c>
      <c r="BB724" t="s">
        <v>74</v>
      </c>
      <c r="BC724" t="s">
        <v>74</v>
      </c>
      <c r="BD724">
        <v>306</v>
      </c>
      <c r="BE724" t="s">
        <v>14168</v>
      </c>
      <c r="BF724" t="str">
        <f>HYPERLINK("http://dx.doi.org/10.3390/md19060306","http://dx.doi.org/10.3390/md19060306")</f>
        <v>http://dx.doi.org/10.3390/md19060306</v>
      </c>
      <c r="BG724" t="s">
        <v>74</v>
      </c>
      <c r="BH724" t="s">
        <v>74</v>
      </c>
      <c r="BI724">
        <v>30</v>
      </c>
      <c r="BJ724" t="s">
        <v>1108</v>
      </c>
      <c r="BK724" t="s">
        <v>128</v>
      </c>
      <c r="BL724" t="s">
        <v>1109</v>
      </c>
      <c r="BM724" t="s">
        <v>14169</v>
      </c>
      <c r="BN724">
        <v>34073184</v>
      </c>
      <c r="BO724" t="s">
        <v>1377</v>
      </c>
      <c r="BP724" t="s">
        <v>74</v>
      </c>
      <c r="BQ724" t="s">
        <v>74</v>
      </c>
      <c r="BR724" t="s">
        <v>102</v>
      </c>
      <c r="BS724" t="s">
        <v>14170</v>
      </c>
      <c r="BT724" t="str">
        <f>HYPERLINK("https%3A%2F%2Fwww.webofscience.com%2Fwos%2Fwoscc%2Ffull-record%2FWOS:000666803800001","View Full Record in Web of Science")</f>
        <v>View Full Record in Web of Science</v>
      </c>
    </row>
    <row r="725" spans="1:72" x14ac:dyDescent="0.15">
      <c r="A725" t="s">
        <v>72</v>
      </c>
      <c r="B725" t="s">
        <v>14171</v>
      </c>
      <c r="C725" t="s">
        <v>74</v>
      </c>
      <c r="D725" t="s">
        <v>74</v>
      </c>
      <c r="E725" t="s">
        <v>74</v>
      </c>
      <c r="F725" t="s">
        <v>14172</v>
      </c>
      <c r="G725" t="s">
        <v>74</v>
      </c>
      <c r="H725" t="s">
        <v>74</v>
      </c>
      <c r="I725" t="s">
        <v>14173</v>
      </c>
      <c r="J725" t="s">
        <v>14174</v>
      </c>
      <c r="K725" t="s">
        <v>74</v>
      </c>
      <c r="L725" t="s">
        <v>74</v>
      </c>
      <c r="M725" t="s">
        <v>78</v>
      </c>
      <c r="N725" t="s">
        <v>79</v>
      </c>
      <c r="O725" t="s">
        <v>74</v>
      </c>
      <c r="P725" t="s">
        <v>74</v>
      </c>
      <c r="Q725" t="s">
        <v>74</v>
      </c>
      <c r="R725" t="s">
        <v>74</v>
      </c>
      <c r="S725" t="s">
        <v>74</v>
      </c>
      <c r="T725" t="s">
        <v>74</v>
      </c>
      <c r="U725" t="s">
        <v>14175</v>
      </c>
      <c r="V725" t="s">
        <v>14176</v>
      </c>
      <c r="W725" t="s">
        <v>14177</v>
      </c>
      <c r="X725" t="s">
        <v>14178</v>
      </c>
      <c r="Y725" t="s">
        <v>14179</v>
      </c>
      <c r="Z725" t="s">
        <v>14180</v>
      </c>
      <c r="AA725" t="s">
        <v>14181</v>
      </c>
      <c r="AB725" t="s">
        <v>14182</v>
      </c>
      <c r="AC725" t="s">
        <v>74</v>
      </c>
      <c r="AD725" t="s">
        <v>74</v>
      </c>
      <c r="AE725" t="s">
        <v>74</v>
      </c>
      <c r="AF725" t="s">
        <v>74</v>
      </c>
      <c r="AG725">
        <v>49</v>
      </c>
      <c r="AH725">
        <v>123</v>
      </c>
      <c r="AI725">
        <v>124</v>
      </c>
      <c r="AJ725">
        <v>7</v>
      </c>
      <c r="AK725">
        <v>64</v>
      </c>
      <c r="AL725" t="s">
        <v>4067</v>
      </c>
      <c r="AM725" t="s">
        <v>396</v>
      </c>
      <c r="AN725" t="s">
        <v>397</v>
      </c>
      <c r="AO725" t="s">
        <v>14183</v>
      </c>
      <c r="AP725" t="s">
        <v>74</v>
      </c>
      <c r="AQ725" t="s">
        <v>74</v>
      </c>
      <c r="AR725" t="s">
        <v>14184</v>
      </c>
      <c r="AS725" t="s">
        <v>14185</v>
      </c>
      <c r="AT725" t="s">
        <v>4571</v>
      </c>
      <c r="AU725">
        <v>2021</v>
      </c>
      <c r="AV725">
        <v>4</v>
      </c>
      <c r="AW725">
        <v>6</v>
      </c>
      <c r="AX725" t="s">
        <v>74</v>
      </c>
      <c r="AY725" t="s">
        <v>74</v>
      </c>
      <c r="AZ725" t="s">
        <v>74</v>
      </c>
      <c r="BA725" t="s">
        <v>74</v>
      </c>
      <c r="BB725">
        <v>474</v>
      </c>
      <c r="BC725">
        <v>483</v>
      </c>
      <c r="BD725" t="s">
        <v>74</v>
      </c>
      <c r="BE725" t="s">
        <v>14186</v>
      </c>
      <c r="BF725" t="str">
        <f>HYPERLINK("http://dx.doi.org/10.1038/s41893-021-00722-6","http://dx.doi.org/10.1038/s41893-021-00722-6")</f>
        <v>http://dx.doi.org/10.1038/s41893-021-00722-6</v>
      </c>
      <c r="BG725" t="s">
        <v>74</v>
      </c>
      <c r="BH725" t="s">
        <v>74</v>
      </c>
      <c r="BI725">
        <v>10</v>
      </c>
      <c r="BJ725" t="s">
        <v>7305</v>
      </c>
      <c r="BK725" t="s">
        <v>100</v>
      </c>
      <c r="BL725" t="s">
        <v>7306</v>
      </c>
      <c r="BM725" t="s">
        <v>14187</v>
      </c>
      <c r="BN725" t="s">
        <v>74</v>
      </c>
      <c r="BO725" t="s">
        <v>514</v>
      </c>
      <c r="BP725" t="s">
        <v>2812</v>
      </c>
      <c r="BQ725" t="s">
        <v>2813</v>
      </c>
      <c r="BR725" t="s">
        <v>102</v>
      </c>
      <c r="BS725" t="s">
        <v>14188</v>
      </c>
      <c r="BT725" t="str">
        <f>HYPERLINK("https%3A%2F%2Fwww.webofscience.com%2Fwos%2Fwoscc%2Ffull-record%2FWOS:000663029500005","View Full Record in Web of Science")</f>
        <v>View Full Record in Web of Science</v>
      </c>
    </row>
    <row r="726" spans="1:72" x14ac:dyDescent="0.15">
      <c r="A726" t="s">
        <v>72</v>
      </c>
      <c r="B726" t="s">
        <v>14189</v>
      </c>
      <c r="C726" t="s">
        <v>74</v>
      </c>
      <c r="D726" t="s">
        <v>74</v>
      </c>
      <c r="E726" t="s">
        <v>74</v>
      </c>
      <c r="F726" t="s">
        <v>14190</v>
      </c>
      <c r="G726" t="s">
        <v>74</v>
      </c>
      <c r="H726" t="s">
        <v>74</v>
      </c>
      <c r="I726" t="s">
        <v>14191</v>
      </c>
      <c r="J726" t="s">
        <v>14192</v>
      </c>
      <c r="K726" t="s">
        <v>74</v>
      </c>
      <c r="L726" t="s">
        <v>74</v>
      </c>
      <c r="M726" t="s">
        <v>78</v>
      </c>
      <c r="N726" t="s">
        <v>79</v>
      </c>
      <c r="O726" t="s">
        <v>74</v>
      </c>
      <c r="P726" t="s">
        <v>74</v>
      </c>
      <c r="Q726" t="s">
        <v>74</v>
      </c>
      <c r="R726" t="s">
        <v>74</v>
      </c>
      <c r="S726" t="s">
        <v>74</v>
      </c>
      <c r="T726" t="s">
        <v>14193</v>
      </c>
      <c r="U726" t="s">
        <v>14194</v>
      </c>
      <c r="V726" t="s">
        <v>14195</v>
      </c>
      <c r="W726" t="s">
        <v>14196</v>
      </c>
      <c r="X726" t="s">
        <v>14197</v>
      </c>
      <c r="Y726" t="s">
        <v>14198</v>
      </c>
      <c r="Z726" t="s">
        <v>14199</v>
      </c>
      <c r="AA726" t="s">
        <v>14200</v>
      </c>
      <c r="AB726" t="s">
        <v>14201</v>
      </c>
      <c r="AC726" t="s">
        <v>14202</v>
      </c>
      <c r="AD726" t="s">
        <v>14203</v>
      </c>
      <c r="AE726" t="s">
        <v>14204</v>
      </c>
      <c r="AF726" t="s">
        <v>74</v>
      </c>
      <c r="AG726">
        <v>93</v>
      </c>
      <c r="AH726">
        <v>8</v>
      </c>
      <c r="AI726">
        <v>8</v>
      </c>
      <c r="AJ726">
        <v>9</v>
      </c>
      <c r="AK726">
        <v>9</v>
      </c>
      <c r="AL726" t="s">
        <v>1101</v>
      </c>
      <c r="AM726" t="s">
        <v>1102</v>
      </c>
      <c r="AN726" t="s">
        <v>1103</v>
      </c>
      <c r="AO726" t="s">
        <v>74</v>
      </c>
      <c r="AP726" t="s">
        <v>14205</v>
      </c>
      <c r="AQ726" t="s">
        <v>74</v>
      </c>
      <c r="AR726" t="s">
        <v>14206</v>
      </c>
      <c r="AS726" t="s">
        <v>14207</v>
      </c>
      <c r="AT726" t="s">
        <v>4571</v>
      </c>
      <c r="AU726">
        <v>2021</v>
      </c>
      <c r="AV726">
        <v>2</v>
      </c>
      <c r="AW726">
        <v>2</v>
      </c>
      <c r="AX726" t="s">
        <v>74</v>
      </c>
      <c r="AY726" t="s">
        <v>74</v>
      </c>
      <c r="AZ726" t="s">
        <v>74</v>
      </c>
      <c r="BA726" t="s">
        <v>74</v>
      </c>
      <c r="BB726">
        <v>351</v>
      </c>
      <c r="BC726">
        <v>385</v>
      </c>
      <c r="BD726" t="s">
        <v>74</v>
      </c>
      <c r="BE726" t="s">
        <v>14208</v>
      </c>
      <c r="BF726" t="str">
        <f>HYPERLINK("http://dx.doi.org/10.3390/oceans2020021","http://dx.doi.org/10.3390/oceans2020021")</f>
        <v>http://dx.doi.org/10.3390/oceans2020021</v>
      </c>
      <c r="BG726" t="s">
        <v>74</v>
      </c>
      <c r="BH726" t="s">
        <v>74</v>
      </c>
      <c r="BI726">
        <v>35</v>
      </c>
      <c r="BJ726" t="s">
        <v>3436</v>
      </c>
      <c r="BK726" t="s">
        <v>1819</v>
      </c>
      <c r="BL726" t="s">
        <v>3436</v>
      </c>
      <c r="BM726" t="s">
        <v>14209</v>
      </c>
      <c r="BN726" t="s">
        <v>74</v>
      </c>
      <c r="BO726" t="s">
        <v>1377</v>
      </c>
      <c r="BP726" t="s">
        <v>74</v>
      </c>
      <c r="BQ726" t="s">
        <v>74</v>
      </c>
      <c r="BR726" t="s">
        <v>102</v>
      </c>
      <c r="BS726" t="s">
        <v>14210</v>
      </c>
      <c r="BT726" t="str">
        <f>HYPERLINK("https%3A%2F%2Fwww.webofscience.com%2Fwos%2Fwoscc%2Ffull-record%2FWOS:001010392200001","View Full Record in Web of Science")</f>
        <v>View Full Record in Web of Science</v>
      </c>
    </row>
    <row r="727" spans="1:72" x14ac:dyDescent="0.15">
      <c r="A727" t="s">
        <v>72</v>
      </c>
      <c r="B727" t="s">
        <v>14211</v>
      </c>
      <c r="C727" t="s">
        <v>74</v>
      </c>
      <c r="D727" t="s">
        <v>74</v>
      </c>
      <c r="E727" t="s">
        <v>74</v>
      </c>
      <c r="F727" t="s">
        <v>14212</v>
      </c>
      <c r="G727" t="s">
        <v>74</v>
      </c>
      <c r="H727" t="s">
        <v>74</v>
      </c>
      <c r="I727" t="s">
        <v>14213</v>
      </c>
      <c r="J727" t="s">
        <v>7755</v>
      </c>
      <c r="K727" t="s">
        <v>74</v>
      </c>
      <c r="L727" t="s">
        <v>74</v>
      </c>
      <c r="M727" t="s">
        <v>78</v>
      </c>
      <c r="N727" t="s">
        <v>79</v>
      </c>
      <c r="O727" t="s">
        <v>74</v>
      </c>
      <c r="P727" t="s">
        <v>74</v>
      </c>
      <c r="Q727" t="s">
        <v>74</v>
      </c>
      <c r="R727" t="s">
        <v>74</v>
      </c>
      <c r="S727" t="s">
        <v>74</v>
      </c>
      <c r="T727" t="s">
        <v>74</v>
      </c>
      <c r="U727" t="s">
        <v>14214</v>
      </c>
      <c r="V727" t="s">
        <v>14215</v>
      </c>
      <c r="W727" t="s">
        <v>14216</v>
      </c>
      <c r="X727" t="s">
        <v>14217</v>
      </c>
      <c r="Y727" t="s">
        <v>14218</v>
      </c>
      <c r="Z727" t="s">
        <v>14219</v>
      </c>
      <c r="AA727" t="s">
        <v>14220</v>
      </c>
      <c r="AB727" t="s">
        <v>14221</v>
      </c>
      <c r="AC727" t="s">
        <v>14222</v>
      </c>
      <c r="AD727" t="s">
        <v>14223</v>
      </c>
      <c r="AE727" t="s">
        <v>14224</v>
      </c>
      <c r="AF727" t="s">
        <v>74</v>
      </c>
      <c r="AG727">
        <v>45</v>
      </c>
      <c r="AH727">
        <v>24</v>
      </c>
      <c r="AI727">
        <v>24</v>
      </c>
      <c r="AJ727">
        <v>0</v>
      </c>
      <c r="AK727">
        <v>7</v>
      </c>
      <c r="AL727" t="s">
        <v>7767</v>
      </c>
      <c r="AM727" t="s">
        <v>865</v>
      </c>
      <c r="AN727" t="s">
        <v>7768</v>
      </c>
      <c r="AO727" t="s">
        <v>7769</v>
      </c>
      <c r="AP727" t="s">
        <v>74</v>
      </c>
      <c r="AQ727" t="s">
        <v>74</v>
      </c>
      <c r="AR727" t="s">
        <v>7770</v>
      </c>
      <c r="AS727" t="s">
        <v>7771</v>
      </c>
      <c r="AT727" t="s">
        <v>4571</v>
      </c>
      <c r="AU727">
        <v>2021</v>
      </c>
      <c r="AV727">
        <v>7</v>
      </c>
      <c r="AW727">
        <v>24</v>
      </c>
      <c r="AX727" t="s">
        <v>74</v>
      </c>
      <c r="AY727" t="s">
        <v>74</v>
      </c>
      <c r="AZ727" t="s">
        <v>74</v>
      </c>
      <c r="BA727" t="s">
        <v>74</v>
      </c>
      <c r="BB727" t="s">
        <v>74</v>
      </c>
      <c r="BC727" t="s">
        <v>74</v>
      </c>
      <c r="BD727" t="s">
        <v>14225</v>
      </c>
      <c r="BE727" t="s">
        <v>14226</v>
      </c>
      <c r="BF727" t="str">
        <f>HYPERLINK("http://dx.doi.org/10.1126/sciadv.abf8755","http://dx.doi.org/10.1126/sciadv.abf8755")</f>
        <v>http://dx.doi.org/10.1126/sciadv.abf8755</v>
      </c>
      <c r="BG727" t="s">
        <v>74</v>
      </c>
      <c r="BH727" t="s">
        <v>74</v>
      </c>
      <c r="BI727">
        <v>10</v>
      </c>
      <c r="BJ727" t="s">
        <v>2609</v>
      </c>
      <c r="BK727" t="s">
        <v>128</v>
      </c>
      <c r="BL727" t="s">
        <v>2610</v>
      </c>
      <c r="BM727" t="s">
        <v>12449</v>
      </c>
      <c r="BN727">
        <v>34117060</v>
      </c>
      <c r="BO727" t="s">
        <v>238</v>
      </c>
      <c r="BP727" t="s">
        <v>74</v>
      </c>
      <c r="BQ727" t="s">
        <v>74</v>
      </c>
      <c r="BR727" t="s">
        <v>102</v>
      </c>
      <c r="BS727" t="s">
        <v>14227</v>
      </c>
      <c r="BT727" t="str">
        <f>HYPERLINK("https%3A%2F%2Fwww.webofscience.com%2Fwos%2Fwoscc%2Ffull-record%2FWOS:000677572900009","View Full Record in Web of Science")</f>
        <v>View Full Record in Web of Science</v>
      </c>
    </row>
    <row r="728" spans="1:72" x14ac:dyDescent="0.15">
      <c r="A728" t="s">
        <v>72</v>
      </c>
      <c r="B728" t="s">
        <v>14228</v>
      </c>
      <c r="C728" t="s">
        <v>74</v>
      </c>
      <c r="D728" t="s">
        <v>74</v>
      </c>
      <c r="E728" t="s">
        <v>74</v>
      </c>
      <c r="F728" t="s">
        <v>14229</v>
      </c>
      <c r="G728" t="s">
        <v>74</v>
      </c>
      <c r="H728" t="s">
        <v>74</v>
      </c>
      <c r="I728" t="s">
        <v>14230</v>
      </c>
      <c r="J728" t="s">
        <v>2226</v>
      </c>
      <c r="K728" t="s">
        <v>74</v>
      </c>
      <c r="L728" t="s">
        <v>74</v>
      </c>
      <c r="M728" t="s">
        <v>78</v>
      </c>
      <c r="N728" t="s">
        <v>79</v>
      </c>
      <c r="O728" t="s">
        <v>74</v>
      </c>
      <c r="P728" t="s">
        <v>74</v>
      </c>
      <c r="Q728" t="s">
        <v>74</v>
      </c>
      <c r="R728" t="s">
        <v>74</v>
      </c>
      <c r="S728" t="s">
        <v>74</v>
      </c>
      <c r="T728" t="s">
        <v>14231</v>
      </c>
      <c r="U728" t="s">
        <v>14232</v>
      </c>
      <c r="V728" t="s">
        <v>14233</v>
      </c>
      <c r="W728" t="s">
        <v>14234</v>
      </c>
      <c r="X728" t="s">
        <v>14235</v>
      </c>
      <c r="Y728" t="s">
        <v>14236</v>
      </c>
      <c r="Z728" t="s">
        <v>14237</v>
      </c>
      <c r="AA728" t="s">
        <v>14238</v>
      </c>
      <c r="AB728" t="s">
        <v>14239</v>
      </c>
      <c r="AC728" t="s">
        <v>14240</v>
      </c>
      <c r="AD728" t="s">
        <v>14241</v>
      </c>
      <c r="AE728" t="s">
        <v>14242</v>
      </c>
      <c r="AF728" t="s">
        <v>74</v>
      </c>
      <c r="AG728">
        <v>139</v>
      </c>
      <c r="AH728">
        <v>4</v>
      </c>
      <c r="AI728">
        <v>4</v>
      </c>
      <c r="AJ728">
        <v>0</v>
      </c>
      <c r="AK728">
        <v>5</v>
      </c>
      <c r="AL728" t="s">
        <v>649</v>
      </c>
      <c r="AM728" t="s">
        <v>2239</v>
      </c>
      <c r="AN728" t="s">
        <v>2240</v>
      </c>
      <c r="AO728" t="s">
        <v>2241</v>
      </c>
      <c r="AP728" t="s">
        <v>2242</v>
      </c>
      <c r="AQ728" t="s">
        <v>74</v>
      </c>
      <c r="AR728" t="s">
        <v>2243</v>
      </c>
      <c r="AS728" t="s">
        <v>2244</v>
      </c>
      <c r="AT728" t="s">
        <v>4571</v>
      </c>
      <c r="AU728">
        <v>2021</v>
      </c>
      <c r="AV728">
        <v>67</v>
      </c>
      <c r="AW728">
        <v>263</v>
      </c>
      <c r="AX728" t="s">
        <v>74</v>
      </c>
      <c r="AY728" t="s">
        <v>74</v>
      </c>
      <c r="AZ728" t="s">
        <v>74</v>
      </c>
      <c r="BA728" t="s">
        <v>74</v>
      </c>
      <c r="BB728">
        <v>404</v>
      </c>
      <c r="BC728">
        <v>420</v>
      </c>
      <c r="BD728" t="s">
        <v>74</v>
      </c>
      <c r="BE728" t="s">
        <v>14243</v>
      </c>
      <c r="BF728" t="str">
        <f>HYPERLINK("http://dx.doi.org/10.1017/jog.2020.115","http://dx.doi.org/10.1017/jog.2020.115")</f>
        <v>http://dx.doi.org/10.1017/jog.2020.115</v>
      </c>
      <c r="BG728" t="s">
        <v>74</v>
      </c>
      <c r="BH728" t="s">
        <v>74</v>
      </c>
      <c r="BI728">
        <v>17</v>
      </c>
      <c r="BJ728" t="s">
        <v>151</v>
      </c>
      <c r="BK728" t="s">
        <v>128</v>
      </c>
      <c r="BL728" t="s">
        <v>152</v>
      </c>
      <c r="BM728" t="s">
        <v>14244</v>
      </c>
      <c r="BN728" t="s">
        <v>74</v>
      </c>
      <c r="BO728" t="s">
        <v>1377</v>
      </c>
      <c r="BP728" t="s">
        <v>74</v>
      </c>
      <c r="BQ728" t="s">
        <v>74</v>
      </c>
      <c r="BR728" t="s">
        <v>102</v>
      </c>
      <c r="BS728" t="s">
        <v>14245</v>
      </c>
      <c r="BT728" t="str">
        <f>HYPERLINK("https%3A%2F%2Fwww.webofscience.com%2Fwos%2Fwoscc%2Ffull-record%2FWOS:000647771400002","View Full Record in Web of Science")</f>
        <v>View Full Record in Web of Science</v>
      </c>
    </row>
    <row r="729" spans="1:72" x14ac:dyDescent="0.15">
      <c r="A729" t="s">
        <v>72</v>
      </c>
      <c r="B729" t="s">
        <v>14246</v>
      </c>
      <c r="C729" t="s">
        <v>74</v>
      </c>
      <c r="D729" t="s">
        <v>74</v>
      </c>
      <c r="E729" t="s">
        <v>74</v>
      </c>
      <c r="F729" t="s">
        <v>14247</v>
      </c>
      <c r="G729" t="s">
        <v>74</v>
      </c>
      <c r="H729" t="s">
        <v>74</v>
      </c>
      <c r="I729" t="s">
        <v>14248</v>
      </c>
      <c r="J729" t="s">
        <v>2226</v>
      </c>
      <c r="K729" t="s">
        <v>74</v>
      </c>
      <c r="L729" t="s">
        <v>74</v>
      </c>
      <c r="M729" t="s">
        <v>78</v>
      </c>
      <c r="N729" t="s">
        <v>79</v>
      </c>
      <c r="O729" t="s">
        <v>74</v>
      </c>
      <c r="P729" t="s">
        <v>74</v>
      </c>
      <c r="Q729" t="s">
        <v>74</v>
      </c>
      <c r="R729" t="s">
        <v>74</v>
      </c>
      <c r="S729" t="s">
        <v>74</v>
      </c>
      <c r="T729" t="s">
        <v>14249</v>
      </c>
      <c r="U729" t="s">
        <v>14250</v>
      </c>
      <c r="V729" t="s">
        <v>14251</v>
      </c>
      <c r="W729" t="s">
        <v>14252</v>
      </c>
      <c r="X729" t="s">
        <v>14253</v>
      </c>
      <c r="Y729" t="s">
        <v>14254</v>
      </c>
      <c r="Z729" t="s">
        <v>14255</v>
      </c>
      <c r="AA729" t="s">
        <v>74</v>
      </c>
      <c r="AB729" t="s">
        <v>14256</v>
      </c>
      <c r="AC729" t="s">
        <v>14257</v>
      </c>
      <c r="AD729" t="s">
        <v>74</v>
      </c>
      <c r="AE729" t="s">
        <v>14258</v>
      </c>
      <c r="AF729" t="s">
        <v>74</v>
      </c>
      <c r="AG729">
        <v>59</v>
      </c>
      <c r="AH729">
        <v>17</v>
      </c>
      <c r="AI729">
        <v>19</v>
      </c>
      <c r="AJ729">
        <v>0</v>
      </c>
      <c r="AK729">
        <v>8</v>
      </c>
      <c r="AL729" t="s">
        <v>649</v>
      </c>
      <c r="AM729" t="s">
        <v>2239</v>
      </c>
      <c r="AN729" t="s">
        <v>2240</v>
      </c>
      <c r="AO729" t="s">
        <v>2241</v>
      </c>
      <c r="AP729" t="s">
        <v>2242</v>
      </c>
      <c r="AQ729" t="s">
        <v>74</v>
      </c>
      <c r="AR729" t="s">
        <v>2243</v>
      </c>
      <c r="AS729" t="s">
        <v>2244</v>
      </c>
      <c r="AT729" t="s">
        <v>4571</v>
      </c>
      <c r="AU729">
        <v>2021</v>
      </c>
      <c r="AV729">
        <v>67</v>
      </c>
      <c r="AW729">
        <v>263</v>
      </c>
      <c r="AX729" t="s">
        <v>74</v>
      </c>
      <c r="AY729" t="s">
        <v>74</v>
      </c>
      <c r="AZ729" t="s">
        <v>74</v>
      </c>
      <c r="BA729" t="s">
        <v>74</v>
      </c>
      <c r="BB729">
        <v>435</v>
      </c>
      <c r="BC729">
        <v>449</v>
      </c>
      <c r="BD729" t="s">
        <v>14259</v>
      </c>
      <c r="BE729" t="s">
        <v>14260</v>
      </c>
      <c r="BF729" t="str">
        <f>HYPERLINK("http://dx.doi.org/10.1017/jog.2020.118","http://dx.doi.org/10.1017/jog.2020.118")</f>
        <v>http://dx.doi.org/10.1017/jog.2020.118</v>
      </c>
      <c r="BG729" t="s">
        <v>74</v>
      </c>
      <c r="BH729" t="s">
        <v>74</v>
      </c>
      <c r="BI729">
        <v>15</v>
      </c>
      <c r="BJ729" t="s">
        <v>151</v>
      </c>
      <c r="BK729" t="s">
        <v>128</v>
      </c>
      <c r="BL729" t="s">
        <v>152</v>
      </c>
      <c r="BM729" t="s">
        <v>14244</v>
      </c>
      <c r="BN729" t="s">
        <v>74</v>
      </c>
      <c r="BO729" t="s">
        <v>7792</v>
      </c>
      <c r="BP729" t="s">
        <v>74</v>
      </c>
      <c r="BQ729" t="s">
        <v>74</v>
      </c>
      <c r="BR729" t="s">
        <v>102</v>
      </c>
      <c r="BS729" t="s">
        <v>14261</v>
      </c>
      <c r="BT729" t="str">
        <f>HYPERLINK("https%3A%2F%2Fwww.webofscience.com%2Fwos%2Fwoscc%2Ffull-record%2FWOS:000647771400004","View Full Record in Web of Science")</f>
        <v>View Full Record in Web of Science</v>
      </c>
    </row>
    <row r="730" spans="1:72" x14ac:dyDescent="0.15">
      <c r="A730" t="s">
        <v>72</v>
      </c>
      <c r="B730" t="s">
        <v>14262</v>
      </c>
      <c r="C730" t="s">
        <v>74</v>
      </c>
      <c r="D730" t="s">
        <v>74</v>
      </c>
      <c r="E730" t="s">
        <v>74</v>
      </c>
      <c r="F730" t="s">
        <v>14263</v>
      </c>
      <c r="G730" t="s">
        <v>74</v>
      </c>
      <c r="H730" t="s">
        <v>74</v>
      </c>
      <c r="I730" t="s">
        <v>14264</v>
      </c>
      <c r="J730" t="s">
        <v>2226</v>
      </c>
      <c r="K730" t="s">
        <v>74</v>
      </c>
      <c r="L730" t="s">
        <v>74</v>
      </c>
      <c r="M730" t="s">
        <v>78</v>
      </c>
      <c r="N730" t="s">
        <v>79</v>
      </c>
      <c r="O730" t="s">
        <v>74</v>
      </c>
      <c r="P730" t="s">
        <v>74</v>
      </c>
      <c r="Q730" t="s">
        <v>74</v>
      </c>
      <c r="R730" t="s">
        <v>74</v>
      </c>
      <c r="S730" t="s">
        <v>74</v>
      </c>
      <c r="T730" t="s">
        <v>14265</v>
      </c>
      <c r="U730" t="s">
        <v>14266</v>
      </c>
      <c r="V730" t="s">
        <v>14267</v>
      </c>
      <c r="W730" t="s">
        <v>14268</v>
      </c>
      <c r="X730" t="s">
        <v>14269</v>
      </c>
      <c r="Y730" t="s">
        <v>14270</v>
      </c>
      <c r="Z730" t="s">
        <v>14271</v>
      </c>
      <c r="AA730" t="s">
        <v>14272</v>
      </c>
      <c r="AB730" t="s">
        <v>14273</v>
      </c>
      <c r="AC730" t="s">
        <v>14274</v>
      </c>
      <c r="AD730" t="s">
        <v>14275</v>
      </c>
      <c r="AE730" t="s">
        <v>14276</v>
      </c>
      <c r="AF730" t="s">
        <v>74</v>
      </c>
      <c r="AG730">
        <v>69</v>
      </c>
      <c r="AH730">
        <v>5</v>
      </c>
      <c r="AI730">
        <v>5</v>
      </c>
      <c r="AJ730">
        <v>0</v>
      </c>
      <c r="AK730">
        <v>5</v>
      </c>
      <c r="AL730" t="s">
        <v>649</v>
      </c>
      <c r="AM730" t="s">
        <v>2239</v>
      </c>
      <c r="AN730" t="s">
        <v>2240</v>
      </c>
      <c r="AO730" t="s">
        <v>2241</v>
      </c>
      <c r="AP730" t="s">
        <v>2242</v>
      </c>
      <c r="AQ730" t="s">
        <v>74</v>
      </c>
      <c r="AR730" t="s">
        <v>2243</v>
      </c>
      <c r="AS730" t="s">
        <v>2244</v>
      </c>
      <c r="AT730" t="s">
        <v>4571</v>
      </c>
      <c r="AU730">
        <v>2021</v>
      </c>
      <c r="AV730">
        <v>67</v>
      </c>
      <c r="AW730">
        <v>263</v>
      </c>
      <c r="AX730" t="s">
        <v>74</v>
      </c>
      <c r="AY730" t="s">
        <v>74</v>
      </c>
      <c r="AZ730" t="s">
        <v>74</v>
      </c>
      <c r="BA730" t="s">
        <v>74</v>
      </c>
      <c r="BB730">
        <v>450</v>
      </c>
      <c r="BC730">
        <v>472</v>
      </c>
      <c r="BD730" t="s">
        <v>14277</v>
      </c>
      <c r="BE730" t="s">
        <v>14278</v>
      </c>
      <c r="BF730" t="str">
        <f>HYPERLINK("http://dx.doi.org/10.1017/jog.2021.1","http://dx.doi.org/10.1017/jog.2021.1")</f>
        <v>http://dx.doi.org/10.1017/jog.2021.1</v>
      </c>
      <c r="BG730" t="s">
        <v>74</v>
      </c>
      <c r="BH730" t="s">
        <v>74</v>
      </c>
      <c r="BI730">
        <v>23</v>
      </c>
      <c r="BJ730" t="s">
        <v>151</v>
      </c>
      <c r="BK730" t="s">
        <v>128</v>
      </c>
      <c r="BL730" t="s">
        <v>152</v>
      </c>
      <c r="BM730" t="s">
        <v>14244</v>
      </c>
      <c r="BN730" t="s">
        <v>74</v>
      </c>
      <c r="BO730" t="s">
        <v>638</v>
      </c>
      <c r="BP730" t="s">
        <v>74</v>
      </c>
      <c r="BQ730" t="s">
        <v>74</v>
      </c>
      <c r="BR730" t="s">
        <v>102</v>
      </c>
      <c r="BS730" t="s">
        <v>14279</v>
      </c>
      <c r="BT730" t="str">
        <f>HYPERLINK("https%3A%2F%2Fwww.webofscience.com%2Fwos%2Fwoscc%2Ffull-record%2FWOS:000647771400005","View Full Record in Web of Science")</f>
        <v>View Full Record in Web of Science</v>
      </c>
    </row>
    <row r="731" spans="1:72" x14ac:dyDescent="0.15">
      <c r="A731" t="s">
        <v>72</v>
      </c>
      <c r="B731" t="s">
        <v>14280</v>
      </c>
      <c r="C731" t="s">
        <v>74</v>
      </c>
      <c r="D731" t="s">
        <v>74</v>
      </c>
      <c r="E731" t="s">
        <v>74</v>
      </c>
      <c r="F731" t="s">
        <v>14281</v>
      </c>
      <c r="G731" t="s">
        <v>74</v>
      </c>
      <c r="H731" t="s">
        <v>74</v>
      </c>
      <c r="I731" t="s">
        <v>14282</v>
      </c>
      <c r="J731" t="s">
        <v>2226</v>
      </c>
      <c r="K731" t="s">
        <v>74</v>
      </c>
      <c r="L731" t="s">
        <v>74</v>
      </c>
      <c r="M731" t="s">
        <v>78</v>
      </c>
      <c r="N731" t="s">
        <v>79</v>
      </c>
      <c r="O731" t="s">
        <v>74</v>
      </c>
      <c r="P731" t="s">
        <v>74</v>
      </c>
      <c r="Q731" t="s">
        <v>74</v>
      </c>
      <c r="R731" t="s">
        <v>74</v>
      </c>
      <c r="S731" t="s">
        <v>74</v>
      </c>
      <c r="T731" t="s">
        <v>14283</v>
      </c>
      <c r="U731" t="s">
        <v>14284</v>
      </c>
      <c r="V731" t="s">
        <v>14285</v>
      </c>
      <c r="W731" t="s">
        <v>14286</v>
      </c>
      <c r="X731" t="s">
        <v>14287</v>
      </c>
      <c r="Y731" t="s">
        <v>14288</v>
      </c>
      <c r="Z731" t="s">
        <v>14289</v>
      </c>
      <c r="AA731" t="s">
        <v>14290</v>
      </c>
      <c r="AB731" t="s">
        <v>14291</v>
      </c>
      <c r="AC731" t="s">
        <v>14292</v>
      </c>
      <c r="AD731" t="s">
        <v>14293</v>
      </c>
      <c r="AE731" t="s">
        <v>14294</v>
      </c>
      <c r="AF731" t="s">
        <v>74</v>
      </c>
      <c r="AG731">
        <v>63</v>
      </c>
      <c r="AH731">
        <v>1</v>
      </c>
      <c r="AI731">
        <v>2</v>
      </c>
      <c r="AJ731">
        <v>3</v>
      </c>
      <c r="AK731">
        <v>34</v>
      </c>
      <c r="AL731" t="s">
        <v>649</v>
      </c>
      <c r="AM731" t="s">
        <v>2239</v>
      </c>
      <c r="AN731" t="s">
        <v>2240</v>
      </c>
      <c r="AO731" t="s">
        <v>2241</v>
      </c>
      <c r="AP731" t="s">
        <v>2242</v>
      </c>
      <c r="AQ731" t="s">
        <v>74</v>
      </c>
      <c r="AR731" t="s">
        <v>2243</v>
      </c>
      <c r="AS731" t="s">
        <v>2244</v>
      </c>
      <c r="AT731" t="s">
        <v>4571</v>
      </c>
      <c r="AU731">
        <v>2021</v>
      </c>
      <c r="AV731">
        <v>67</v>
      </c>
      <c r="AW731">
        <v>263</v>
      </c>
      <c r="AX731" t="s">
        <v>74</v>
      </c>
      <c r="AY731" t="s">
        <v>74</v>
      </c>
      <c r="AZ731" t="s">
        <v>74</v>
      </c>
      <c r="BA731" t="s">
        <v>74</v>
      </c>
      <c r="BB731">
        <v>523</v>
      </c>
      <c r="BC731">
        <v>532</v>
      </c>
      <c r="BD731" t="s">
        <v>14295</v>
      </c>
      <c r="BE731" t="s">
        <v>14296</v>
      </c>
      <c r="BF731" t="str">
        <f>HYPERLINK("http://dx.doi.org/10.1017/jog.2021.5","http://dx.doi.org/10.1017/jog.2021.5")</f>
        <v>http://dx.doi.org/10.1017/jog.2021.5</v>
      </c>
      <c r="BG731" t="s">
        <v>74</v>
      </c>
      <c r="BH731" t="s">
        <v>74</v>
      </c>
      <c r="BI731">
        <v>10</v>
      </c>
      <c r="BJ731" t="s">
        <v>151</v>
      </c>
      <c r="BK731" t="s">
        <v>128</v>
      </c>
      <c r="BL731" t="s">
        <v>152</v>
      </c>
      <c r="BM731" t="s">
        <v>14244</v>
      </c>
      <c r="BN731" t="s">
        <v>74</v>
      </c>
      <c r="BO731" t="s">
        <v>638</v>
      </c>
      <c r="BP731" t="s">
        <v>74</v>
      </c>
      <c r="BQ731" t="s">
        <v>74</v>
      </c>
      <c r="BR731" t="s">
        <v>102</v>
      </c>
      <c r="BS731" t="s">
        <v>14297</v>
      </c>
      <c r="BT731" t="str">
        <f>HYPERLINK("https%3A%2F%2Fwww.webofscience.com%2Fwos%2Fwoscc%2Ffull-record%2FWOS:000647771400010","View Full Record in Web of Science")</f>
        <v>View Full Record in Web of Science</v>
      </c>
    </row>
    <row r="732" spans="1:72" x14ac:dyDescent="0.15">
      <c r="A732" t="s">
        <v>72</v>
      </c>
      <c r="B732" t="s">
        <v>14298</v>
      </c>
      <c r="C732" t="s">
        <v>74</v>
      </c>
      <c r="D732" t="s">
        <v>74</v>
      </c>
      <c r="E732" t="s">
        <v>74</v>
      </c>
      <c r="F732" t="s">
        <v>14299</v>
      </c>
      <c r="G732" t="s">
        <v>74</v>
      </c>
      <c r="H732" t="s">
        <v>74</v>
      </c>
      <c r="I732" t="s">
        <v>14300</v>
      </c>
      <c r="J732" t="s">
        <v>2226</v>
      </c>
      <c r="K732" t="s">
        <v>74</v>
      </c>
      <c r="L732" t="s">
        <v>74</v>
      </c>
      <c r="M732" t="s">
        <v>78</v>
      </c>
      <c r="N732" t="s">
        <v>79</v>
      </c>
      <c r="O732" t="s">
        <v>74</v>
      </c>
      <c r="P732" t="s">
        <v>74</v>
      </c>
      <c r="Q732" t="s">
        <v>74</v>
      </c>
      <c r="R732" t="s">
        <v>74</v>
      </c>
      <c r="S732" t="s">
        <v>74</v>
      </c>
      <c r="T732" t="s">
        <v>14301</v>
      </c>
      <c r="U732" t="s">
        <v>14302</v>
      </c>
      <c r="V732" t="s">
        <v>14303</v>
      </c>
      <c r="W732" t="s">
        <v>14304</v>
      </c>
      <c r="X732" t="s">
        <v>14305</v>
      </c>
      <c r="Y732" t="s">
        <v>14306</v>
      </c>
      <c r="Z732" t="s">
        <v>14307</v>
      </c>
      <c r="AA732" t="s">
        <v>14308</v>
      </c>
      <c r="AB732" t="s">
        <v>74</v>
      </c>
      <c r="AC732" t="s">
        <v>14309</v>
      </c>
      <c r="AD732" t="s">
        <v>14310</v>
      </c>
      <c r="AE732" t="s">
        <v>14311</v>
      </c>
      <c r="AF732" t="s">
        <v>74</v>
      </c>
      <c r="AG732">
        <v>103</v>
      </c>
      <c r="AH732">
        <v>10</v>
      </c>
      <c r="AI732">
        <v>11</v>
      </c>
      <c r="AJ732">
        <v>1</v>
      </c>
      <c r="AK732">
        <v>33</v>
      </c>
      <c r="AL732" t="s">
        <v>649</v>
      </c>
      <c r="AM732" t="s">
        <v>2239</v>
      </c>
      <c r="AN732" t="s">
        <v>2240</v>
      </c>
      <c r="AO732" t="s">
        <v>2241</v>
      </c>
      <c r="AP732" t="s">
        <v>2242</v>
      </c>
      <c r="AQ732" t="s">
        <v>74</v>
      </c>
      <c r="AR732" t="s">
        <v>2243</v>
      </c>
      <c r="AS732" t="s">
        <v>2244</v>
      </c>
      <c r="AT732" t="s">
        <v>4571</v>
      </c>
      <c r="AU732">
        <v>2021</v>
      </c>
      <c r="AV732">
        <v>67</v>
      </c>
      <c r="AW732">
        <v>263</v>
      </c>
      <c r="AX732" t="s">
        <v>74</v>
      </c>
      <c r="AY732" t="s">
        <v>74</v>
      </c>
      <c r="AZ732" t="s">
        <v>74</v>
      </c>
      <c r="BA732" t="s">
        <v>74</v>
      </c>
      <c r="BB732">
        <v>533</v>
      </c>
      <c r="BC732">
        <v>559</v>
      </c>
      <c r="BD732" t="s">
        <v>14312</v>
      </c>
      <c r="BE732" t="s">
        <v>14313</v>
      </c>
      <c r="BF732" t="str">
        <f>HYPERLINK("http://dx.doi.org/10.1017/jog.2021.8","http://dx.doi.org/10.1017/jog.2021.8")</f>
        <v>http://dx.doi.org/10.1017/jog.2021.8</v>
      </c>
      <c r="BG732" t="s">
        <v>74</v>
      </c>
      <c r="BH732" t="s">
        <v>74</v>
      </c>
      <c r="BI732">
        <v>27</v>
      </c>
      <c r="BJ732" t="s">
        <v>151</v>
      </c>
      <c r="BK732" t="s">
        <v>128</v>
      </c>
      <c r="BL732" t="s">
        <v>152</v>
      </c>
      <c r="BM732" t="s">
        <v>14244</v>
      </c>
      <c r="BN732" t="s">
        <v>74</v>
      </c>
      <c r="BO732" t="s">
        <v>638</v>
      </c>
      <c r="BP732" t="s">
        <v>74</v>
      </c>
      <c r="BQ732" t="s">
        <v>74</v>
      </c>
      <c r="BR732" t="s">
        <v>102</v>
      </c>
      <c r="BS732" t="s">
        <v>14314</v>
      </c>
      <c r="BT732" t="str">
        <f>HYPERLINK("https%3A%2F%2Fwww.webofscience.com%2Fwos%2Fwoscc%2Ffull-record%2FWOS:000647771400011","View Full Record in Web of Science")</f>
        <v>View Full Record in Web of Science</v>
      </c>
    </row>
    <row r="733" spans="1:72" x14ac:dyDescent="0.15">
      <c r="A733" t="s">
        <v>72</v>
      </c>
      <c r="B733" t="s">
        <v>14315</v>
      </c>
      <c r="C733" t="s">
        <v>74</v>
      </c>
      <c r="D733" t="s">
        <v>74</v>
      </c>
      <c r="E733" t="s">
        <v>74</v>
      </c>
      <c r="F733" t="s">
        <v>14316</v>
      </c>
      <c r="G733" t="s">
        <v>74</v>
      </c>
      <c r="H733" t="s">
        <v>74</v>
      </c>
      <c r="I733" t="s">
        <v>14317</v>
      </c>
      <c r="J733" t="s">
        <v>2226</v>
      </c>
      <c r="K733" t="s">
        <v>74</v>
      </c>
      <c r="L733" t="s">
        <v>74</v>
      </c>
      <c r="M733" t="s">
        <v>78</v>
      </c>
      <c r="N733" t="s">
        <v>79</v>
      </c>
      <c r="O733" t="s">
        <v>74</v>
      </c>
      <c r="P733" t="s">
        <v>74</v>
      </c>
      <c r="Q733" t="s">
        <v>74</v>
      </c>
      <c r="R733" t="s">
        <v>74</v>
      </c>
      <c r="S733" t="s">
        <v>74</v>
      </c>
      <c r="T733" t="s">
        <v>14318</v>
      </c>
      <c r="U733" t="s">
        <v>14319</v>
      </c>
      <c r="V733" t="s">
        <v>14320</v>
      </c>
      <c r="W733" t="s">
        <v>14321</v>
      </c>
      <c r="X733" t="s">
        <v>14322</v>
      </c>
      <c r="Y733" t="s">
        <v>14323</v>
      </c>
      <c r="Z733" t="s">
        <v>14324</v>
      </c>
      <c r="AA733" t="s">
        <v>14325</v>
      </c>
      <c r="AB733" t="s">
        <v>14326</v>
      </c>
      <c r="AC733" t="s">
        <v>14327</v>
      </c>
      <c r="AD733" t="s">
        <v>14328</v>
      </c>
      <c r="AE733" t="s">
        <v>14329</v>
      </c>
      <c r="AF733" t="s">
        <v>74</v>
      </c>
      <c r="AG733">
        <v>32</v>
      </c>
      <c r="AH733">
        <v>3</v>
      </c>
      <c r="AI733">
        <v>6</v>
      </c>
      <c r="AJ733">
        <v>0</v>
      </c>
      <c r="AK733">
        <v>7</v>
      </c>
      <c r="AL733" t="s">
        <v>649</v>
      </c>
      <c r="AM733" t="s">
        <v>2239</v>
      </c>
      <c r="AN733" t="s">
        <v>2240</v>
      </c>
      <c r="AO733" t="s">
        <v>2241</v>
      </c>
      <c r="AP733" t="s">
        <v>2242</v>
      </c>
      <c r="AQ733" t="s">
        <v>74</v>
      </c>
      <c r="AR733" t="s">
        <v>2243</v>
      </c>
      <c r="AS733" t="s">
        <v>2244</v>
      </c>
      <c r="AT733" t="s">
        <v>4571</v>
      </c>
      <c r="AU733">
        <v>2021</v>
      </c>
      <c r="AV733">
        <v>67</v>
      </c>
      <c r="AW733">
        <v>263</v>
      </c>
      <c r="AX733" t="s">
        <v>74</v>
      </c>
      <c r="AY733" t="s">
        <v>74</v>
      </c>
      <c r="AZ733" t="s">
        <v>74</v>
      </c>
      <c r="BA733" t="s">
        <v>74</v>
      </c>
      <c r="BB733">
        <v>560</v>
      </c>
      <c r="BC733">
        <v>568</v>
      </c>
      <c r="BD733" t="s">
        <v>14330</v>
      </c>
      <c r="BE733" t="s">
        <v>14331</v>
      </c>
      <c r="BF733" t="str">
        <f>HYPERLINK("http://dx.doi.org/10.1017/jog.2021.12","http://dx.doi.org/10.1017/jog.2021.12")</f>
        <v>http://dx.doi.org/10.1017/jog.2021.12</v>
      </c>
      <c r="BG733" t="s">
        <v>74</v>
      </c>
      <c r="BH733" t="s">
        <v>74</v>
      </c>
      <c r="BI733">
        <v>9</v>
      </c>
      <c r="BJ733" t="s">
        <v>151</v>
      </c>
      <c r="BK733" t="s">
        <v>128</v>
      </c>
      <c r="BL733" t="s">
        <v>152</v>
      </c>
      <c r="BM733" t="s">
        <v>14244</v>
      </c>
      <c r="BN733" t="s">
        <v>74</v>
      </c>
      <c r="BO733" t="s">
        <v>638</v>
      </c>
      <c r="BP733" t="s">
        <v>74</v>
      </c>
      <c r="BQ733" t="s">
        <v>74</v>
      </c>
      <c r="BR733" t="s">
        <v>102</v>
      </c>
      <c r="BS733" t="s">
        <v>14332</v>
      </c>
      <c r="BT733" t="str">
        <f>HYPERLINK("https%3A%2F%2Fwww.webofscience.com%2Fwos%2Fwoscc%2Ffull-record%2FWOS:000647771400012","View Full Record in Web of Science")</f>
        <v>View Full Record in Web of Science</v>
      </c>
    </row>
    <row r="734" spans="1:72" x14ac:dyDescent="0.15">
      <c r="A734" t="s">
        <v>72</v>
      </c>
      <c r="B734" t="s">
        <v>14333</v>
      </c>
      <c r="C734" t="s">
        <v>74</v>
      </c>
      <c r="D734" t="s">
        <v>74</v>
      </c>
      <c r="E734" t="s">
        <v>74</v>
      </c>
      <c r="F734" t="s">
        <v>14334</v>
      </c>
      <c r="G734" t="s">
        <v>74</v>
      </c>
      <c r="H734" t="s">
        <v>74</v>
      </c>
      <c r="I734" t="s">
        <v>14335</v>
      </c>
      <c r="J734" t="s">
        <v>14336</v>
      </c>
      <c r="K734" t="s">
        <v>74</v>
      </c>
      <c r="L734" t="s">
        <v>74</v>
      </c>
      <c r="M734" t="s">
        <v>78</v>
      </c>
      <c r="N734" t="s">
        <v>79</v>
      </c>
      <c r="O734" t="s">
        <v>74</v>
      </c>
      <c r="P734" t="s">
        <v>74</v>
      </c>
      <c r="Q734" t="s">
        <v>74</v>
      </c>
      <c r="R734" t="s">
        <v>74</v>
      </c>
      <c r="S734" t="s">
        <v>74</v>
      </c>
      <c r="T734" t="s">
        <v>14337</v>
      </c>
      <c r="U734" t="s">
        <v>14338</v>
      </c>
      <c r="V734" t="s">
        <v>14339</v>
      </c>
      <c r="W734" t="s">
        <v>14340</v>
      </c>
      <c r="X734" t="s">
        <v>14341</v>
      </c>
      <c r="Y734" t="s">
        <v>14342</v>
      </c>
      <c r="Z734" t="s">
        <v>14343</v>
      </c>
      <c r="AA734" t="s">
        <v>14344</v>
      </c>
      <c r="AB734" t="s">
        <v>14345</v>
      </c>
      <c r="AC734" t="s">
        <v>14346</v>
      </c>
      <c r="AD734" t="s">
        <v>14347</v>
      </c>
      <c r="AE734" t="s">
        <v>14348</v>
      </c>
      <c r="AF734" t="s">
        <v>74</v>
      </c>
      <c r="AG734">
        <v>76</v>
      </c>
      <c r="AH734">
        <v>0</v>
      </c>
      <c r="AI734">
        <v>0</v>
      </c>
      <c r="AJ734">
        <v>1</v>
      </c>
      <c r="AK734">
        <v>5</v>
      </c>
      <c r="AL734" t="s">
        <v>450</v>
      </c>
      <c r="AM734" t="s">
        <v>451</v>
      </c>
      <c r="AN734" t="s">
        <v>452</v>
      </c>
      <c r="AO734" t="s">
        <v>14349</v>
      </c>
      <c r="AP734" t="s">
        <v>14350</v>
      </c>
      <c r="AQ734" t="s">
        <v>74</v>
      </c>
      <c r="AR734" t="s">
        <v>14351</v>
      </c>
      <c r="AS734" t="s">
        <v>14352</v>
      </c>
      <c r="AT734" t="s">
        <v>4571</v>
      </c>
      <c r="AU734">
        <v>2021</v>
      </c>
      <c r="AV734">
        <v>42</v>
      </c>
      <c r="AW734">
        <v>2</v>
      </c>
      <c r="AX734" t="s">
        <v>74</v>
      </c>
      <c r="AY734" t="s">
        <v>74</v>
      </c>
      <c r="AZ734" t="s">
        <v>74</v>
      </c>
      <c r="BA734" t="s">
        <v>74</v>
      </c>
      <c r="BB734" t="s">
        <v>74</v>
      </c>
      <c r="BC734" t="s">
        <v>74</v>
      </c>
      <c r="BD734">
        <v>12</v>
      </c>
      <c r="BE734" t="s">
        <v>14353</v>
      </c>
      <c r="BF734" t="str">
        <f>HYPERLINK("http://dx.doi.org/10.1007/s11001-021-09433-1","http://dx.doi.org/10.1007/s11001-021-09433-1")</f>
        <v>http://dx.doi.org/10.1007/s11001-021-09433-1</v>
      </c>
      <c r="BG734" t="s">
        <v>74</v>
      </c>
      <c r="BH734" t="s">
        <v>74</v>
      </c>
      <c r="BI734">
        <v>18</v>
      </c>
      <c r="BJ734" t="s">
        <v>14354</v>
      </c>
      <c r="BK734" t="s">
        <v>128</v>
      </c>
      <c r="BL734" t="s">
        <v>14354</v>
      </c>
      <c r="BM734" t="s">
        <v>14355</v>
      </c>
      <c r="BN734" t="s">
        <v>74</v>
      </c>
      <c r="BO734" t="s">
        <v>74</v>
      </c>
      <c r="BP734" t="s">
        <v>74</v>
      </c>
      <c r="BQ734" t="s">
        <v>74</v>
      </c>
      <c r="BR734" t="s">
        <v>102</v>
      </c>
      <c r="BS734" t="s">
        <v>14356</v>
      </c>
      <c r="BT734" t="str">
        <f>HYPERLINK("https%3A%2F%2Fwww.webofscience.com%2Fwos%2Fwoscc%2Ffull-record%2FWOS:000638878900001","View Full Record in Web of Science")</f>
        <v>View Full Record in Web of Science</v>
      </c>
    </row>
    <row r="735" spans="1:72" x14ac:dyDescent="0.15">
      <c r="A735" t="s">
        <v>72</v>
      </c>
      <c r="B735" t="s">
        <v>14357</v>
      </c>
      <c r="C735" t="s">
        <v>74</v>
      </c>
      <c r="D735" t="s">
        <v>74</v>
      </c>
      <c r="E735" t="s">
        <v>74</v>
      </c>
      <c r="F735" t="s">
        <v>14358</v>
      </c>
      <c r="G735" t="s">
        <v>74</v>
      </c>
      <c r="H735" t="s">
        <v>74</v>
      </c>
      <c r="I735" t="s">
        <v>14359</v>
      </c>
      <c r="J735" t="s">
        <v>14360</v>
      </c>
      <c r="K735" t="s">
        <v>74</v>
      </c>
      <c r="L735" t="s">
        <v>74</v>
      </c>
      <c r="M735" t="s">
        <v>78</v>
      </c>
      <c r="N735" t="s">
        <v>79</v>
      </c>
      <c r="O735" t="s">
        <v>74</v>
      </c>
      <c r="P735" t="s">
        <v>74</v>
      </c>
      <c r="Q735" t="s">
        <v>74</v>
      </c>
      <c r="R735" t="s">
        <v>74</v>
      </c>
      <c r="S735" t="s">
        <v>74</v>
      </c>
      <c r="T735" t="s">
        <v>74</v>
      </c>
      <c r="U735" t="s">
        <v>14361</v>
      </c>
      <c r="V735" t="s">
        <v>14362</v>
      </c>
      <c r="W735" t="s">
        <v>14363</v>
      </c>
      <c r="X735" t="s">
        <v>14364</v>
      </c>
      <c r="Y735" t="s">
        <v>14365</v>
      </c>
      <c r="Z735" t="s">
        <v>14366</v>
      </c>
      <c r="AA735" t="s">
        <v>14367</v>
      </c>
      <c r="AB735" t="s">
        <v>14368</v>
      </c>
      <c r="AC735" t="s">
        <v>14369</v>
      </c>
      <c r="AD735" t="s">
        <v>14370</v>
      </c>
      <c r="AE735" t="s">
        <v>14371</v>
      </c>
      <c r="AF735" t="s">
        <v>74</v>
      </c>
      <c r="AG735">
        <v>42</v>
      </c>
      <c r="AH735">
        <v>16</v>
      </c>
      <c r="AI735">
        <v>17</v>
      </c>
      <c r="AJ735">
        <v>0</v>
      </c>
      <c r="AK735">
        <v>11</v>
      </c>
      <c r="AL735" t="s">
        <v>4067</v>
      </c>
      <c r="AM735" t="s">
        <v>396</v>
      </c>
      <c r="AN735" t="s">
        <v>397</v>
      </c>
      <c r="AO735" t="s">
        <v>74</v>
      </c>
      <c r="AP735" t="s">
        <v>14372</v>
      </c>
      <c r="AQ735" t="s">
        <v>74</v>
      </c>
      <c r="AR735" t="s">
        <v>14373</v>
      </c>
      <c r="AS735" t="s">
        <v>14374</v>
      </c>
      <c r="AT735" t="s">
        <v>14375</v>
      </c>
      <c r="AU735">
        <v>2021</v>
      </c>
      <c r="AV735">
        <v>4</v>
      </c>
      <c r="AW735">
        <v>1</v>
      </c>
      <c r="AX735" t="s">
        <v>74</v>
      </c>
      <c r="AY735" t="s">
        <v>74</v>
      </c>
      <c r="AZ735" t="s">
        <v>74</v>
      </c>
      <c r="BA735" t="s">
        <v>74</v>
      </c>
      <c r="BB735" t="s">
        <v>74</v>
      </c>
      <c r="BC735" t="s">
        <v>74</v>
      </c>
      <c r="BD735">
        <v>644</v>
      </c>
      <c r="BE735" t="s">
        <v>14376</v>
      </c>
      <c r="BF735" t="str">
        <f>HYPERLINK("http://dx.doi.org/10.1038/s42003-021-02159-1","http://dx.doi.org/10.1038/s42003-021-02159-1")</f>
        <v>http://dx.doi.org/10.1038/s42003-021-02159-1</v>
      </c>
      <c r="BG735" t="s">
        <v>74</v>
      </c>
      <c r="BH735" t="s">
        <v>74</v>
      </c>
      <c r="BI735">
        <v>10</v>
      </c>
      <c r="BJ735" t="s">
        <v>14377</v>
      </c>
      <c r="BK735" t="s">
        <v>128</v>
      </c>
      <c r="BL735" t="s">
        <v>14378</v>
      </c>
      <c r="BM735" t="s">
        <v>14379</v>
      </c>
      <c r="BN735">
        <v>34059795</v>
      </c>
      <c r="BO735" t="s">
        <v>8094</v>
      </c>
      <c r="BP735" t="s">
        <v>74</v>
      </c>
      <c r="BQ735" t="s">
        <v>74</v>
      </c>
      <c r="BR735" t="s">
        <v>102</v>
      </c>
      <c r="BS735" t="s">
        <v>14380</v>
      </c>
      <c r="BT735" t="str">
        <f>HYPERLINK("https%3A%2F%2Fwww.webofscience.com%2Fwos%2Fwoscc%2Ffull-record%2FWOS:000659123600004","View Full Record in Web of Science")</f>
        <v>View Full Record in Web of Science</v>
      </c>
    </row>
    <row r="736" spans="1:72" x14ac:dyDescent="0.15">
      <c r="A736" t="s">
        <v>72</v>
      </c>
      <c r="B736" t="s">
        <v>14381</v>
      </c>
      <c r="C736" t="s">
        <v>74</v>
      </c>
      <c r="D736" t="s">
        <v>74</v>
      </c>
      <c r="E736" t="s">
        <v>74</v>
      </c>
      <c r="F736" t="s">
        <v>14382</v>
      </c>
      <c r="G736" t="s">
        <v>74</v>
      </c>
      <c r="H736" t="s">
        <v>74</v>
      </c>
      <c r="I736" t="s">
        <v>14383</v>
      </c>
      <c r="J736" t="s">
        <v>107</v>
      </c>
      <c r="K736" t="s">
        <v>74</v>
      </c>
      <c r="L736" t="s">
        <v>74</v>
      </c>
      <c r="M736" t="s">
        <v>78</v>
      </c>
      <c r="N736" t="s">
        <v>700</v>
      </c>
      <c r="O736" t="s">
        <v>74</v>
      </c>
      <c r="P736" t="s">
        <v>74</v>
      </c>
      <c r="Q736" t="s">
        <v>74</v>
      </c>
      <c r="R736" t="s">
        <v>74</v>
      </c>
      <c r="S736" t="s">
        <v>74</v>
      </c>
      <c r="T736" t="s">
        <v>74</v>
      </c>
      <c r="U736" t="s">
        <v>14384</v>
      </c>
      <c r="V736" t="s">
        <v>14385</v>
      </c>
      <c r="W736" t="s">
        <v>14386</v>
      </c>
      <c r="X736" t="s">
        <v>8142</v>
      </c>
      <c r="Y736" t="s">
        <v>8143</v>
      </c>
      <c r="Z736" t="s">
        <v>8144</v>
      </c>
      <c r="AA736" t="s">
        <v>14387</v>
      </c>
      <c r="AB736" t="s">
        <v>14388</v>
      </c>
      <c r="AC736" t="s">
        <v>14389</v>
      </c>
      <c r="AD736" t="s">
        <v>14389</v>
      </c>
      <c r="AE736" t="s">
        <v>14390</v>
      </c>
      <c r="AF736" t="s">
        <v>74</v>
      </c>
      <c r="AG736">
        <v>78</v>
      </c>
      <c r="AH736">
        <v>15</v>
      </c>
      <c r="AI736">
        <v>15</v>
      </c>
      <c r="AJ736">
        <v>13</v>
      </c>
      <c r="AK736">
        <v>43</v>
      </c>
      <c r="AL736" t="s">
        <v>119</v>
      </c>
      <c r="AM736" t="s">
        <v>120</v>
      </c>
      <c r="AN736" t="s">
        <v>121</v>
      </c>
      <c r="AO736" t="s">
        <v>74</v>
      </c>
      <c r="AP736" t="s">
        <v>122</v>
      </c>
      <c r="AQ736" t="s">
        <v>74</v>
      </c>
      <c r="AR736" t="s">
        <v>123</v>
      </c>
      <c r="AS736" t="s">
        <v>124</v>
      </c>
      <c r="AT736" t="s">
        <v>14375</v>
      </c>
      <c r="AU736">
        <v>2021</v>
      </c>
      <c r="AV736">
        <v>8</v>
      </c>
      <c r="AW736" t="s">
        <v>74</v>
      </c>
      <c r="AX736" t="s">
        <v>74</v>
      </c>
      <c r="AY736" t="s">
        <v>74</v>
      </c>
      <c r="AZ736" t="s">
        <v>74</v>
      </c>
      <c r="BA736" t="s">
        <v>74</v>
      </c>
      <c r="BB736" t="s">
        <v>74</v>
      </c>
      <c r="BC736" t="s">
        <v>74</v>
      </c>
      <c r="BD736">
        <v>667274</v>
      </c>
      <c r="BE736" t="s">
        <v>14391</v>
      </c>
      <c r="BF736" t="str">
        <f>HYPERLINK("http://dx.doi.org/10.3389/fmars.2021.667274","http://dx.doi.org/10.3389/fmars.2021.667274")</f>
        <v>http://dx.doi.org/10.3389/fmars.2021.667274</v>
      </c>
      <c r="BG736" t="s">
        <v>74</v>
      </c>
      <c r="BH736" t="s">
        <v>74</v>
      </c>
      <c r="BI736">
        <v>22</v>
      </c>
      <c r="BJ736" t="s">
        <v>127</v>
      </c>
      <c r="BK736" t="s">
        <v>100</v>
      </c>
      <c r="BL736" t="s">
        <v>129</v>
      </c>
      <c r="BM736" t="s">
        <v>14392</v>
      </c>
      <c r="BN736" t="s">
        <v>74</v>
      </c>
      <c r="BO736" t="s">
        <v>486</v>
      </c>
      <c r="BP736" t="s">
        <v>74</v>
      </c>
      <c r="BQ736" t="s">
        <v>74</v>
      </c>
      <c r="BR736" t="s">
        <v>102</v>
      </c>
      <c r="BS736" t="s">
        <v>14393</v>
      </c>
      <c r="BT736" t="str">
        <f>HYPERLINK("https%3A%2F%2Fwww.webofscience.com%2Fwos%2Fwoscc%2Ffull-record%2FWOS:000659454700001","View Full Record in Web of Science")</f>
        <v>View Full Record in Web of Science</v>
      </c>
    </row>
    <row r="737" spans="1:72" x14ac:dyDescent="0.15">
      <c r="A737" t="s">
        <v>72</v>
      </c>
      <c r="B737" t="s">
        <v>14394</v>
      </c>
      <c r="C737" t="s">
        <v>74</v>
      </c>
      <c r="D737" t="s">
        <v>74</v>
      </c>
      <c r="E737" t="s">
        <v>74</v>
      </c>
      <c r="F737" t="s">
        <v>14395</v>
      </c>
      <c r="G737" t="s">
        <v>74</v>
      </c>
      <c r="H737" t="s">
        <v>74</v>
      </c>
      <c r="I737" t="s">
        <v>14396</v>
      </c>
      <c r="J737" t="s">
        <v>14397</v>
      </c>
      <c r="K737" t="s">
        <v>74</v>
      </c>
      <c r="L737" t="s">
        <v>74</v>
      </c>
      <c r="M737" t="s">
        <v>78</v>
      </c>
      <c r="N737" t="s">
        <v>79</v>
      </c>
      <c r="O737" t="s">
        <v>74</v>
      </c>
      <c r="P737" t="s">
        <v>74</v>
      </c>
      <c r="Q737" t="s">
        <v>74</v>
      </c>
      <c r="R737" t="s">
        <v>74</v>
      </c>
      <c r="S737" t="s">
        <v>74</v>
      </c>
      <c r="T737" t="s">
        <v>14398</v>
      </c>
      <c r="U737" t="s">
        <v>14399</v>
      </c>
      <c r="V737" t="s">
        <v>14400</v>
      </c>
      <c r="W737" t="s">
        <v>14401</v>
      </c>
      <c r="X737" t="s">
        <v>14402</v>
      </c>
      <c r="Y737" t="s">
        <v>14403</v>
      </c>
      <c r="Z737" t="s">
        <v>14404</v>
      </c>
      <c r="AA737" t="s">
        <v>14405</v>
      </c>
      <c r="AB737" t="s">
        <v>14406</v>
      </c>
      <c r="AC737" t="s">
        <v>14407</v>
      </c>
      <c r="AD737" t="s">
        <v>14408</v>
      </c>
      <c r="AE737" t="s">
        <v>14409</v>
      </c>
      <c r="AF737" t="s">
        <v>74</v>
      </c>
      <c r="AG737">
        <v>56</v>
      </c>
      <c r="AH737">
        <v>5</v>
      </c>
      <c r="AI737">
        <v>5</v>
      </c>
      <c r="AJ737">
        <v>2</v>
      </c>
      <c r="AK737">
        <v>13</v>
      </c>
      <c r="AL737" t="s">
        <v>814</v>
      </c>
      <c r="AM737" t="s">
        <v>815</v>
      </c>
      <c r="AN737" t="s">
        <v>816</v>
      </c>
      <c r="AO737" t="s">
        <v>14410</v>
      </c>
      <c r="AP737" t="s">
        <v>14411</v>
      </c>
      <c r="AQ737" t="s">
        <v>74</v>
      </c>
      <c r="AR737" t="s">
        <v>14412</v>
      </c>
      <c r="AS737" t="s">
        <v>14413</v>
      </c>
      <c r="AT737" t="s">
        <v>2900</v>
      </c>
      <c r="AU737">
        <v>2023</v>
      </c>
      <c r="AV737">
        <v>13</v>
      </c>
      <c r="AW737">
        <v>6</v>
      </c>
      <c r="AX737" t="s">
        <v>74</v>
      </c>
      <c r="AY737" t="s">
        <v>74</v>
      </c>
      <c r="AZ737" t="s">
        <v>74</v>
      </c>
      <c r="BA737" t="s">
        <v>74</v>
      </c>
      <c r="BB737">
        <v>5295</v>
      </c>
      <c r="BC737">
        <v>5305</v>
      </c>
      <c r="BD737" t="s">
        <v>74</v>
      </c>
      <c r="BE737" t="s">
        <v>14414</v>
      </c>
      <c r="BF737" t="str">
        <f>HYPERLINK("http://dx.doi.org/10.1007/s13399-021-01578-8","http://dx.doi.org/10.1007/s13399-021-01578-8")</f>
        <v>http://dx.doi.org/10.1007/s13399-021-01578-8</v>
      </c>
      <c r="BG737" t="s">
        <v>74</v>
      </c>
      <c r="BH737" t="s">
        <v>14415</v>
      </c>
      <c r="BI737">
        <v>11</v>
      </c>
      <c r="BJ737" t="s">
        <v>14416</v>
      </c>
      <c r="BK737" t="s">
        <v>128</v>
      </c>
      <c r="BL737" t="s">
        <v>14417</v>
      </c>
      <c r="BM737" t="s">
        <v>14418</v>
      </c>
      <c r="BN737" t="s">
        <v>74</v>
      </c>
      <c r="BO737" t="s">
        <v>74</v>
      </c>
      <c r="BP737" t="s">
        <v>74</v>
      </c>
      <c r="BQ737" t="s">
        <v>74</v>
      </c>
      <c r="BR737" t="s">
        <v>102</v>
      </c>
      <c r="BS737" t="s">
        <v>14419</v>
      </c>
      <c r="BT737" t="str">
        <f>HYPERLINK("https%3A%2F%2Fwww.webofscience.com%2Fwos%2Fwoscc%2Ffull-record%2FWOS:000656082300001","View Full Record in Web of Science")</f>
        <v>View Full Record in Web of Science</v>
      </c>
    </row>
    <row r="738" spans="1:72" x14ac:dyDescent="0.15">
      <c r="A738" t="s">
        <v>72</v>
      </c>
      <c r="B738" t="s">
        <v>14420</v>
      </c>
      <c r="C738" t="s">
        <v>74</v>
      </c>
      <c r="D738" t="s">
        <v>74</v>
      </c>
      <c r="E738" t="s">
        <v>74</v>
      </c>
      <c r="F738" t="s">
        <v>14421</v>
      </c>
      <c r="G738" t="s">
        <v>74</v>
      </c>
      <c r="H738" t="s">
        <v>74</v>
      </c>
      <c r="I738" t="s">
        <v>14422</v>
      </c>
      <c r="J738" t="s">
        <v>413</v>
      </c>
      <c r="K738" t="s">
        <v>74</v>
      </c>
      <c r="L738" t="s">
        <v>74</v>
      </c>
      <c r="M738" t="s">
        <v>78</v>
      </c>
      <c r="N738" t="s">
        <v>79</v>
      </c>
      <c r="O738" t="s">
        <v>74</v>
      </c>
      <c r="P738" t="s">
        <v>74</v>
      </c>
      <c r="Q738" t="s">
        <v>74</v>
      </c>
      <c r="R738" t="s">
        <v>74</v>
      </c>
      <c r="S738" t="s">
        <v>74</v>
      </c>
      <c r="T738" t="s">
        <v>14423</v>
      </c>
      <c r="U738" t="s">
        <v>14424</v>
      </c>
      <c r="V738" t="s">
        <v>14425</v>
      </c>
      <c r="W738" t="s">
        <v>14426</v>
      </c>
      <c r="X738" t="s">
        <v>14427</v>
      </c>
      <c r="Y738" t="s">
        <v>14428</v>
      </c>
      <c r="Z738" t="s">
        <v>14429</v>
      </c>
      <c r="AA738" t="s">
        <v>14430</v>
      </c>
      <c r="AB738" t="s">
        <v>14431</v>
      </c>
      <c r="AC738" t="s">
        <v>14432</v>
      </c>
      <c r="AD738" t="s">
        <v>14433</v>
      </c>
      <c r="AE738" t="s">
        <v>14434</v>
      </c>
      <c r="AF738" t="s">
        <v>74</v>
      </c>
      <c r="AG738">
        <v>53</v>
      </c>
      <c r="AH738">
        <v>12</v>
      </c>
      <c r="AI738">
        <v>12</v>
      </c>
      <c r="AJ738">
        <v>0</v>
      </c>
      <c r="AK738">
        <v>5</v>
      </c>
      <c r="AL738" t="s">
        <v>197</v>
      </c>
      <c r="AM738" t="s">
        <v>198</v>
      </c>
      <c r="AN738" t="s">
        <v>199</v>
      </c>
      <c r="AO738" t="s">
        <v>426</v>
      </c>
      <c r="AP738" t="s">
        <v>427</v>
      </c>
      <c r="AQ738" t="s">
        <v>74</v>
      </c>
      <c r="AR738" t="s">
        <v>428</v>
      </c>
      <c r="AS738" t="s">
        <v>429</v>
      </c>
      <c r="AT738" t="s">
        <v>430</v>
      </c>
      <c r="AU738">
        <v>2021</v>
      </c>
      <c r="AV738">
        <v>36</v>
      </c>
      <c r="AW738">
        <v>5</v>
      </c>
      <c r="AX738" t="s">
        <v>74</v>
      </c>
      <c r="AY738" t="s">
        <v>74</v>
      </c>
      <c r="AZ738" t="s">
        <v>431</v>
      </c>
      <c r="BA738" t="s">
        <v>74</v>
      </c>
      <c r="BB738">
        <v>673</v>
      </c>
      <c r="BC738">
        <v>680</v>
      </c>
      <c r="BD738" t="s">
        <v>74</v>
      </c>
      <c r="BE738" t="s">
        <v>14435</v>
      </c>
      <c r="BF738" t="str">
        <f>HYPERLINK("http://dx.doi.org/10.1002/jqs.3326","http://dx.doi.org/10.1002/jqs.3326")</f>
        <v>http://dx.doi.org/10.1002/jqs.3326</v>
      </c>
      <c r="BG738" t="s">
        <v>74</v>
      </c>
      <c r="BH738" t="s">
        <v>14415</v>
      </c>
      <c r="BI738">
        <v>8</v>
      </c>
      <c r="BJ738" t="s">
        <v>151</v>
      </c>
      <c r="BK738" t="s">
        <v>128</v>
      </c>
      <c r="BL738" t="s">
        <v>152</v>
      </c>
      <c r="BM738" t="s">
        <v>7955</v>
      </c>
      <c r="BN738" t="s">
        <v>74</v>
      </c>
      <c r="BO738" t="s">
        <v>588</v>
      </c>
      <c r="BP738" t="s">
        <v>74</v>
      </c>
      <c r="BQ738" t="s">
        <v>74</v>
      </c>
      <c r="BR738" t="s">
        <v>102</v>
      </c>
      <c r="BS738" t="s">
        <v>14436</v>
      </c>
      <c r="BT738" t="str">
        <f>HYPERLINK("https%3A%2F%2Fwww.webofscience.com%2Fwos%2Fwoscc%2Ffull-record%2FWOS:000656197000001","View Full Record in Web of Science")</f>
        <v>View Full Record in Web of Science</v>
      </c>
    </row>
    <row r="739" spans="1:72" x14ac:dyDescent="0.15">
      <c r="A739" t="s">
        <v>72</v>
      </c>
      <c r="B739" t="s">
        <v>14437</v>
      </c>
      <c r="C739" t="s">
        <v>74</v>
      </c>
      <c r="D739" t="s">
        <v>74</v>
      </c>
      <c r="E739" t="s">
        <v>74</v>
      </c>
      <c r="F739" t="s">
        <v>14438</v>
      </c>
      <c r="G739" t="s">
        <v>74</v>
      </c>
      <c r="H739" t="s">
        <v>74</v>
      </c>
      <c r="I739" t="s">
        <v>14439</v>
      </c>
      <c r="J739" t="s">
        <v>5692</v>
      </c>
      <c r="K739" t="s">
        <v>74</v>
      </c>
      <c r="L739" t="s">
        <v>74</v>
      </c>
      <c r="M739" t="s">
        <v>78</v>
      </c>
      <c r="N739" t="s">
        <v>79</v>
      </c>
      <c r="O739" t="s">
        <v>74</v>
      </c>
      <c r="P739" t="s">
        <v>74</v>
      </c>
      <c r="Q739" t="s">
        <v>74</v>
      </c>
      <c r="R739" t="s">
        <v>74</v>
      </c>
      <c r="S739" t="s">
        <v>74</v>
      </c>
      <c r="T739" t="s">
        <v>14440</v>
      </c>
      <c r="U739" t="s">
        <v>14441</v>
      </c>
      <c r="V739" t="s">
        <v>14442</v>
      </c>
      <c r="W739" t="s">
        <v>14443</v>
      </c>
      <c r="X739" t="s">
        <v>14444</v>
      </c>
      <c r="Y739" t="s">
        <v>14445</v>
      </c>
      <c r="Z739" t="s">
        <v>14446</v>
      </c>
      <c r="AA739" t="s">
        <v>14447</v>
      </c>
      <c r="AB739" t="s">
        <v>14448</v>
      </c>
      <c r="AC739" t="s">
        <v>14449</v>
      </c>
      <c r="AD739" t="s">
        <v>14450</v>
      </c>
      <c r="AE739" t="s">
        <v>14451</v>
      </c>
      <c r="AF739" t="s">
        <v>74</v>
      </c>
      <c r="AG739">
        <v>46</v>
      </c>
      <c r="AH739">
        <v>19</v>
      </c>
      <c r="AI739">
        <v>21</v>
      </c>
      <c r="AJ739">
        <v>1</v>
      </c>
      <c r="AK739">
        <v>16</v>
      </c>
      <c r="AL739" t="s">
        <v>197</v>
      </c>
      <c r="AM739" t="s">
        <v>198</v>
      </c>
      <c r="AN739" t="s">
        <v>199</v>
      </c>
      <c r="AO739" t="s">
        <v>5705</v>
      </c>
      <c r="AP739" t="s">
        <v>5706</v>
      </c>
      <c r="AQ739" t="s">
        <v>74</v>
      </c>
      <c r="AR739" t="s">
        <v>5707</v>
      </c>
      <c r="AS739" t="s">
        <v>5708</v>
      </c>
      <c r="AT739" t="s">
        <v>402</v>
      </c>
      <c r="AU739">
        <v>2021</v>
      </c>
      <c r="AV739">
        <v>31</v>
      </c>
      <c r="AW739">
        <v>9</v>
      </c>
      <c r="AX739" t="s">
        <v>74</v>
      </c>
      <c r="AY739" t="s">
        <v>74</v>
      </c>
      <c r="AZ739" t="s">
        <v>74</v>
      </c>
      <c r="BA739" t="s">
        <v>74</v>
      </c>
      <c r="BB739">
        <v>2412</v>
      </c>
      <c r="BC739">
        <v>2419</v>
      </c>
      <c r="BD739" t="s">
        <v>74</v>
      </c>
      <c r="BE739" t="s">
        <v>14452</v>
      </c>
      <c r="BF739" t="str">
        <f>HYPERLINK("http://dx.doi.org/10.1002/aqc.3621","http://dx.doi.org/10.1002/aqc.3621")</f>
        <v>http://dx.doi.org/10.1002/aqc.3621</v>
      </c>
      <c r="BG739" t="s">
        <v>74</v>
      </c>
      <c r="BH739" t="s">
        <v>14415</v>
      </c>
      <c r="BI739">
        <v>8</v>
      </c>
      <c r="BJ739" t="s">
        <v>5710</v>
      </c>
      <c r="BK739" t="s">
        <v>128</v>
      </c>
      <c r="BL739" t="s">
        <v>5711</v>
      </c>
      <c r="BM739" t="s">
        <v>14453</v>
      </c>
      <c r="BN739" t="s">
        <v>74</v>
      </c>
      <c r="BO739" t="s">
        <v>74</v>
      </c>
      <c r="BP739" t="s">
        <v>74</v>
      </c>
      <c r="BQ739" t="s">
        <v>74</v>
      </c>
      <c r="BR739" t="s">
        <v>102</v>
      </c>
      <c r="BS739" t="s">
        <v>14454</v>
      </c>
      <c r="BT739" t="str">
        <f>HYPERLINK("https%3A%2F%2Fwww.webofscience.com%2Fwos%2Fwoscc%2Ffull-record%2FWOS:000656334200001","View Full Record in Web of Science")</f>
        <v>View Full Record in Web of Science</v>
      </c>
    </row>
    <row r="740" spans="1:72" x14ac:dyDescent="0.15">
      <c r="A740" t="s">
        <v>72</v>
      </c>
      <c r="B740" t="s">
        <v>14455</v>
      </c>
      <c r="C740" t="s">
        <v>74</v>
      </c>
      <c r="D740" t="s">
        <v>74</v>
      </c>
      <c r="E740" t="s">
        <v>74</v>
      </c>
      <c r="F740" t="s">
        <v>14456</v>
      </c>
      <c r="G740" t="s">
        <v>74</v>
      </c>
      <c r="H740" t="s">
        <v>74</v>
      </c>
      <c r="I740" t="s">
        <v>14457</v>
      </c>
      <c r="J740" t="s">
        <v>4182</v>
      </c>
      <c r="K740" t="s">
        <v>74</v>
      </c>
      <c r="L740" t="s">
        <v>74</v>
      </c>
      <c r="M740" t="s">
        <v>78</v>
      </c>
      <c r="N740" t="s">
        <v>79</v>
      </c>
      <c r="O740" t="s">
        <v>74</v>
      </c>
      <c r="P740" t="s">
        <v>74</v>
      </c>
      <c r="Q740" t="s">
        <v>74</v>
      </c>
      <c r="R740" t="s">
        <v>74</v>
      </c>
      <c r="S740" t="s">
        <v>74</v>
      </c>
      <c r="T740" t="s">
        <v>14458</v>
      </c>
      <c r="U740" t="s">
        <v>14459</v>
      </c>
      <c r="V740" t="s">
        <v>14460</v>
      </c>
      <c r="W740" t="s">
        <v>14461</v>
      </c>
      <c r="X740" t="s">
        <v>14462</v>
      </c>
      <c r="Y740" t="s">
        <v>14463</v>
      </c>
      <c r="Z740" t="s">
        <v>14464</v>
      </c>
      <c r="AA740" t="s">
        <v>14465</v>
      </c>
      <c r="AB740" t="s">
        <v>14466</v>
      </c>
      <c r="AC740" t="s">
        <v>14467</v>
      </c>
      <c r="AD740" t="s">
        <v>14468</v>
      </c>
      <c r="AE740" t="s">
        <v>14469</v>
      </c>
      <c r="AF740" t="s">
        <v>74</v>
      </c>
      <c r="AG740">
        <v>71</v>
      </c>
      <c r="AH740">
        <v>24</v>
      </c>
      <c r="AI740">
        <v>25</v>
      </c>
      <c r="AJ740">
        <v>12</v>
      </c>
      <c r="AK740">
        <v>54</v>
      </c>
      <c r="AL740" t="s">
        <v>89</v>
      </c>
      <c r="AM740" t="s">
        <v>90</v>
      </c>
      <c r="AN740" t="s">
        <v>91</v>
      </c>
      <c r="AO740" t="s">
        <v>4192</v>
      </c>
      <c r="AP740" t="s">
        <v>4193</v>
      </c>
      <c r="AQ740" t="s">
        <v>74</v>
      </c>
      <c r="AR740" t="s">
        <v>4182</v>
      </c>
      <c r="AS740" t="s">
        <v>4194</v>
      </c>
      <c r="AT740" t="s">
        <v>234</v>
      </c>
      <c r="AU740">
        <v>2021</v>
      </c>
      <c r="AV740">
        <v>543</v>
      </c>
      <c r="AW740" t="s">
        <v>74</v>
      </c>
      <c r="AX740" t="s">
        <v>74</v>
      </c>
      <c r="AY740" t="s">
        <v>74</v>
      </c>
      <c r="AZ740" t="s">
        <v>74</v>
      </c>
      <c r="BA740" t="s">
        <v>74</v>
      </c>
      <c r="BB740" t="s">
        <v>74</v>
      </c>
      <c r="BC740" t="s">
        <v>74</v>
      </c>
      <c r="BD740">
        <v>736965</v>
      </c>
      <c r="BE740" t="s">
        <v>14470</v>
      </c>
      <c r="BF740" t="str">
        <f>HYPERLINK("http://dx.doi.org/10.1016/j.aquaculture.2021.736965","http://dx.doi.org/10.1016/j.aquaculture.2021.736965")</f>
        <v>http://dx.doi.org/10.1016/j.aquaculture.2021.736965</v>
      </c>
      <c r="BG740" t="s">
        <v>74</v>
      </c>
      <c r="BH740" t="s">
        <v>14415</v>
      </c>
      <c r="BI740">
        <v>12</v>
      </c>
      <c r="BJ740" t="s">
        <v>459</v>
      </c>
      <c r="BK740" t="s">
        <v>128</v>
      </c>
      <c r="BL740" t="s">
        <v>459</v>
      </c>
      <c r="BM740" t="s">
        <v>14471</v>
      </c>
      <c r="BN740" t="s">
        <v>74</v>
      </c>
      <c r="BO740" t="s">
        <v>74</v>
      </c>
      <c r="BP740" t="s">
        <v>74</v>
      </c>
      <c r="BQ740" t="s">
        <v>74</v>
      </c>
      <c r="BR740" t="s">
        <v>102</v>
      </c>
      <c r="BS740" t="s">
        <v>14472</v>
      </c>
      <c r="BT740" t="str">
        <f>HYPERLINK("https%3A%2F%2Fwww.webofscience.com%2Fwos%2Fwoscc%2Ffull-record%2FWOS:000672589300005","View Full Record in Web of Science")</f>
        <v>View Full Record in Web of Science</v>
      </c>
    </row>
    <row r="741" spans="1:72" x14ac:dyDescent="0.15">
      <c r="A741" t="s">
        <v>72</v>
      </c>
      <c r="B741" t="s">
        <v>14473</v>
      </c>
      <c r="C741" t="s">
        <v>74</v>
      </c>
      <c r="D741" t="s">
        <v>74</v>
      </c>
      <c r="E741" t="s">
        <v>74</v>
      </c>
      <c r="F741" t="s">
        <v>14474</v>
      </c>
      <c r="G741" t="s">
        <v>74</v>
      </c>
      <c r="H741" t="s">
        <v>74</v>
      </c>
      <c r="I741" t="s">
        <v>14475</v>
      </c>
      <c r="J741" t="s">
        <v>14476</v>
      </c>
      <c r="K741" t="s">
        <v>74</v>
      </c>
      <c r="L741" t="s">
        <v>74</v>
      </c>
      <c r="M741" t="s">
        <v>78</v>
      </c>
      <c r="N741" t="s">
        <v>79</v>
      </c>
      <c r="O741" t="s">
        <v>74</v>
      </c>
      <c r="P741" t="s">
        <v>74</v>
      </c>
      <c r="Q741" t="s">
        <v>74</v>
      </c>
      <c r="R741" t="s">
        <v>74</v>
      </c>
      <c r="S741" t="s">
        <v>74</v>
      </c>
      <c r="T741" t="s">
        <v>14477</v>
      </c>
      <c r="U741" t="s">
        <v>14478</v>
      </c>
      <c r="V741" t="s">
        <v>14479</v>
      </c>
      <c r="W741" t="s">
        <v>14480</v>
      </c>
      <c r="X741" t="s">
        <v>14481</v>
      </c>
      <c r="Y741" t="s">
        <v>14482</v>
      </c>
      <c r="Z741" t="s">
        <v>14483</v>
      </c>
      <c r="AA741" t="s">
        <v>14484</v>
      </c>
      <c r="AB741" t="s">
        <v>14485</v>
      </c>
      <c r="AC741" t="s">
        <v>14486</v>
      </c>
      <c r="AD741" t="s">
        <v>14487</v>
      </c>
      <c r="AE741" t="s">
        <v>14488</v>
      </c>
      <c r="AF741" t="s">
        <v>74</v>
      </c>
      <c r="AG741">
        <v>31</v>
      </c>
      <c r="AH741">
        <v>4</v>
      </c>
      <c r="AI741">
        <v>4</v>
      </c>
      <c r="AJ741">
        <v>0</v>
      </c>
      <c r="AK741">
        <v>1</v>
      </c>
      <c r="AL741" t="s">
        <v>89</v>
      </c>
      <c r="AM741" t="s">
        <v>90</v>
      </c>
      <c r="AN741" t="s">
        <v>91</v>
      </c>
      <c r="AO741" t="s">
        <v>74</v>
      </c>
      <c r="AP741" t="s">
        <v>14489</v>
      </c>
      <c r="AQ741" t="s">
        <v>74</v>
      </c>
      <c r="AR741" t="s">
        <v>14490</v>
      </c>
      <c r="AS741" t="s">
        <v>14491</v>
      </c>
      <c r="AT741" t="s">
        <v>430</v>
      </c>
      <c r="AU741">
        <v>2021</v>
      </c>
      <c r="AV741">
        <v>34</v>
      </c>
      <c r="AW741" t="s">
        <v>74</v>
      </c>
      <c r="AX741" t="s">
        <v>74</v>
      </c>
      <c r="AY741" t="s">
        <v>74</v>
      </c>
      <c r="AZ741" t="s">
        <v>74</v>
      </c>
      <c r="BA741" t="s">
        <v>74</v>
      </c>
      <c r="BB741" t="s">
        <v>74</v>
      </c>
      <c r="BC741" t="s">
        <v>74</v>
      </c>
      <c r="BD741">
        <v>102041</v>
      </c>
      <c r="BE741" t="s">
        <v>14492</v>
      </c>
      <c r="BF741" t="str">
        <f>HYPERLINK("http://dx.doi.org/10.1016/j.bcab.2021.102041","http://dx.doi.org/10.1016/j.bcab.2021.102041")</f>
        <v>http://dx.doi.org/10.1016/j.bcab.2021.102041</v>
      </c>
      <c r="BG741" t="s">
        <v>74</v>
      </c>
      <c r="BH741" t="s">
        <v>14415</v>
      </c>
      <c r="BI741">
        <v>8</v>
      </c>
      <c r="BJ741" t="s">
        <v>844</v>
      </c>
      <c r="BK741" t="s">
        <v>1819</v>
      </c>
      <c r="BL741" t="s">
        <v>844</v>
      </c>
      <c r="BM741" t="s">
        <v>14493</v>
      </c>
      <c r="BN741" t="s">
        <v>74</v>
      </c>
      <c r="BO741" t="s">
        <v>74</v>
      </c>
      <c r="BP741" t="s">
        <v>74</v>
      </c>
      <c r="BQ741" t="s">
        <v>74</v>
      </c>
      <c r="BR741" t="s">
        <v>102</v>
      </c>
      <c r="BS741" t="s">
        <v>14494</v>
      </c>
      <c r="BT741" t="str">
        <f>HYPERLINK("https%3A%2F%2Fwww.webofscience.com%2Fwos%2Fwoscc%2Ffull-record%2FWOS:000663763600008","View Full Record in Web of Science")</f>
        <v>View Full Record in Web of Science</v>
      </c>
    </row>
    <row r="742" spans="1:72" x14ac:dyDescent="0.15">
      <c r="A742" t="s">
        <v>72</v>
      </c>
      <c r="B742" t="s">
        <v>14495</v>
      </c>
      <c r="C742" t="s">
        <v>74</v>
      </c>
      <c r="D742" t="s">
        <v>74</v>
      </c>
      <c r="E742" t="s">
        <v>74</v>
      </c>
      <c r="F742" t="s">
        <v>14496</v>
      </c>
      <c r="G742" t="s">
        <v>74</v>
      </c>
      <c r="H742" t="s">
        <v>74</v>
      </c>
      <c r="I742" t="s">
        <v>14497</v>
      </c>
      <c r="J742" t="s">
        <v>14498</v>
      </c>
      <c r="K742" t="s">
        <v>74</v>
      </c>
      <c r="L742" t="s">
        <v>74</v>
      </c>
      <c r="M742" t="s">
        <v>78</v>
      </c>
      <c r="N742" t="s">
        <v>79</v>
      </c>
      <c r="O742" t="s">
        <v>74</v>
      </c>
      <c r="P742" t="s">
        <v>74</v>
      </c>
      <c r="Q742" t="s">
        <v>74</v>
      </c>
      <c r="R742" t="s">
        <v>74</v>
      </c>
      <c r="S742" t="s">
        <v>74</v>
      </c>
      <c r="T742" t="s">
        <v>14499</v>
      </c>
      <c r="U742" t="s">
        <v>14500</v>
      </c>
      <c r="V742" t="s">
        <v>14501</v>
      </c>
      <c r="W742" t="s">
        <v>14502</v>
      </c>
      <c r="X742" t="s">
        <v>10539</v>
      </c>
      <c r="Y742" t="s">
        <v>14503</v>
      </c>
      <c r="Z742" t="s">
        <v>14504</v>
      </c>
      <c r="AA742" t="s">
        <v>14505</v>
      </c>
      <c r="AB742" t="s">
        <v>14506</v>
      </c>
      <c r="AC742" t="s">
        <v>14507</v>
      </c>
      <c r="AD742" t="s">
        <v>14508</v>
      </c>
      <c r="AE742" t="s">
        <v>14509</v>
      </c>
      <c r="AF742" t="s">
        <v>74</v>
      </c>
      <c r="AG742">
        <v>115</v>
      </c>
      <c r="AH742">
        <v>15</v>
      </c>
      <c r="AI742">
        <v>15</v>
      </c>
      <c r="AJ742">
        <v>3</v>
      </c>
      <c r="AK742">
        <v>27</v>
      </c>
      <c r="AL742" t="s">
        <v>197</v>
      </c>
      <c r="AM742" t="s">
        <v>198</v>
      </c>
      <c r="AN742" t="s">
        <v>199</v>
      </c>
      <c r="AO742" t="s">
        <v>14510</v>
      </c>
      <c r="AP742" t="s">
        <v>14511</v>
      </c>
      <c r="AQ742" t="s">
        <v>74</v>
      </c>
      <c r="AR742" t="s">
        <v>14512</v>
      </c>
      <c r="AS742" t="s">
        <v>14513</v>
      </c>
      <c r="AT742" t="s">
        <v>535</v>
      </c>
      <c r="AU742">
        <v>2021</v>
      </c>
      <c r="AV742">
        <v>27</v>
      </c>
      <c r="AW742">
        <v>8</v>
      </c>
      <c r="AX742" t="s">
        <v>74</v>
      </c>
      <c r="AY742" t="s">
        <v>74</v>
      </c>
      <c r="AZ742" t="s">
        <v>74</v>
      </c>
      <c r="BA742" t="s">
        <v>74</v>
      </c>
      <c r="BB742">
        <v>1536</v>
      </c>
      <c r="BC742">
        <v>1552</v>
      </c>
      <c r="BD742" t="s">
        <v>74</v>
      </c>
      <c r="BE742" t="s">
        <v>14514</v>
      </c>
      <c r="BF742" t="str">
        <f>HYPERLINK("http://dx.doi.org/10.1111/ddi.13300","http://dx.doi.org/10.1111/ddi.13300")</f>
        <v>http://dx.doi.org/10.1111/ddi.13300</v>
      </c>
      <c r="BG742" t="s">
        <v>74</v>
      </c>
      <c r="BH742" t="s">
        <v>14415</v>
      </c>
      <c r="BI742">
        <v>17</v>
      </c>
      <c r="BJ742" t="s">
        <v>1883</v>
      </c>
      <c r="BK742" t="s">
        <v>128</v>
      </c>
      <c r="BL742" t="s">
        <v>207</v>
      </c>
      <c r="BM742" t="s">
        <v>14515</v>
      </c>
      <c r="BN742" t="s">
        <v>74</v>
      </c>
      <c r="BO742" t="s">
        <v>1377</v>
      </c>
      <c r="BP742" t="s">
        <v>74</v>
      </c>
      <c r="BQ742" t="s">
        <v>74</v>
      </c>
      <c r="BR742" t="s">
        <v>102</v>
      </c>
      <c r="BS742" t="s">
        <v>14516</v>
      </c>
      <c r="BT742" t="str">
        <f>HYPERLINK("https%3A%2F%2Fwww.webofscience.com%2Fwos%2Fwoscc%2Ffull-record%2FWOS:000656094500001","View Full Record in Web of Science")</f>
        <v>View Full Record in Web of Science</v>
      </c>
    </row>
    <row r="743" spans="1:72" x14ac:dyDescent="0.15">
      <c r="A743" t="s">
        <v>72</v>
      </c>
      <c r="B743" t="s">
        <v>14517</v>
      </c>
      <c r="C743" t="s">
        <v>74</v>
      </c>
      <c r="D743" t="s">
        <v>74</v>
      </c>
      <c r="E743" t="s">
        <v>74</v>
      </c>
      <c r="F743" t="s">
        <v>14518</v>
      </c>
      <c r="G743" t="s">
        <v>74</v>
      </c>
      <c r="H743" t="s">
        <v>74</v>
      </c>
      <c r="I743" t="s">
        <v>14519</v>
      </c>
      <c r="J743" t="s">
        <v>8575</v>
      </c>
      <c r="K743" t="s">
        <v>74</v>
      </c>
      <c r="L743" t="s">
        <v>74</v>
      </c>
      <c r="M743" t="s">
        <v>78</v>
      </c>
      <c r="N743" t="s">
        <v>79</v>
      </c>
      <c r="O743" t="s">
        <v>74</v>
      </c>
      <c r="P743" t="s">
        <v>74</v>
      </c>
      <c r="Q743" t="s">
        <v>74</v>
      </c>
      <c r="R743" t="s">
        <v>74</v>
      </c>
      <c r="S743" t="s">
        <v>74</v>
      </c>
      <c r="T743" t="s">
        <v>14520</v>
      </c>
      <c r="U743" t="s">
        <v>14521</v>
      </c>
      <c r="V743" t="s">
        <v>14522</v>
      </c>
      <c r="W743" t="s">
        <v>14523</v>
      </c>
      <c r="X743" t="s">
        <v>14524</v>
      </c>
      <c r="Y743" t="s">
        <v>14525</v>
      </c>
      <c r="Z743" t="s">
        <v>14526</v>
      </c>
      <c r="AA743" t="s">
        <v>14527</v>
      </c>
      <c r="AB743" t="s">
        <v>14528</v>
      </c>
      <c r="AC743" t="s">
        <v>14529</v>
      </c>
      <c r="AD743" t="s">
        <v>14530</v>
      </c>
      <c r="AE743" t="s">
        <v>14531</v>
      </c>
      <c r="AF743" t="s">
        <v>74</v>
      </c>
      <c r="AG743">
        <v>115</v>
      </c>
      <c r="AH743">
        <v>4</v>
      </c>
      <c r="AI743">
        <v>4</v>
      </c>
      <c r="AJ743">
        <v>4</v>
      </c>
      <c r="AK743">
        <v>8</v>
      </c>
      <c r="AL743" t="s">
        <v>281</v>
      </c>
      <c r="AM743" t="s">
        <v>228</v>
      </c>
      <c r="AN743" t="s">
        <v>282</v>
      </c>
      <c r="AO743" t="s">
        <v>8587</v>
      </c>
      <c r="AP743" t="s">
        <v>8588</v>
      </c>
      <c r="AQ743" t="s">
        <v>74</v>
      </c>
      <c r="AR743" t="s">
        <v>8589</v>
      </c>
      <c r="AS743" t="s">
        <v>8590</v>
      </c>
      <c r="AT743" t="s">
        <v>204</v>
      </c>
      <c r="AU743">
        <v>2021</v>
      </c>
      <c r="AV743">
        <v>110</v>
      </c>
      <c r="AW743" t="s">
        <v>74</v>
      </c>
      <c r="AX743" t="s">
        <v>74</v>
      </c>
      <c r="AY743" t="s">
        <v>74</v>
      </c>
      <c r="AZ743" t="s">
        <v>74</v>
      </c>
      <c r="BA743" t="s">
        <v>74</v>
      </c>
      <c r="BB743" t="s">
        <v>74</v>
      </c>
      <c r="BC743" t="s">
        <v>74</v>
      </c>
      <c r="BD743">
        <v>103388</v>
      </c>
      <c r="BE743" t="s">
        <v>14532</v>
      </c>
      <c r="BF743" t="str">
        <f>HYPERLINK("http://dx.doi.org/10.1016/j.jsames.2021.103388","http://dx.doi.org/10.1016/j.jsames.2021.103388")</f>
        <v>http://dx.doi.org/10.1016/j.jsames.2021.103388</v>
      </c>
      <c r="BG743" t="s">
        <v>74</v>
      </c>
      <c r="BH743" t="s">
        <v>14415</v>
      </c>
      <c r="BI743">
        <v>21</v>
      </c>
      <c r="BJ743" t="s">
        <v>405</v>
      </c>
      <c r="BK743" t="s">
        <v>128</v>
      </c>
      <c r="BL743" t="s">
        <v>406</v>
      </c>
      <c r="BM743" t="s">
        <v>14533</v>
      </c>
      <c r="BN743" t="s">
        <v>74</v>
      </c>
      <c r="BO743" t="s">
        <v>74</v>
      </c>
      <c r="BP743" t="s">
        <v>74</v>
      </c>
      <c r="BQ743" t="s">
        <v>74</v>
      </c>
      <c r="BR743" t="s">
        <v>102</v>
      </c>
      <c r="BS743" t="s">
        <v>14534</v>
      </c>
      <c r="BT743" t="str">
        <f>HYPERLINK("https%3A%2F%2Fwww.webofscience.com%2Fwos%2Fwoscc%2Ffull-record%2FWOS:000685051700002","View Full Record in Web of Science")</f>
        <v>View Full Record in Web of Science</v>
      </c>
    </row>
    <row r="744" spans="1:72" x14ac:dyDescent="0.15">
      <c r="A744" t="s">
        <v>72</v>
      </c>
      <c r="B744" t="s">
        <v>14535</v>
      </c>
      <c r="C744" t="s">
        <v>74</v>
      </c>
      <c r="D744" t="s">
        <v>74</v>
      </c>
      <c r="E744" t="s">
        <v>74</v>
      </c>
      <c r="F744" t="s">
        <v>14536</v>
      </c>
      <c r="G744" t="s">
        <v>74</v>
      </c>
      <c r="H744" t="s">
        <v>74</v>
      </c>
      <c r="I744" t="s">
        <v>14537</v>
      </c>
      <c r="J744" t="s">
        <v>7996</v>
      </c>
      <c r="K744" t="s">
        <v>74</v>
      </c>
      <c r="L744" t="s">
        <v>74</v>
      </c>
      <c r="M744" t="s">
        <v>78</v>
      </c>
      <c r="N744" t="s">
        <v>79</v>
      </c>
      <c r="O744" t="s">
        <v>74</v>
      </c>
      <c r="P744" t="s">
        <v>74</v>
      </c>
      <c r="Q744" t="s">
        <v>74</v>
      </c>
      <c r="R744" t="s">
        <v>74</v>
      </c>
      <c r="S744" t="s">
        <v>74</v>
      </c>
      <c r="T744" t="s">
        <v>14538</v>
      </c>
      <c r="U744" t="s">
        <v>14539</v>
      </c>
      <c r="V744" t="s">
        <v>14540</v>
      </c>
      <c r="W744" t="s">
        <v>14541</v>
      </c>
      <c r="X744" t="s">
        <v>14542</v>
      </c>
      <c r="Y744" t="s">
        <v>14543</v>
      </c>
      <c r="Z744" t="s">
        <v>74</v>
      </c>
      <c r="AA744" t="s">
        <v>14544</v>
      </c>
      <c r="AB744" t="s">
        <v>74</v>
      </c>
      <c r="AC744" t="s">
        <v>14545</v>
      </c>
      <c r="AD744" t="s">
        <v>14546</v>
      </c>
      <c r="AE744" t="s">
        <v>14547</v>
      </c>
      <c r="AF744" t="s">
        <v>74</v>
      </c>
      <c r="AG744">
        <v>67</v>
      </c>
      <c r="AH744">
        <v>11</v>
      </c>
      <c r="AI744">
        <v>12</v>
      </c>
      <c r="AJ744">
        <v>6</v>
      </c>
      <c r="AK744">
        <v>47</v>
      </c>
      <c r="AL744" t="s">
        <v>227</v>
      </c>
      <c r="AM744" t="s">
        <v>228</v>
      </c>
      <c r="AN744" t="s">
        <v>229</v>
      </c>
      <c r="AO744" t="s">
        <v>8008</v>
      </c>
      <c r="AP744" t="s">
        <v>8009</v>
      </c>
      <c r="AQ744" t="s">
        <v>74</v>
      </c>
      <c r="AR744" t="s">
        <v>8010</v>
      </c>
      <c r="AS744" t="s">
        <v>8011</v>
      </c>
      <c r="AT744" t="s">
        <v>3271</v>
      </c>
      <c r="AU744">
        <v>2021</v>
      </c>
      <c r="AV744">
        <v>284</v>
      </c>
      <c r="AW744" t="s">
        <v>74</v>
      </c>
      <c r="AX744" t="s">
        <v>74</v>
      </c>
      <c r="AY744" t="s">
        <v>74</v>
      </c>
      <c r="AZ744" t="s">
        <v>74</v>
      </c>
      <c r="BA744" t="s">
        <v>74</v>
      </c>
      <c r="BB744" t="s">
        <v>74</v>
      </c>
      <c r="BC744" t="s">
        <v>74</v>
      </c>
      <c r="BD744">
        <v>117434</v>
      </c>
      <c r="BE744" t="s">
        <v>14548</v>
      </c>
      <c r="BF744" t="str">
        <f>HYPERLINK("http://dx.doi.org/10.1016/j.envpol.2021.117434","http://dx.doi.org/10.1016/j.envpol.2021.117434")</f>
        <v>http://dx.doi.org/10.1016/j.envpol.2021.117434</v>
      </c>
      <c r="BG744" t="s">
        <v>74</v>
      </c>
      <c r="BH744" t="s">
        <v>14415</v>
      </c>
      <c r="BI744">
        <v>9</v>
      </c>
      <c r="BJ744" t="s">
        <v>262</v>
      </c>
      <c r="BK744" t="s">
        <v>128</v>
      </c>
      <c r="BL744" t="s">
        <v>263</v>
      </c>
      <c r="BM744" t="s">
        <v>14549</v>
      </c>
      <c r="BN744">
        <v>34062433</v>
      </c>
      <c r="BO744" t="s">
        <v>1154</v>
      </c>
      <c r="BP744" t="s">
        <v>74</v>
      </c>
      <c r="BQ744" t="s">
        <v>74</v>
      </c>
      <c r="BR744" t="s">
        <v>102</v>
      </c>
      <c r="BS744" t="s">
        <v>14550</v>
      </c>
      <c r="BT744" t="str">
        <f>HYPERLINK("https%3A%2F%2Fwww.webofscience.com%2Fwos%2Fwoscc%2Ffull-record%2FWOS:000672596800008","View Full Record in Web of Science")</f>
        <v>View Full Record in Web of Science</v>
      </c>
    </row>
    <row r="745" spans="1:72" x14ac:dyDescent="0.15">
      <c r="A745" t="s">
        <v>72</v>
      </c>
      <c r="B745" t="s">
        <v>14551</v>
      </c>
      <c r="C745" t="s">
        <v>74</v>
      </c>
      <c r="D745" t="s">
        <v>74</v>
      </c>
      <c r="E745" t="s">
        <v>74</v>
      </c>
      <c r="F745" t="s">
        <v>14552</v>
      </c>
      <c r="G745" t="s">
        <v>74</v>
      </c>
      <c r="H745" t="s">
        <v>74</v>
      </c>
      <c r="I745" t="s">
        <v>14553</v>
      </c>
      <c r="J745" t="s">
        <v>14554</v>
      </c>
      <c r="K745" t="s">
        <v>74</v>
      </c>
      <c r="L745" t="s">
        <v>74</v>
      </c>
      <c r="M745" t="s">
        <v>78</v>
      </c>
      <c r="N745" t="s">
        <v>79</v>
      </c>
      <c r="O745" t="s">
        <v>74</v>
      </c>
      <c r="P745" t="s">
        <v>74</v>
      </c>
      <c r="Q745" t="s">
        <v>74</v>
      </c>
      <c r="R745" t="s">
        <v>74</v>
      </c>
      <c r="S745" t="s">
        <v>74</v>
      </c>
      <c r="T745" t="s">
        <v>14555</v>
      </c>
      <c r="U745" t="s">
        <v>14556</v>
      </c>
      <c r="V745" t="s">
        <v>14557</v>
      </c>
      <c r="W745" t="s">
        <v>14558</v>
      </c>
      <c r="X745" t="s">
        <v>14559</v>
      </c>
      <c r="Y745" t="s">
        <v>14560</v>
      </c>
      <c r="Z745" t="s">
        <v>14561</v>
      </c>
      <c r="AA745" t="s">
        <v>14562</v>
      </c>
      <c r="AB745" t="s">
        <v>14563</v>
      </c>
      <c r="AC745" t="s">
        <v>14564</v>
      </c>
      <c r="AD745" t="s">
        <v>14565</v>
      </c>
      <c r="AE745" t="s">
        <v>14566</v>
      </c>
      <c r="AF745" t="s">
        <v>74</v>
      </c>
      <c r="AG745">
        <v>45</v>
      </c>
      <c r="AH745">
        <v>4</v>
      </c>
      <c r="AI745">
        <v>4</v>
      </c>
      <c r="AJ745">
        <v>0</v>
      </c>
      <c r="AK745">
        <v>4</v>
      </c>
      <c r="AL745" t="s">
        <v>3526</v>
      </c>
      <c r="AM745" t="s">
        <v>650</v>
      </c>
      <c r="AN745" t="s">
        <v>3527</v>
      </c>
      <c r="AO745" t="s">
        <v>14567</v>
      </c>
      <c r="AP745" t="s">
        <v>14568</v>
      </c>
      <c r="AQ745" t="s">
        <v>74</v>
      </c>
      <c r="AR745" t="s">
        <v>14569</v>
      </c>
      <c r="AS745" t="s">
        <v>14570</v>
      </c>
      <c r="AT745" t="s">
        <v>402</v>
      </c>
      <c r="AU745">
        <v>2021</v>
      </c>
      <c r="AV745">
        <v>259</v>
      </c>
      <c r="AW745" t="s">
        <v>74</v>
      </c>
      <c r="AX745" t="s">
        <v>74</v>
      </c>
      <c r="AY745" t="s">
        <v>74</v>
      </c>
      <c r="AZ745" t="s">
        <v>74</v>
      </c>
      <c r="BA745" t="s">
        <v>74</v>
      </c>
      <c r="BB745" t="s">
        <v>74</v>
      </c>
      <c r="BC745" t="s">
        <v>74</v>
      </c>
      <c r="BD745">
        <v>105699</v>
      </c>
      <c r="BE745" t="s">
        <v>14571</v>
      </c>
      <c r="BF745" t="str">
        <f>HYPERLINK("http://dx.doi.org/10.1016/j.atmosres.2021.105699","http://dx.doi.org/10.1016/j.atmosres.2021.105699")</f>
        <v>http://dx.doi.org/10.1016/j.atmosres.2021.105699</v>
      </c>
      <c r="BG745" t="s">
        <v>74</v>
      </c>
      <c r="BH745" t="s">
        <v>14415</v>
      </c>
      <c r="BI745">
        <v>13</v>
      </c>
      <c r="BJ745" t="s">
        <v>567</v>
      </c>
      <c r="BK745" t="s">
        <v>128</v>
      </c>
      <c r="BL745" t="s">
        <v>567</v>
      </c>
      <c r="BM745" t="s">
        <v>14572</v>
      </c>
      <c r="BN745" t="s">
        <v>74</v>
      </c>
      <c r="BO745" t="s">
        <v>408</v>
      </c>
      <c r="BP745" t="s">
        <v>74</v>
      </c>
      <c r="BQ745" t="s">
        <v>74</v>
      </c>
      <c r="BR745" t="s">
        <v>102</v>
      </c>
      <c r="BS745" t="s">
        <v>14573</v>
      </c>
      <c r="BT745" t="str">
        <f>HYPERLINK("https%3A%2F%2Fwww.webofscience.com%2Fwos%2Fwoscc%2Ffull-record%2FWOS:000664107100002","View Full Record in Web of Science")</f>
        <v>View Full Record in Web of Science</v>
      </c>
    </row>
    <row r="746" spans="1:72" x14ac:dyDescent="0.15">
      <c r="A746" t="s">
        <v>72</v>
      </c>
      <c r="B746" t="s">
        <v>14574</v>
      </c>
      <c r="C746" t="s">
        <v>74</v>
      </c>
      <c r="D746" t="s">
        <v>74</v>
      </c>
      <c r="E746" t="s">
        <v>74</v>
      </c>
      <c r="F746" t="s">
        <v>14575</v>
      </c>
      <c r="G746" t="s">
        <v>74</v>
      </c>
      <c r="H746" t="s">
        <v>74</v>
      </c>
      <c r="I746" t="s">
        <v>14576</v>
      </c>
      <c r="J746" t="s">
        <v>13688</v>
      </c>
      <c r="K746" t="s">
        <v>74</v>
      </c>
      <c r="L746" t="s">
        <v>74</v>
      </c>
      <c r="M746" t="s">
        <v>78</v>
      </c>
      <c r="N746" t="s">
        <v>79</v>
      </c>
      <c r="O746" t="s">
        <v>74</v>
      </c>
      <c r="P746" t="s">
        <v>74</v>
      </c>
      <c r="Q746" t="s">
        <v>74</v>
      </c>
      <c r="R746" t="s">
        <v>74</v>
      </c>
      <c r="S746" t="s">
        <v>74</v>
      </c>
      <c r="T746" t="s">
        <v>14577</v>
      </c>
      <c r="U746" t="s">
        <v>14578</v>
      </c>
      <c r="V746" t="s">
        <v>14579</v>
      </c>
      <c r="W746" t="s">
        <v>14580</v>
      </c>
      <c r="X746" t="s">
        <v>14581</v>
      </c>
      <c r="Y746" t="s">
        <v>14582</v>
      </c>
      <c r="Z746" t="s">
        <v>14583</v>
      </c>
      <c r="AA746" t="s">
        <v>74</v>
      </c>
      <c r="AB746" t="s">
        <v>74</v>
      </c>
      <c r="AC746" t="s">
        <v>13406</v>
      </c>
      <c r="AD746" t="s">
        <v>13406</v>
      </c>
      <c r="AE746" t="s">
        <v>14584</v>
      </c>
      <c r="AF746" t="s">
        <v>74</v>
      </c>
      <c r="AG746">
        <v>51</v>
      </c>
      <c r="AH746">
        <v>3</v>
      </c>
      <c r="AI746">
        <v>3</v>
      </c>
      <c r="AJ746">
        <v>3</v>
      </c>
      <c r="AK746">
        <v>17</v>
      </c>
      <c r="AL746" t="s">
        <v>89</v>
      </c>
      <c r="AM746" t="s">
        <v>90</v>
      </c>
      <c r="AN746" t="s">
        <v>91</v>
      </c>
      <c r="AO746" t="s">
        <v>13699</v>
      </c>
      <c r="AP746" t="s">
        <v>13700</v>
      </c>
      <c r="AQ746" t="s">
        <v>74</v>
      </c>
      <c r="AR746" t="s">
        <v>13701</v>
      </c>
      <c r="AS746" t="s">
        <v>13702</v>
      </c>
      <c r="AT746" t="s">
        <v>402</v>
      </c>
      <c r="AU746">
        <v>2021</v>
      </c>
      <c r="AV746">
        <v>221</v>
      </c>
      <c r="AW746" t="s">
        <v>74</v>
      </c>
      <c r="AX746" t="s">
        <v>74</v>
      </c>
      <c r="AY746" t="s">
        <v>74</v>
      </c>
      <c r="AZ746" t="s">
        <v>74</v>
      </c>
      <c r="BA746" t="s">
        <v>74</v>
      </c>
      <c r="BB746" t="s">
        <v>74</v>
      </c>
      <c r="BC746" t="s">
        <v>74</v>
      </c>
      <c r="BD746">
        <v>103575</v>
      </c>
      <c r="BE746" t="s">
        <v>14585</v>
      </c>
      <c r="BF746" t="str">
        <f>HYPERLINK("http://dx.doi.org/10.1016/j.jmarsys.2021.103575","http://dx.doi.org/10.1016/j.jmarsys.2021.103575")</f>
        <v>http://dx.doi.org/10.1016/j.jmarsys.2021.103575</v>
      </c>
      <c r="BG746" t="s">
        <v>74</v>
      </c>
      <c r="BH746" t="s">
        <v>14415</v>
      </c>
      <c r="BI746">
        <v>16</v>
      </c>
      <c r="BJ746" t="s">
        <v>13704</v>
      </c>
      <c r="BK746" t="s">
        <v>128</v>
      </c>
      <c r="BL746" t="s">
        <v>13705</v>
      </c>
      <c r="BM746" t="s">
        <v>13706</v>
      </c>
      <c r="BN746" t="s">
        <v>74</v>
      </c>
      <c r="BO746" t="s">
        <v>74</v>
      </c>
      <c r="BP746" t="s">
        <v>74</v>
      </c>
      <c r="BQ746" t="s">
        <v>74</v>
      </c>
      <c r="BR746" t="s">
        <v>102</v>
      </c>
      <c r="BS746" t="s">
        <v>14586</v>
      </c>
      <c r="BT746" t="str">
        <f>HYPERLINK("https%3A%2F%2Fwww.webofscience.com%2Fwos%2Fwoscc%2Ffull-record%2FWOS:000658513500003","View Full Record in Web of Science")</f>
        <v>View Full Record in Web of Science</v>
      </c>
    </row>
    <row r="747" spans="1:72" x14ac:dyDescent="0.15">
      <c r="A747" t="s">
        <v>72</v>
      </c>
      <c r="B747" t="s">
        <v>14587</v>
      </c>
      <c r="C747" t="s">
        <v>74</v>
      </c>
      <c r="D747" t="s">
        <v>74</v>
      </c>
      <c r="E747" t="s">
        <v>74</v>
      </c>
      <c r="F747" t="s">
        <v>14588</v>
      </c>
      <c r="G747" t="s">
        <v>74</v>
      </c>
      <c r="H747" t="s">
        <v>74</v>
      </c>
      <c r="I747" t="s">
        <v>14589</v>
      </c>
      <c r="J747" t="s">
        <v>438</v>
      </c>
      <c r="K747" t="s">
        <v>74</v>
      </c>
      <c r="L747" t="s">
        <v>74</v>
      </c>
      <c r="M747" t="s">
        <v>78</v>
      </c>
      <c r="N747" t="s">
        <v>79</v>
      </c>
      <c r="O747" t="s">
        <v>74</v>
      </c>
      <c r="P747" t="s">
        <v>74</v>
      </c>
      <c r="Q747" t="s">
        <v>74</v>
      </c>
      <c r="R747" t="s">
        <v>74</v>
      </c>
      <c r="S747" t="s">
        <v>74</v>
      </c>
      <c r="T747" t="s">
        <v>14590</v>
      </c>
      <c r="U747" t="s">
        <v>14591</v>
      </c>
      <c r="V747" t="s">
        <v>14592</v>
      </c>
      <c r="W747" t="s">
        <v>14593</v>
      </c>
      <c r="X747" t="s">
        <v>14594</v>
      </c>
      <c r="Y747" t="s">
        <v>14595</v>
      </c>
      <c r="Z747" t="s">
        <v>14596</v>
      </c>
      <c r="AA747" t="s">
        <v>14597</v>
      </c>
      <c r="AB747" t="s">
        <v>14598</v>
      </c>
      <c r="AC747" t="s">
        <v>14599</v>
      </c>
      <c r="AD747" t="s">
        <v>14599</v>
      </c>
      <c r="AE747" t="s">
        <v>14600</v>
      </c>
      <c r="AF747" t="s">
        <v>74</v>
      </c>
      <c r="AG747">
        <v>111</v>
      </c>
      <c r="AH747">
        <v>29</v>
      </c>
      <c r="AI747">
        <v>30</v>
      </c>
      <c r="AJ747">
        <v>4</v>
      </c>
      <c r="AK747">
        <v>55</v>
      </c>
      <c r="AL747" t="s">
        <v>450</v>
      </c>
      <c r="AM747" t="s">
        <v>451</v>
      </c>
      <c r="AN747" t="s">
        <v>452</v>
      </c>
      <c r="AO747" t="s">
        <v>453</v>
      </c>
      <c r="AP747" t="s">
        <v>454</v>
      </c>
      <c r="AQ747" t="s">
        <v>74</v>
      </c>
      <c r="AR747" t="s">
        <v>455</v>
      </c>
      <c r="AS747" t="s">
        <v>456</v>
      </c>
      <c r="AT747" t="s">
        <v>457</v>
      </c>
      <c r="AU747">
        <v>2022</v>
      </c>
      <c r="AV747">
        <v>32</v>
      </c>
      <c r="AW747">
        <v>1</v>
      </c>
      <c r="AX747" t="s">
        <v>74</v>
      </c>
      <c r="AY747" t="s">
        <v>74</v>
      </c>
      <c r="AZ747" t="s">
        <v>431</v>
      </c>
      <c r="BA747" t="s">
        <v>74</v>
      </c>
      <c r="BB747">
        <v>101</v>
      </c>
      <c r="BC747">
        <v>121</v>
      </c>
      <c r="BD747" t="s">
        <v>74</v>
      </c>
      <c r="BE747" t="s">
        <v>14601</v>
      </c>
      <c r="BF747" t="str">
        <f>HYPERLINK("http://dx.doi.org/10.1007/s11160-021-09663-x","http://dx.doi.org/10.1007/s11160-021-09663-x")</f>
        <v>http://dx.doi.org/10.1007/s11160-021-09663-x</v>
      </c>
      <c r="BG747" t="s">
        <v>74</v>
      </c>
      <c r="BH747" t="s">
        <v>14415</v>
      </c>
      <c r="BI747">
        <v>21</v>
      </c>
      <c r="BJ747" t="s">
        <v>459</v>
      </c>
      <c r="BK747" t="s">
        <v>100</v>
      </c>
      <c r="BL747" t="s">
        <v>459</v>
      </c>
      <c r="BM747" t="s">
        <v>460</v>
      </c>
      <c r="BN747">
        <v>34092936</v>
      </c>
      <c r="BO747" t="s">
        <v>14602</v>
      </c>
      <c r="BP747" t="s">
        <v>74</v>
      </c>
      <c r="BQ747" t="s">
        <v>74</v>
      </c>
      <c r="BR747" t="s">
        <v>102</v>
      </c>
      <c r="BS747" t="s">
        <v>14603</v>
      </c>
      <c r="BT747" t="str">
        <f>HYPERLINK("https%3A%2F%2Fwww.webofscience.com%2Fwos%2Fwoscc%2Ffull-record%2FWOS:000655939500001","View Full Record in Web of Science")</f>
        <v>View Full Record in Web of Science</v>
      </c>
    </row>
    <row r="748" spans="1:72" x14ac:dyDescent="0.15">
      <c r="A748" t="s">
        <v>72</v>
      </c>
      <c r="B748" t="s">
        <v>14604</v>
      </c>
      <c r="C748" t="s">
        <v>74</v>
      </c>
      <c r="D748" t="s">
        <v>74</v>
      </c>
      <c r="E748" t="s">
        <v>74</v>
      </c>
      <c r="F748" t="s">
        <v>14605</v>
      </c>
      <c r="G748" t="s">
        <v>74</v>
      </c>
      <c r="H748" t="s">
        <v>74</v>
      </c>
      <c r="I748" t="s">
        <v>14606</v>
      </c>
      <c r="J748" t="s">
        <v>4603</v>
      </c>
      <c r="K748" t="s">
        <v>74</v>
      </c>
      <c r="L748" t="s">
        <v>74</v>
      </c>
      <c r="M748" t="s">
        <v>78</v>
      </c>
      <c r="N748" t="s">
        <v>79</v>
      </c>
      <c r="O748" t="s">
        <v>74</v>
      </c>
      <c r="P748" t="s">
        <v>74</v>
      </c>
      <c r="Q748" t="s">
        <v>74</v>
      </c>
      <c r="R748" t="s">
        <v>74</v>
      </c>
      <c r="S748" t="s">
        <v>74</v>
      </c>
      <c r="T748" t="s">
        <v>74</v>
      </c>
      <c r="U748" t="s">
        <v>14607</v>
      </c>
      <c r="V748" t="s">
        <v>14608</v>
      </c>
      <c r="W748" t="s">
        <v>14609</v>
      </c>
      <c r="X748" t="s">
        <v>14610</v>
      </c>
      <c r="Y748" t="s">
        <v>14611</v>
      </c>
      <c r="Z748" t="s">
        <v>14612</v>
      </c>
      <c r="AA748" t="s">
        <v>14613</v>
      </c>
      <c r="AB748" t="s">
        <v>14614</v>
      </c>
      <c r="AC748" t="s">
        <v>14615</v>
      </c>
      <c r="AD748" t="s">
        <v>14616</v>
      </c>
      <c r="AE748" t="s">
        <v>14617</v>
      </c>
      <c r="AF748" t="s">
        <v>74</v>
      </c>
      <c r="AG748">
        <v>56</v>
      </c>
      <c r="AH748">
        <v>13</v>
      </c>
      <c r="AI748">
        <v>15</v>
      </c>
      <c r="AJ748">
        <v>3</v>
      </c>
      <c r="AK748">
        <v>30</v>
      </c>
      <c r="AL748" t="s">
        <v>3265</v>
      </c>
      <c r="AM748" t="s">
        <v>2239</v>
      </c>
      <c r="AN748" t="s">
        <v>3266</v>
      </c>
      <c r="AO748" t="s">
        <v>4615</v>
      </c>
      <c r="AP748" t="s">
        <v>4616</v>
      </c>
      <c r="AQ748" t="s">
        <v>74</v>
      </c>
      <c r="AR748" t="s">
        <v>4617</v>
      </c>
      <c r="AS748" t="s">
        <v>4618</v>
      </c>
      <c r="AT748" t="s">
        <v>14618</v>
      </c>
      <c r="AU748">
        <v>2021</v>
      </c>
      <c r="AV748">
        <v>12</v>
      </c>
      <c r="AW748">
        <v>15</v>
      </c>
      <c r="AX748" t="s">
        <v>74</v>
      </c>
      <c r="AY748" t="s">
        <v>74</v>
      </c>
      <c r="AZ748" t="s">
        <v>74</v>
      </c>
      <c r="BA748" t="s">
        <v>74</v>
      </c>
      <c r="BB748">
        <v>6766</v>
      </c>
      <c r="BC748">
        <v>6779</v>
      </c>
      <c r="BD748" t="s">
        <v>74</v>
      </c>
      <c r="BE748" t="s">
        <v>14619</v>
      </c>
      <c r="BF748" t="str">
        <f>HYPERLINK("http://dx.doi.org/10.1039/d1fo00056j","http://dx.doi.org/10.1039/d1fo00056j")</f>
        <v>http://dx.doi.org/10.1039/d1fo00056j</v>
      </c>
      <c r="BG748" t="s">
        <v>74</v>
      </c>
      <c r="BH748" t="s">
        <v>14415</v>
      </c>
      <c r="BI748">
        <v>14</v>
      </c>
      <c r="BJ748" t="s">
        <v>3369</v>
      </c>
      <c r="BK748" t="s">
        <v>128</v>
      </c>
      <c r="BL748" t="s">
        <v>3369</v>
      </c>
      <c r="BM748" t="s">
        <v>14620</v>
      </c>
      <c r="BN748">
        <v>34160515</v>
      </c>
      <c r="BO748" t="s">
        <v>74</v>
      </c>
      <c r="BP748" t="s">
        <v>74</v>
      </c>
      <c r="BQ748" t="s">
        <v>74</v>
      </c>
      <c r="BR748" t="s">
        <v>102</v>
      </c>
      <c r="BS748" t="s">
        <v>14621</v>
      </c>
      <c r="BT748" t="str">
        <f>HYPERLINK("https%3A%2F%2Fwww.webofscience.com%2Fwos%2Fwoscc%2Ffull-record%2FWOS:000664239900001","View Full Record in Web of Science")</f>
        <v>View Full Record in Web of Science</v>
      </c>
    </row>
    <row r="749" spans="1:72" x14ac:dyDescent="0.15">
      <c r="A749" t="s">
        <v>72</v>
      </c>
      <c r="B749" t="s">
        <v>14622</v>
      </c>
      <c r="C749" t="s">
        <v>74</v>
      </c>
      <c r="D749" t="s">
        <v>74</v>
      </c>
      <c r="E749" t="s">
        <v>74</v>
      </c>
      <c r="F749" t="s">
        <v>14623</v>
      </c>
      <c r="G749" t="s">
        <v>74</v>
      </c>
      <c r="H749" t="s">
        <v>9758</v>
      </c>
      <c r="I749" t="s">
        <v>14624</v>
      </c>
      <c r="J749" t="s">
        <v>14625</v>
      </c>
      <c r="K749" t="s">
        <v>74</v>
      </c>
      <c r="L749" t="s">
        <v>74</v>
      </c>
      <c r="M749" t="s">
        <v>78</v>
      </c>
      <c r="N749" t="s">
        <v>79</v>
      </c>
      <c r="O749" t="s">
        <v>74</v>
      </c>
      <c r="P749" t="s">
        <v>74</v>
      </c>
      <c r="Q749" t="s">
        <v>74</v>
      </c>
      <c r="R749" t="s">
        <v>74</v>
      </c>
      <c r="S749" t="s">
        <v>74</v>
      </c>
      <c r="T749" t="s">
        <v>14626</v>
      </c>
      <c r="U749" t="s">
        <v>14627</v>
      </c>
      <c r="V749" t="s">
        <v>14628</v>
      </c>
      <c r="W749" t="s">
        <v>14629</v>
      </c>
      <c r="X749" t="s">
        <v>14630</v>
      </c>
      <c r="Y749" t="s">
        <v>14631</v>
      </c>
      <c r="Z749" t="s">
        <v>14632</v>
      </c>
      <c r="AA749" t="s">
        <v>14633</v>
      </c>
      <c r="AB749" t="s">
        <v>14634</v>
      </c>
      <c r="AC749" t="s">
        <v>14635</v>
      </c>
      <c r="AD749" t="s">
        <v>14636</v>
      </c>
      <c r="AE749" t="s">
        <v>14637</v>
      </c>
      <c r="AF749" t="s">
        <v>74</v>
      </c>
      <c r="AG749">
        <v>162</v>
      </c>
      <c r="AH749">
        <v>9</v>
      </c>
      <c r="AI749">
        <v>9</v>
      </c>
      <c r="AJ749">
        <v>4</v>
      </c>
      <c r="AK749">
        <v>12</v>
      </c>
      <c r="AL749" t="s">
        <v>89</v>
      </c>
      <c r="AM749" t="s">
        <v>90</v>
      </c>
      <c r="AN749" t="s">
        <v>91</v>
      </c>
      <c r="AO749" t="s">
        <v>14638</v>
      </c>
      <c r="AP749" t="s">
        <v>14639</v>
      </c>
      <c r="AQ749" t="s">
        <v>74</v>
      </c>
      <c r="AR749" t="s">
        <v>14625</v>
      </c>
      <c r="AS749" t="s">
        <v>14640</v>
      </c>
      <c r="AT749" t="s">
        <v>3271</v>
      </c>
      <c r="AU749">
        <v>2021</v>
      </c>
      <c r="AV749">
        <v>388</v>
      </c>
      <c r="AW749" t="s">
        <v>74</v>
      </c>
      <c r="AX749" t="s">
        <v>74</v>
      </c>
      <c r="AY749" t="s">
        <v>74</v>
      </c>
      <c r="AZ749" t="s">
        <v>74</v>
      </c>
      <c r="BA749" t="s">
        <v>74</v>
      </c>
      <c r="BB749" t="s">
        <v>74</v>
      </c>
      <c r="BC749" t="s">
        <v>74</v>
      </c>
      <c r="BD749">
        <v>107787</v>
      </c>
      <c r="BE749" t="s">
        <v>14641</v>
      </c>
      <c r="BF749" t="str">
        <f>HYPERLINK("http://dx.doi.org/10.1016/j.geomorph.2021.107787","http://dx.doi.org/10.1016/j.geomorph.2021.107787")</f>
        <v>http://dx.doi.org/10.1016/j.geomorph.2021.107787</v>
      </c>
      <c r="BG749" t="s">
        <v>74</v>
      </c>
      <c r="BH749" t="s">
        <v>14415</v>
      </c>
      <c r="BI749">
        <v>22</v>
      </c>
      <c r="BJ749" t="s">
        <v>151</v>
      </c>
      <c r="BK749" t="s">
        <v>128</v>
      </c>
      <c r="BL749" t="s">
        <v>152</v>
      </c>
      <c r="BM749" t="s">
        <v>14642</v>
      </c>
      <c r="BN749" t="s">
        <v>74</v>
      </c>
      <c r="BO749" t="s">
        <v>209</v>
      </c>
      <c r="BP749" t="s">
        <v>74</v>
      </c>
      <c r="BQ749" t="s">
        <v>74</v>
      </c>
      <c r="BR749" t="s">
        <v>102</v>
      </c>
      <c r="BS749" t="s">
        <v>14643</v>
      </c>
      <c r="BT749" t="str">
        <f>HYPERLINK("https%3A%2F%2Fwww.webofscience.com%2Fwos%2Fwoscc%2Ffull-record%2FWOS:000660407000001","View Full Record in Web of Science")</f>
        <v>View Full Record in Web of Science</v>
      </c>
    </row>
    <row r="750" spans="1:72" x14ac:dyDescent="0.15">
      <c r="A750" t="s">
        <v>72</v>
      </c>
      <c r="B750" t="s">
        <v>14644</v>
      </c>
      <c r="C750" t="s">
        <v>74</v>
      </c>
      <c r="D750" t="s">
        <v>74</v>
      </c>
      <c r="E750" t="s">
        <v>74</v>
      </c>
      <c r="F750" t="s">
        <v>14645</v>
      </c>
      <c r="G750" t="s">
        <v>74</v>
      </c>
      <c r="H750" t="s">
        <v>74</v>
      </c>
      <c r="I750" t="s">
        <v>14646</v>
      </c>
      <c r="J750" t="s">
        <v>13863</v>
      </c>
      <c r="K750" t="s">
        <v>74</v>
      </c>
      <c r="L750" t="s">
        <v>74</v>
      </c>
      <c r="M750" t="s">
        <v>78</v>
      </c>
      <c r="N750" t="s">
        <v>644</v>
      </c>
      <c r="O750" t="s">
        <v>74</v>
      </c>
      <c r="P750" t="s">
        <v>74</v>
      </c>
      <c r="Q750" t="s">
        <v>74</v>
      </c>
      <c r="R750" t="s">
        <v>74</v>
      </c>
      <c r="S750" t="s">
        <v>74</v>
      </c>
      <c r="T750" t="s">
        <v>14647</v>
      </c>
      <c r="U750" t="s">
        <v>74</v>
      </c>
      <c r="V750" t="s">
        <v>14648</v>
      </c>
      <c r="W750" t="s">
        <v>14649</v>
      </c>
      <c r="X750" t="s">
        <v>14650</v>
      </c>
      <c r="Y750" t="s">
        <v>14651</v>
      </c>
      <c r="Z750" t="s">
        <v>14652</v>
      </c>
      <c r="AA750" t="s">
        <v>14653</v>
      </c>
      <c r="AB750" t="s">
        <v>14654</v>
      </c>
      <c r="AC750" t="s">
        <v>74</v>
      </c>
      <c r="AD750" t="s">
        <v>74</v>
      </c>
      <c r="AE750" t="s">
        <v>74</v>
      </c>
      <c r="AF750" t="s">
        <v>74</v>
      </c>
      <c r="AG750">
        <v>3</v>
      </c>
      <c r="AH750">
        <v>3</v>
      </c>
      <c r="AI750">
        <v>3</v>
      </c>
      <c r="AJ750">
        <v>4</v>
      </c>
      <c r="AK750">
        <v>17</v>
      </c>
      <c r="AL750" t="s">
        <v>13872</v>
      </c>
      <c r="AM750" t="s">
        <v>13873</v>
      </c>
      <c r="AN750" t="s">
        <v>13874</v>
      </c>
      <c r="AO750" t="s">
        <v>13875</v>
      </c>
      <c r="AP750" t="s">
        <v>13876</v>
      </c>
      <c r="AQ750" t="s">
        <v>74</v>
      </c>
      <c r="AR750" t="s">
        <v>13863</v>
      </c>
      <c r="AS750" t="s">
        <v>13877</v>
      </c>
      <c r="AT750" t="s">
        <v>14655</v>
      </c>
      <c r="AU750">
        <v>2021</v>
      </c>
      <c r="AV750">
        <v>4979</v>
      </c>
      <c r="AW750">
        <v>1</v>
      </c>
      <c r="AX750" t="s">
        <v>74</v>
      </c>
      <c r="AY750" t="s">
        <v>74</v>
      </c>
      <c r="AZ750" t="s">
        <v>74</v>
      </c>
      <c r="BA750" t="s">
        <v>74</v>
      </c>
      <c r="BB750">
        <v>23</v>
      </c>
      <c r="BC750">
        <v>24</v>
      </c>
      <c r="BD750" t="s">
        <v>74</v>
      </c>
      <c r="BE750" t="s">
        <v>14656</v>
      </c>
      <c r="BF750" t="str">
        <f>HYPERLINK("http://dx.doi.org/10.11646/zootaxa.4979.1.5","http://dx.doi.org/10.11646/zootaxa.4979.1.5")</f>
        <v>http://dx.doi.org/10.11646/zootaxa.4979.1.5</v>
      </c>
      <c r="BG750" t="s">
        <v>74</v>
      </c>
      <c r="BH750" t="s">
        <v>74</v>
      </c>
      <c r="BI750">
        <v>2</v>
      </c>
      <c r="BJ750" t="s">
        <v>2197</v>
      </c>
      <c r="BK750" t="s">
        <v>128</v>
      </c>
      <c r="BL750" t="s">
        <v>2197</v>
      </c>
      <c r="BM750" t="s">
        <v>14657</v>
      </c>
      <c r="BN750">
        <v>34187018</v>
      </c>
      <c r="BO750" t="s">
        <v>588</v>
      </c>
      <c r="BP750" t="s">
        <v>74</v>
      </c>
      <c r="BQ750" t="s">
        <v>74</v>
      </c>
      <c r="BR750" t="s">
        <v>102</v>
      </c>
      <c r="BS750" t="s">
        <v>14658</v>
      </c>
      <c r="BT750" t="str">
        <f>HYPERLINK("https%3A%2F%2Fwww.webofscience.com%2Fwos%2Fwoscc%2Ffull-record%2FWOS:000659356600003","View Full Record in Web of Science")</f>
        <v>View Full Record in Web of Science</v>
      </c>
    </row>
    <row r="751" spans="1:72" x14ac:dyDescent="0.15">
      <c r="A751" t="s">
        <v>72</v>
      </c>
      <c r="B751" t="s">
        <v>14659</v>
      </c>
      <c r="C751" t="s">
        <v>74</v>
      </c>
      <c r="D751" t="s">
        <v>74</v>
      </c>
      <c r="E751" t="s">
        <v>74</v>
      </c>
      <c r="F751" t="s">
        <v>14660</v>
      </c>
      <c r="G751" t="s">
        <v>74</v>
      </c>
      <c r="H751" t="s">
        <v>74</v>
      </c>
      <c r="I751" t="s">
        <v>14661</v>
      </c>
      <c r="J751" t="s">
        <v>13863</v>
      </c>
      <c r="K751" t="s">
        <v>74</v>
      </c>
      <c r="L751" t="s">
        <v>74</v>
      </c>
      <c r="M751" t="s">
        <v>78</v>
      </c>
      <c r="N751" t="s">
        <v>700</v>
      </c>
      <c r="O751" t="s">
        <v>74</v>
      </c>
      <c r="P751" t="s">
        <v>74</v>
      </c>
      <c r="Q751" t="s">
        <v>74</v>
      </c>
      <c r="R751" t="s">
        <v>74</v>
      </c>
      <c r="S751" t="s">
        <v>74</v>
      </c>
      <c r="T751" t="s">
        <v>14662</v>
      </c>
      <c r="U751" t="s">
        <v>74</v>
      </c>
      <c r="V751" t="s">
        <v>14663</v>
      </c>
      <c r="W751" t="s">
        <v>14664</v>
      </c>
      <c r="X751" t="s">
        <v>14665</v>
      </c>
      <c r="Y751" t="s">
        <v>14666</v>
      </c>
      <c r="Z751" t="s">
        <v>14667</v>
      </c>
      <c r="AA751" t="s">
        <v>14668</v>
      </c>
      <c r="AB751" t="s">
        <v>14669</v>
      </c>
      <c r="AC751" t="s">
        <v>74</v>
      </c>
      <c r="AD751" t="s">
        <v>74</v>
      </c>
      <c r="AE751" t="s">
        <v>74</v>
      </c>
      <c r="AF751" t="s">
        <v>74</v>
      </c>
      <c r="AG751">
        <v>11</v>
      </c>
      <c r="AH751">
        <v>3</v>
      </c>
      <c r="AI751">
        <v>3</v>
      </c>
      <c r="AJ751">
        <v>1</v>
      </c>
      <c r="AK751">
        <v>3</v>
      </c>
      <c r="AL751" t="s">
        <v>13872</v>
      </c>
      <c r="AM751" t="s">
        <v>13873</v>
      </c>
      <c r="AN751" t="s">
        <v>14670</v>
      </c>
      <c r="AO751" t="s">
        <v>13875</v>
      </c>
      <c r="AP751" t="s">
        <v>13876</v>
      </c>
      <c r="AQ751" t="s">
        <v>74</v>
      </c>
      <c r="AR751" t="s">
        <v>13863</v>
      </c>
      <c r="AS751" t="s">
        <v>13877</v>
      </c>
      <c r="AT751" t="s">
        <v>14655</v>
      </c>
      <c r="AU751">
        <v>2021</v>
      </c>
      <c r="AV751">
        <v>4979</v>
      </c>
      <c r="AW751">
        <v>1</v>
      </c>
      <c r="AX751" t="s">
        <v>74</v>
      </c>
      <c r="AY751" t="s">
        <v>74</v>
      </c>
      <c r="AZ751" t="s">
        <v>74</v>
      </c>
      <c r="BA751" t="s">
        <v>74</v>
      </c>
      <c r="BB751">
        <v>102</v>
      </c>
      <c r="BC751">
        <v>114</v>
      </c>
      <c r="BD751" t="s">
        <v>74</v>
      </c>
      <c r="BE751" t="s">
        <v>14671</v>
      </c>
      <c r="BF751" t="str">
        <f>HYPERLINK("http://dx.doi.org/10.11646/zootaxa.4979.1.12","http://dx.doi.org/10.11646/zootaxa.4979.1.12")</f>
        <v>http://dx.doi.org/10.11646/zootaxa.4979.1.12</v>
      </c>
      <c r="BG751" t="s">
        <v>74</v>
      </c>
      <c r="BH751" t="s">
        <v>74</v>
      </c>
      <c r="BI751">
        <v>13</v>
      </c>
      <c r="BJ751" t="s">
        <v>2197</v>
      </c>
      <c r="BK751" t="s">
        <v>128</v>
      </c>
      <c r="BL751" t="s">
        <v>2197</v>
      </c>
      <c r="BM751" t="s">
        <v>14657</v>
      </c>
      <c r="BN751">
        <v>34187011</v>
      </c>
      <c r="BO751" t="s">
        <v>2199</v>
      </c>
      <c r="BP751" t="s">
        <v>74</v>
      </c>
      <c r="BQ751" t="s">
        <v>74</v>
      </c>
      <c r="BR751" t="s">
        <v>102</v>
      </c>
      <c r="BS751" t="s">
        <v>14672</v>
      </c>
      <c r="BT751" t="str">
        <f>HYPERLINK("https%3A%2F%2Fwww.webofscience.com%2Fwos%2Fwoscc%2Ffull-record%2FWOS:000659356600010","View Full Record in Web of Science")</f>
        <v>View Full Record in Web of Science</v>
      </c>
    </row>
    <row r="752" spans="1:72" x14ac:dyDescent="0.15">
      <c r="A752" t="s">
        <v>72</v>
      </c>
      <c r="B752" t="s">
        <v>14673</v>
      </c>
      <c r="C752" t="s">
        <v>74</v>
      </c>
      <c r="D752" t="s">
        <v>74</v>
      </c>
      <c r="E752" t="s">
        <v>74</v>
      </c>
      <c r="F752" t="s">
        <v>14674</v>
      </c>
      <c r="G752" t="s">
        <v>74</v>
      </c>
      <c r="H752" t="s">
        <v>74</v>
      </c>
      <c r="I752" t="s">
        <v>14675</v>
      </c>
      <c r="J752" t="s">
        <v>14676</v>
      </c>
      <c r="K752" t="s">
        <v>74</v>
      </c>
      <c r="L752" t="s">
        <v>74</v>
      </c>
      <c r="M752" t="s">
        <v>78</v>
      </c>
      <c r="N752" t="s">
        <v>79</v>
      </c>
      <c r="O752" t="s">
        <v>74</v>
      </c>
      <c r="P752" t="s">
        <v>74</v>
      </c>
      <c r="Q752" t="s">
        <v>74</v>
      </c>
      <c r="R752" t="s">
        <v>74</v>
      </c>
      <c r="S752" t="s">
        <v>74</v>
      </c>
      <c r="T752" t="s">
        <v>14677</v>
      </c>
      <c r="U752" t="s">
        <v>14678</v>
      </c>
      <c r="V752" t="s">
        <v>14679</v>
      </c>
      <c r="W752" t="s">
        <v>14680</v>
      </c>
      <c r="X752" t="s">
        <v>14681</v>
      </c>
      <c r="Y752" t="s">
        <v>14682</v>
      </c>
      <c r="Z752" t="s">
        <v>10468</v>
      </c>
      <c r="AA752" t="s">
        <v>10469</v>
      </c>
      <c r="AB752" t="s">
        <v>10470</v>
      </c>
      <c r="AC752" t="s">
        <v>14683</v>
      </c>
      <c r="AD752" t="s">
        <v>14684</v>
      </c>
      <c r="AE752" t="s">
        <v>14685</v>
      </c>
      <c r="AF752" t="s">
        <v>74</v>
      </c>
      <c r="AG752">
        <v>54</v>
      </c>
      <c r="AH752">
        <v>10</v>
      </c>
      <c r="AI752">
        <v>10</v>
      </c>
      <c r="AJ752">
        <v>0</v>
      </c>
      <c r="AK752">
        <v>3</v>
      </c>
      <c r="AL752" t="s">
        <v>3135</v>
      </c>
      <c r="AM752" t="s">
        <v>3136</v>
      </c>
      <c r="AN752" t="s">
        <v>3137</v>
      </c>
      <c r="AO752" t="s">
        <v>14686</v>
      </c>
      <c r="AP752" t="s">
        <v>14687</v>
      </c>
      <c r="AQ752" t="s">
        <v>74</v>
      </c>
      <c r="AR752" t="s">
        <v>14688</v>
      </c>
      <c r="AS752" t="s">
        <v>14689</v>
      </c>
      <c r="AT752" t="s">
        <v>14690</v>
      </c>
      <c r="AU752">
        <v>2022</v>
      </c>
      <c r="AV752">
        <v>52</v>
      </c>
      <c r="AW752">
        <v>5</v>
      </c>
      <c r="AX752" t="s">
        <v>74</v>
      </c>
      <c r="AY752" t="s">
        <v>74</v>
      </c>
      <c r="AZ752" t="s">
        <v>74</v>
      </c>
      <c r="BA752" t="s">
        <v>74</v>
      </c>
      <c r="BB752">
        <v>587</v>
      </c>
      <c r="BC752">
        <v>598</v>
      </c>
      <c r="BD752" t="s">
        <v>74</v>
      </c>
      <c r="BE752" t="s">
        <v>14691</v>
      </c>
      <c r="BF752" t="str">
        <f>HYPERLINK("http://dx.doi.org/10.1080/03036758.2021.1917633","http://dx.doi.org/10.1080/03036758.2021.1917633")</f>
        <v>http://dx.doi.org/10.1080/03036758.2021.1917633</v>
      </c>
      <c r="BG752" t="s">
        <v>74</v>
      </c>
      <c r="BH752" t="s">
        <v>14415</v>
      </c>
      <c r="BI752">
        <v>12</v>
      </c>
      <c r="BJ752" t="s">
        <v>2609</v>
      </c>
      <c r="BK752" t="s">
        <v>128</v>
      </c>
      <c r="BL752" t="s">
        <v>2610</v>
      </c>
      <c r="BM752" t="s">
        <v>14692</v>
      </c>
      <c r="BN752" t="s">
        <v>74</v>
      </c>
      <c r="BO752" t="s">
        <v>74</v>
      </c>
      <c r="BP752" t="s">
        <v>74</v>
      </c>
      <c r="BQ752" t="s">
        <v>74</v>
      </c>
      <c r="BR752" t="s">
        <v>102</v>
      </c>
      <c r="BS752" t="s">
        <v>14693</v>
      </c>
      <c r="BT752" t="str">
        <f>HYPERLINK("https%3A%2F%2Fwww.webofscience.com%2Fwos%2Fwoscc%2Ffull-record%2FWOS:000658195700001","View Full Record in Web of Science")</f>
        <v>View Full Record in Web of Science</v>
      </c>
    </row>
    <row r="753" spans="1:72" x14ac:dyDescent="0.15">
      <c r="A753" t="s">
        <v>72</v>
      </c>
      <c r="B753" t="s">
        <v>14694</v>
      </c>
      <c r="C753" t="s">
        <v>74</v>
      </c>
      <c r="D753" t="s">
        <v>74</v>
      </c>
      <c r="E753" t="s">
        <v>74</v>
      </c>
      <c r="F753" t="s">
        <v>14695</v>
      </c>
      <c r="G753" t="s">
        <v>74</v>
      </c>
      <c r="H753" t="s">
        <v>74</v>
      </c>
      <c r="I753" t="s">
        <v>14696</v>
      </c>
      <c r="J753" t="s">
        <v>2457</v>
      </c>
      <c r="K753" t="s">
        <v>74</v>
      </c>
      <c r="L753" t="s">
        <v>74</v>
      </c>
      <c r="M753" t="s">
        <v>78</v>
      </c>
      <c r="N753" t="s">
        <v>79</v>
      </c>
      <c r="O753" t="s">
        <v>74</v>
      </c>
      <c r="P753" t="s">
        <v>74</v>
      </c>
      <c r="Q753" t="s">
        <v>74</v>
      </c>
      <c r="R753" t="s">
        <v>74</v>
      </c>
      <c r="S753" t="s">
        <v>74</v>
      </c>
      <c r="T753" t="s">
        <v>14697</v>
      </c>
      <c r="U753" t="s">
        <v>14698</v>
      </c>
      <c r="V753" t="s">
        <v>14699</v>
      </c>
      <c r="W753" t="s">
        <v>14700</v>
      </c>
      <c r="X753" t="s">
        <v>14701</v>
      </c>
      <c r="Y753" t="s">
        <v>14702</v>
      </c>
      <c r="Z753" t="s">
        <v>14703</v>
      </c>
      <c r="AA753" t="s">
        <v>14704</v>
      </c>
      <c r="AB753" t="s">
        <v>14705</v>
      </c>
      <c r="AC753" t="s">
        <v>14706</v>
      </c>
      <c r="AD753" t="s">
        <v>14707</v>
      </c>
      <c r="AE753" t="s">
        <v>14708</v>
      </c>
      <c r="AF753" t="s">
        <v>74</v>
      </c>
      <c r="AG753">
        <v>44</v>
      </c>
      <c r="AH753">
        <v>22</v>
      </c>
      <c r="AI753">
        <v>23</v>
      </c>
      <c r="AJ753">
        <v>0</v>
      </c>
      <c r="AK753">
        <v>5</v>
      </c>
      <c r="AL753" t="s">
        <v>864</v>
      </c>
      <c r="AM753" t="s">
        <v>865</v>
      </c>
      <c r="AN753" t="s">
        <v>866</v>
      </c>
      <c r="AO753" t="s">
        <v>2469</v>
      </c>
      <c r="AP753" t="s">
        <v>2470</v>
      </c>
      <c r="AQ753" t="s">
        <v>74</v>
      </c>
      <c r="AR753" t="s">
        <v>2471</v>
      </c>
      <c r="AS753" t="s">
        <v>2472</v>
      </c>
      <c r="AT753" t="s">
        <v>14655</v>
      </c>
      <c r="AU753">
        <v>2021</v>
      </c>
      <c r="AV753">
        <v>48</v>
      </c>
      <c r="AW753">
        <v>10</v>
      </c>
      <c r="AX753" t="s">
        <v>74</v>
      </c>
      <c r="AY753" t="s">
        <v>74</v>
      </c>
      <c r="AZ753" t="s">
        <v>74</v>
      </c>
      <c r="BA753" t="s">
        <v>74</v>
      </c>
      <c r="BB753" t="s">
        <v>74</v>
      </c>
      <c r="BC753" t="s">
        <v>74</v>
      </c>
      <c r="BD753" t="s">
        <v>14709</v>
      </c>
      <c r="BE753" t="s">
        <v>14710</v>
      </c>
      <c r="BF753" t="str">
        <f>HYPERLINK("http://dx.doi.org/10.1029/2021GL092762","http://dx.doi.org/10.1029/2021GL092762")</f>
        <v>http://dx.doi.org/10.1029/2021GL092762</v>
      </c>
      <c r="BG753" t="s">
        <v>74</v>
      </c>
      <c r="BH753" t="s">
        <v>74</v>
      </c>
      <c r="BI753">
        <v>11</v>
      </c>
      <c r="BJ753" t="s">
        <v>405</v>
      </c>
      <c r="BK753" t="s">
        <v>128</v>
      </c>
      <c r="BL753" t="s">
        <v>406</v>
      </c>
      <c r="BM753" t="s">
        <v>14711</v>
      </c>
      <c r="BN753" t="s">
        <v>74</v>
      </c>
      <c r="BO753" t="s">
        <v>2125</v>
      </c>
      <c r="BP753" t="s">
        <v>74</v>
      </c>
      <c r="BQ753" t="s">
        <v>74</v>
      </c>
      <c r="BR753" t="s">
        <v>102</v>
      </c>
      <c r="BS753" t="s">
        <v>14712</v>
      </c>
      <c r="BT753" t="str">
        <f>HYPERLINK("https%3A%2F%2Fwww.webofscience.com%2Fwos%2Fwoscc%2Ffull-record%2FWOS:000658600300032","View Full Record in Web of Science")</f>
        <v>View Full Record in Web of Science</v>
      </c>
    </row>
    <row r="754" spans="1:72" x14ac:dyDescent="0.15">
      <c r="A754" t="s">
        <v>72</v>
      </c>
      <c r="B754" t="s">
        <v>14713</v>
      </c>
      <c r="C754" t="s">
        <v>74</v>
      </c>
      <c r="D754" t="s">
        <v>74</v>
      </c>
      <c r="E754" t="s">
        <v>74</v>
      </c>
      <c r="F754" t="s">
        <v>14714</v>
      </c>
      <c r="G754" t="s">
        <v>74</v>
      </c>
      <c r="H754" t="s">
        <v>74</v>
      </c>
      <c r="I754" t="s">
        <v>14715</v>
      </c>
      <c r="J754" t="s">
        <v>2457</v>
      </c>
      <c r="K754" t="s">
        <v>74</v>
      </c>
      <c r="L754" t="s">
        <v>74</v>
      </c>
      <c r="M754" t="s">
        <v>78</v>
      </c>
      <c r="N754" t="s">
        <v>79</v>
      </c>
      <c r="O754" t="s">
        <v>74</v>
      </c>
      <c r="P754" t="s">
        <v>74</v>
      </c>
      <c r="Q754" t="s">
        <v>74</v>
      </c>
      <c r="R754" t="s">
        <v>74</v>
      </c>
      <c r="S754" t="s">
        <v>74</v>
      </c>
      <c r="T754" t="s">
        <v>74</v>
      </c>
      <c r="U754" t="s">
        <v>14716</v>
      </c>
      <c r="V754" t="s">
        <v>14717</v>
      </c>
      <c r="W754" t="s">
        <v>14718</v>
      </c>
      <c r="X754" t="s">
        <v>14719</v>
      </c>
      <c r="Y754" t="s">
        <v>14720</v>
      </c>
      <c r="Z754" t="s">
        <v>14721</v>
      </c>
      <c r="AA754" t="s">
        <v>14722</v>
      </c>
      <c r="AB754" t="s">
        <v>14723</v>
      </c>
      <c r="AC754" t="s">
        <v>14724</v>
      </c>
      <c r="AD754" t="s">
        <v>14725</v>
      </c>
      <c r="AE754" t="s">
        <v>14726</v>
      </c>
      <c r="AF754" t="s">
        <v>74</v>
      </c>
      <c r="AG754">
        <v>46</v>
      </c>
      <c r="AH754">
        <v>3</v>
      </c>
      <c r="AI754">
        <v>3</v>
      </c>
      <c r="AJ754">
        <v>0</v>
      </c>
      <c r="AK754">
        <v>5</v>
      </c>
      <c r="AL754" t="s">
        <v>864</v>
      </c>
      <c r="AM754" t="s">
        <v>865</v>
      </c>
      <c r="AN754" t="s">
        <v>866</v>
      </c>
      <c r="AO754" t="s">
        <v>2469</v>
      </c>
      <c r="AP754" t="s">
        <v>2470</v>
      </c>
      <c r="AQ754" t="s">
        <v>74</v>
      </c>
      <c r="AR754" t="s">
        <v>2471</v>
      </c>
      <c r="AS754" t="s">
        <v>2472</v>
      </c>
      <c r="AT754" t="s">
        <v>14655</v>
      </c>
      <c r="AU754">
        <v>2021</v>
      </c>
      <c r="AV754">
        <v>48</v>
      </c>
      <c r="AW754">
        <v>10</v>
      </c>
      <c r="AX754" t="s">
        <v>74</v>
      </c>
      <c r="AY754" t="s">
        <v>74</v>
      </c>
      <c r="AZ754" t="s">
        <v>74</v>
      </c>
      <c r="BA754" t="s">
        <v>74</v>
      </c>
      <c r="BB754" t="s">
        <v>74</v>
      </c>
      <c r="BC754" t="s">
        <v>74</v>
      </c>
      <c r="BD754" t="s">
        <v>14727</v>
      </c>
      <c r="BE754" t="s">
        <v>14728</v>
      </c>
      <c r="BF754" t="str">
        <f>HYPERLINK("http://dx.doi.org/10.1029/2021GL092705","http://dx.doi.org/10.1029/2021GL092705")</f>
        <v>http://dx.doi.org/10.1029/2021GL092705</v>
      </c>
      <c r="BG754" t="s">
        <v>74</v>
      </c>
      <c r="BH754" t="s">
        <v>74</v>
      </c>
      <c r="BI754">
        <v>10</v>
      </c>
      <c r="BJ754" t="s">
        <v>405</v>
      </c>
      <c r="BK754" t="s">
        <v>128</v>
      </c>
      <c r="BL754" t="s">
        <v>406</v>
      </c>
      <c r="BM754" t="s">
        <v>14711</v>
      </c>
      <c r="BN754" t="s">
        <v>74</v>
      </c>
      <c r="BO754" t="s">
        <v>74</v>
      </c>
      <c r="BP754" t="s">
        <v>74</v>
      </c>
      <c r="BQ754" t="s">
        <v>74</v>
      </c>
      <c r="BR754" t="s">
        <v>102</v>
      </c>
      <c r="BS754" t="s">
        <v>14729</v>
      </c>
      <c r="BT754" t="str">
        <f>HYPERLINK("https%3A%2F%2Fwww.webofscience.com%2Fwos%2Fwoscc%2Ffull-record%2FWOS:000658600300017","View Full Record in Web of Science")</f>
        <v>View Full Record in Web of Science</v>
      </c>
    </row>
    <row r="755" spans="1:72" x14ac:dyDescent="0.15">
      <c r="A755" t="s">
        <v>72</v>
      </c>
      <c r="B755" t="s">
        <v>14730</v>
      </c>
      <c r="C755" t="s">
        <v>74</v>
      </c>
      <c r="D755" t="s">
        <v>74</v>
      </c>
      <c r="E755" t="s">
        <v>74</v>
      </c>
      <c r="F755" t="s">
        <v>14731</v>
      </c>
      <c r="G755" t="s">
        <v>74</v>
      </c>
      <c r="H755" t="s">
        <v>74</v>
      </c>
      <c r="I755" t="s">
        <v>14732</v>
      </c>
      <c r="J755" t="s">
        <v>2457</v>
      </c>
      <c r="K755" t="s">
        <v>74</v>
      </c>
      <c r="L755" t="s">
        <v>74</v>
      </c>
      <c r="M755" t="s">
        <v>78</v>
      </c>
      <c r="N755" t="s">
        <v>79</v>
      </c>
      <c r="O755" t="s">
        <v>74</v>
      </c>
      <c r="P755" t="s">
        <v>74</v>
      </c>
      <c r="Q755" t="s">
        <v>74</v>
      </c>
      <c r="R755" t="s">
        <v>74</v>
      </c>
      <c r="S755" t="s">
        <v>74</v>
      </c>
      <c r="T755" t="s">
        <v>14733</v>
      </c>
      <c r="U755" t="s">
        <v>14734</v>
      </c>
      <c r="V755" t="s">
        <v>14735</v>
      </c>
      <c r="W755" t="s">
        <v>14736</v>
      </c>
      <c r="X755" t="s">
        <v>14737</v>
      </c>
      <c r="Y755" t="s">
        <v>14738</v>
      </c>
      <c r="Z755" t="s">
        <v>14739</v>
      </c>
      <c r="AA755" t="s">
        <v>14740</v>
      </c>
      <c r="AB755" t="s">
        <v>14741</v>
      </c>
      <c r="AC755" t="s">
        <v>14742</v>
      </c>
      <c r="AD755" t="s">
        <v>14743</v>
      </c>
      <c r="AE755" t="s">
        <v>14744</v>
      </c>
      <c r="AF755" t="s">
        <v>74</v>
      </c>
      <c r="AG755">
        <v>64</v>
      </c>
      <c r="AH755">
        <v>5</v>
      </c>
      <c r="AI755">
        <v>5</v>
      </c>
      <c r="AJ755">
        <v>2</v>
      </c>
      <c r="AK755">
        <v>9</v>
      </c>
      <c r="AL755" t="s">
        <v>864</v>
      </c>
      <c r="AM755" t="s">
        <v>865</v>
      </c>
      <c r="AN755" t="s">
        <v>866</v>
      </c>
      <c r="AO755" t="s">
        <v>2469</v>
      </c>
      <c r="AP755" t="s">
        <v>2470</v>
      </c>
      <c r="AQ755" t="s">
        <v>74</v>
      </c>
      <c r="AR755" t="s">
        <v>2471</v>
      </c>
      <c r="AS755" t="s">
        <v>2472</v>
      </c>
      <c r="AT755" t="s">
        <v>14655</v>
      </c>
      <c r="AU755">
        <v>2021</v>
      </c>
      <c r="AV755">
        <v>48</v>
      </c>
      <c r="AW755">
        <v>10</v>
      </c>
      <c r="AX755" t="s">
        <v>74</v>
      </c>
      <c r="AY755" t="s">
        <v>74</v>
      </c>
      <c r="AZ755" t="s">
        <v>74</v>
      </c>
      <c r="BA755" t="s">
        <v>74</v>
      </c>
      <c r="BB755" t="s">
        <v>74</v>
      </c>
      <c r="BC755" t="s">
        <v>74</v>
      </c>
      <c r="BD755" t="s">
        <v>14745</v>
      </c>
      <c r="BE755" t="s">
        <v>14746</v>
      </c>
      <c r="BF755" t="str">
        <f>HYPERLINK("http://dx.doi.org/10.1029/2020GL091790","http://dx.doi.org/10.1029/2020GL091790")</f>
        <v>http://dx.doi.org/10.1029/2020GL091790</v>
      </c>
      <c r="BG755" t="s">
        <v>74</v>
      </c>
      <c r="BH755" t="s">
        <v>74</v>
      </c>
      <c r="BI755">
        <v>11</v>
      </c>
      <c r="BJ755" t="s">
        <v>405</v>
      </c>
      <c r="BK755" t="s">
        <v>128</v>
      </c>
      <c r="BL755" t="s">
        <v>406</v>
      </c>
      <c r="BM755" t="s">
        <v>14711</v>
      </c>
      <c r="BN755" t="s">
        <v>74</v>
      </c>
      <c r="BO755" t="s">
        <v>1154</v>
      </c>
      <c r="BP755" t="s">
        <v>74</v>
      </c>
      <c r="BQ755" t="s">
        <v>74</v>
      </c>
      <c r="BR755" t="s">
        <v>102</v>
      </c>
      <c r="BS755" t="s">
        <v>14747</v>
      </c>
      <c r="BT755" t="str">
        <f>HYPERLINK("https%3A%2F%2Fwww.webofscience.com%2Fwos%2Fwoscc%2Ffull-record%2FWOS:000658600300062","View Full Record in Web of Science")</f>
        <v>View Full Record in Web of Science</v>
      </c>
    </row>
    <row r="756" spans="1:72" x14ac:dyDescent="0.15">
      <c r="A756" t="s">
        <v>72</v>
      </c>
      <c r="B756" t="s">
        <v>14748</v>
      </c>
      <c r="C756" t="s">
        <v>74</v>
      </c>
      <c r="D756" t="s">
        <v>74</v>
      </c>
      <c r="E756" t="s">
        <v>74</v>
      </c>
      <c r="F756" t="s">
        <v>14749</v>
      </c>
      <c r="G756" t="s">
        <v>74</v>
      </c>
      <c r="H756" t="s">
        <v>74</v>
      </c>
      <c r="I756" t="s">
        <v>14750</v>
      </c>
      <c r="J756" t="s">
        <v>2457</v>
      </c>
      <c r="K756" t="s">
        <v>74</v>
      </c>
      <c r="L756" t="s">
        <v>74</v>
      </c>
      <c r="M756" t="s">
        <v>78</v>
      </c>
      <c r="N756" t="s">
        <v>79</v>
      </c>
      <c r="O756" t="s">
        <v>74</v>
      </c>
      <c r="P756" t="s">
        <v>74</v>
      </c>
      <c r="Q756" t="s">
        <v>74</v>
      </c>
      <c r="R756" t="s">
        <v>74</v>
      </c>
      <c r="S756" t="s">
        <v>74</v>
      </c>
      <c r="T756" t="s">
        <v>14751</v>
      </c>
      <c r="U756" t="s">
        <v>14752</v>
      </c>
      <c r="V756" t="s">
        <v>14753</v>
      </c>
      <c r="W756" t="s">
        <v>14754</v>
      </c>
      <c r="X756" t="s">
        <v>14755</v>
      </c>
      <c r="Y756" t="s">
        <v>14756</v>
      </c>
      <c r="Z756" t="s">
        <v>14757</v>
      </c>
      <c r="AA756" t="s">
        <v>14758</v>
      </c>
      <c r="AB756" t="s">
        <v>14759</v>
      </c>
      <c r="AC756" t="s">
        <v>14760</v>
      </c>
      <c r="AD756" t="s">
        <v>14761</v>
      </c>
      <c r="AE756" t="s">
        <v>14762</v>
      </c>
      <c r="AF756" t="s">
        <v>74</v>
      </c>
      <c r="AG756">
        <v>82</v>
      </c>
      <c r="AH756">
        <v>32</v>
      </c>
      <c r="AI756">
        <v>32</v>
      </c>
      <c r="AJ756">
        <v>7</v>
      </c>
      <c r="AK756">
        <v>19</v>
      </c>
      <c r="AL756" t="s">
        <v>864</v>
      </c>
      <c r="AM756" t="s">
        <v>865</v>
      </c>
      <c r="AN756" t="s">
        <v>866</v>
      </c>
      <c r="AO756" t="s">
        <v>2469</v>
      </c>
      <c r="AP756" t="s">
        <v>2470</v>
      </c>
      <c r="AQ756" t="s">
        <v>74</v>
      </c>
      <c r="AR756" t="s">
        <v>2471</v>
      </c>
      <c r="AS756" t="s">
        <v>2472</v>
      </c>
      <c r="AT756" t="s">
        <v>14655</v>
      </c>
      <c r="AU756">
        <v>2021</v>
      </c>
      <c r="AV756">
        <v>48</v>
      </c>
      <c r="AW756">
        <v>10</v>
      </c>
      <c r="AX756" t="s">
        <v>74</v>
      </c>
      <c r="AY756" t="s">
        <v>74</v>
      </c>
      <c r="AZ756" t="s">
        <v>74</v>
      </c>
      <c r="BA756" t="s">
        <v>74</v>
      </c>
      <c r="BB756" t="s">
        <v>74</v>
      </c>
      <c r="BC756" t="s">
        <v>74</v>
      </c>
      <c r="BD756" t="s">
        <v>14763</v>
      </c>
      <c r="BE756" t="s">
        <v>14764</v>
      </c>
      <c r="BF756" t="str">
        <f>HYPERLINK("http://dx.doi.org/10.1029/2021GL092752","http://dx.doi.org/10.1029/2021GL092752")</f>
        <v>http://dx.doi.org/10.1029/2021GL092752</v>
      </c>
      <c r="BG756" t="s">
        <v>74</v>
      </c>
      <c r="BH756" t="s">
        <v>74</v>
      </c>
      <c r="BI756">
        <v>15</v>
      </c>
      <c r="BJ756" t="s">
        <v>405</v>
      </c>
      <c r="BK756" t="s">
        <v>128</v>
      </c>
      <c r="BL756" t="s">
        <v>406</v>
      </c>
      <c r="BM756" t="s">
        <v>14711</v>
      </c>
      <c r="BN756" t="s">
        <v>74</v>
      </c>
      <c r="BO756" t="s">
        <v>74</v>
      </c>
      <c r="BP756" t="s">
        <v>74</v>
      </c>
      <c r="BQ756" t="s">
        <v>74</v>
      </c>
      <c r="BR756" t="s">
        <v>102</v>
      </c>
      <c r="BS756" t="s">
        <v>14765</v>
      </c>
      <c r="BT756" t="str">
        <f>HYPERLINK("https%3A%2F%2Fwww.webofscience.com%2Fwos%2Fwoscc%2Ffull-record%2FWOS:000658600300008","View Full Record in Web of Science")</f>
        <v>View Full Record in Web of Science</v>
      </c>
    </row>
    <row r="757" spans="1:72" x14ac:dyDescent="0.15">
      <c r="A757" t="s">
        <v>72</v>
      </c>
      <c r="B757" t="s">
        <v>14766</v>
      </c>
      <c r="C757" t="s">
        <v>74</v>
      </c>
      <c r="D757" t="s">
        <v>74</v>
      </c>
      <c r="E757" t="s">
        <v>74</v>
      </c>
      <c r="F757" t="s">
        <v>14767</v>
      </c>
      <c r="G757" t="s">
        <v>74</v>
      </c>
      <c r="H757" t="s">
        <v>74</v>
      </c>
      <c r="I757" t="s">
        <v>14768</v>
      </c>
      <c r="J757" t="s">
        <v>107</v>
      </c>
      <c r="K757" t="s">
        <v>74</v>
      </c>
      <c r="L757" t="s">
        <v>74</v>
      </c>
      <c r="M757" t="s">
        <v>78</v>
      </c>
      <c r="N757" t="s">
        <v>79</v>
      </c>
      <c r="O757" t="s">
        <v>74</v>
      </c>
      <c r="P757" t="s">
        <v>74</v>
      </c>
      <c r="Q757" t="s">
        <v>74</v>
      </c>
      <c r="R757" t="s">
        <v>74</v>
      </c>
      <c r="S757" t="s">
        <v>74</v>
      </c>
      <c r="T757" t="s">
        <v>14769</v>
      </c>
      <c r="U757" t="s">
        <v>14770</v>
      </c>
      <c r="V757" t="s">
        <v>14771</v>
      </c>
      <c r="W757" t="s">
        <v>14772</v>
      </c>
      <c r="X757" t="s">
        <v>14773</v>
      </c>
      <c r="Y757" t="s">
        <v>14774</v>
      </c>
      <c r="Z757" t="s">
        <v>14775</v>
      </c>
      <c r="AA757" t="s">
        <v>14776</v>
      </c>
      <c r="AB757" t="s">
        <v>14777</v>
      </c>
      <c r="AC757" t="s">
        <v>14778</v>
      </c>
      <c r="AD757" t="s">
        <v>14779</v>
      </c>
      <c r="AE757" t="s">
        <v>14780</v>
      </c>
      <c r="AF757" t="s">
        <v>74</v>
      </c>
      <c r="AG757">
        <v>82</v>
      </c>
      <c r="AH757">
        <v>7</v>
      </c>
      <c r="AI757">
        <v>7</v>
      </c>
      <c r="AJ757">
        <v>1</v>
      </c>
      <c r="AK757">
        <v>12</v>
      </c>
      <c r="AL757" t="s">
        <v>119</v>
      </c>
      <c r="AM757" t="s">
        <v>120</v>
      </c>
      <c r="AN757" t="s">
        <v>121</v>
      </c>
      <c r="AO757" t="s">
        <v>74</v>
      </c>
      <c r="AP757" t="s">
        <v>122</v>
      </c>
      <c r="AQ757" t="s">
        <v>74</v>
      </c>
      <c r="AR757" t="s">
        <v>123</v>
      </c>
      <c r="AS757" t="s">
        <v>124</v>
      </c>
      <c r="AT757" t="s">
        <v>14655</v>
      </c>
      <c r="AU757">
        <v>2021</v>
      </c>
      <c r="AV757">
        <v>8</v>
      </c>
      <c r="AW757" t="s">
        <v>74</v>
      </c>
      <c r="AX757" t="s">
        <v>74</v>
      </c>
      <c r="AY757" t="s">
        <v>74</v>
      </c>
      <c r="AZ757" t="s">
        <v>74</v>
      </c>
      <c r="BA757" t="s">
        <v>74</v>
      </c>
      <c r="BB757" t="s">
        <v>74</v>
      </c>
      <c r="BC757" t="s">
        <v>74</v>
      </c>
      <c r="BD757">
        <v>569992</v>
      </c>
      <c r="BE757" t="s">
        <v>14781</v>
      </c>
      <c r="BF757" t="str">
        <f>HYPERLINK("http://dx.doi.org/10.3389/fmars.2021.569992","http://dx.doi.org/10.3389/fmars.2021.569992")</f>
        <v>http://dx.doi.org/10.3389/fmars.2021.569992</v>
      </c>
      <c r="BG757" t="s">
        <v>74</v>
      </c>
      <c r="BH757" t="s">
        <v>74</v>
      </c>
      <c r="BI757">
        <v>16</v>
      </c>
      <c r="BJ757" t="s">
        <v>127</v>
      </c>
      <c r="BK757" t="s">
        <v>128</v>
      </c>
      <c r="BL757" t="s">
        <v>129</v>
      </c>
      <c r="BM757" t="s">
        <v>14782</v>
      </c>
      <c r="BN757" t="s">
        <v>74</v>
      </c>
      <c r="BO757" t="s">
        <v>1377</v>
      </c>
      <c r="BP757" t="s">
        <v>74</v>
      </c>
      <c r="BQ757" t="s">
        <v>74</v>
      </c>
      <c r="BR757" t="s">
        <v>102</v>
      </c>
      <c r="BS757" t="s">
        <v>14783</v>
      </c>
      <c r="BT757" t="str">
        <f>HYPERLINK("https%3A%2F%2Fwww.webofscience.com%2Fwos%2Fwoscc%2Ffull-record%2FWOS:000659178200001","View Full Record in Web of Science")</f>
        <v>View Full Record in Web of Science</v>
      </c>
    </row>
    <row r="758" spans="1:72" x14ac:dyDescent="0.15">
      <c r="A758" t="s">
        <v>72</v>
      </c>
      <c r="B758" t="s">
        <v>14784</v>
      </c>
      <c r="C758" t="s">
        <v>74</v>
      </c>
      <c r="D758" t="s">
        <v>74</v>
      </c>
      <c r="E758" t="s">
        <v>74</v>
      </c>
      <c r="F758" t="s">
        <v>14785</v>
      </c>
      <c r="G758" t="s">
        <v>74</v>
      </c>
      <c r="H758" t="s">
        <v>74</v>
      </c>
      <c r="I758" t="s">
        <v>14786</v>
      </c>
      <c r="J758" t="s">
        <v>107</v>
      </c>
      <c r="K758" t="s">
        <v>74</v>
      </c>
      <c r="L758" t="s">
        <v>74</v>
      </c>
      <c r="M758" t="s">
        <v>78</v>
      </c>
      <c r="N758" t="s">
        <v>79</v>
      </c>
      <c r="O758" t="s">
        <v>74</v>
      </c>
      <c r="P758" t="s">
        <v>74</v>
      </c>
      <c r="Q758" t="s">
        <v>74</v>
      </c>
      <c r="R758" t="s">
        <v>74</v>
      </c>
      <c r="S758" t="s">
        <v>74</v>
      </c>
      <c r="T758" t="s">
        <v>14787</v>
      </c>
      <c r="U758" t="s">
        <v>14788</v>
      </c>
      <c r="V758" t="s">
        <v>14789</v>
      </c>
      <c r="W758" t="s">
        <v>14790</v>
      </c>
      <c r="X758" t="s">
        <v>14791</v>
      </c>
      <c r="Y758" t="s">
        <v>14792</v>
      </c>
      <c r="Z758" t="s">
        <v>14793</v>
      </c>
      <c r="AA758" t="s">
        <v>14794</v>
      </c>
      <c r="AB758" t="s">
        <v>14795</v>
      </c>
      <c r="AC758" t="s">
        <v>14796</v>
      </c>
      <c r="AD758" t="s">
        <v>14797</v>
      </c>
      <c r="AE758" t="s">
        <v>14798</v>
      </c>
      <c r="AF758" t="s">
        <v>74</v>
      </c>
      <c r="AG758">
        <v>48</v>
      </c>
      <c r="AH758">
        <v>7</v>
      </c>
      <c r="AI758">
        <v>7</v>
      </c>
      <c r="AJ758">
        <v>0</v>
      </c>
      <c r="AK758">
        <v>8</v>
      </c>
      <c r="AL758" t="s">
        <v>119</v>
      </c>
      <c r="AM758" t="s">
        <v>120</v>
      </c>
      <c r="AN758" t="s">
        <v>121</v>
      </c>
      <c r="AO758" t="s">
        <v>74</v>
      </c>
      <c r="AP758" t="s">
        <v>122</v>
      </c>
      <c r="AQ758" t="s">
        <v>74</v>
      </c>
      <c r="AR758" t="s">
        <v>123</v>
      </c>
      <c r="AS758" t="s">
        <v>124</v>
      </c>
      <c r="AT758" t="s">
        <v>14655</v>
      </c>
      <c r="AU758">
        <v>2021</v>
      </c>
      <c r="AV758">
        <v>8</v>
      </c>
      <c r="AW758" t="s">
        <v>74</v>
      </c>
      <c r="AX758" t="s">
        <v>74</v>
      </c>
      <c r="AY758" t="s">
        <v>74</v>
      </c>
      <c r="AZ758" t="s">
        <v>74</v>
      </c>
      <c r="BA758" t="s">
        <v>74</v>
      </c>
      <c r="BB758" t="s">
        <v>74</v>
      </c>
      <c r="BC758" t="s">
        <v>74</v>
      </c>
      <c r="BD758">
        <v>664593</v>
      </c>
      <c r="BE758" t="s">
        <v>14799</v>
      </c>
      <c r="BF758" t="str">
        <f>HYPERLINK("http://dx.doi.org/10.3389/fmars.2021.664593","http://dx.doi.org/10.3389/fmars.2021.664593")</f>
        <v>http://dx.doi.org/10.3389/fmars.2021.664593</v>
      </c>
      <c r="BG758" t="s">
        <v>74</v>
      </c>
      <c r="BH758" t="s">
        <v>74</v>
      </c>
      <c r="BI758">
        <v>12</v>
      </c>
      <c r="BJ758" t="s">
        <v>127</v>
      </c>
      <c r="BK758" t="s">
        <v>128</v>
      </c>
      <c r="BL758" t="s">
        <v>129</v>
      </c>
      <c r="BM758" t="s">
        <v>14800</v>
      </c>
      <c r="BN758" t="s">
        <v>74</v>
      </c>
      <c r="BO758" t="s">
        <v>2630</v>
      </c>
      <c r="BP758" t="s">
        <v>74</v>
      </c>
      <c r="BQ758" t="s">
        <v>74</v>
      </c>
      <c r="BR758" t="s">
        <v>102</v>
      </c>
      <c r="BS758" t="s">
        <v>14801</v>
      </c>
      <c r="BT758" t="str">
        <f>HYPERLINK("https%3A%2F%2Fwww.webofscience.com%2Fwos%2Fwoscc%2Ffull-record%2FWOS:000659177800001","View Full Record in Web of Science")</f>
        <v>View Full Record in Web of Science</v>
      </c>
    </row>
    <row r="759" spans="1:72" x14ac:dyDescent="0.15">
      <c r="A759" t="s">
        <v>72</v>
      </c>
      <c r="B759" t="s">
        <v>14802</v>
      </c>
      <c r="C759" t="s">
        <v>74</v>
      </c>
      <c r="D759" t="s">
        <v>74</v>
      </c>
      <c r="E759" t="s">
        <v>74</v>
      </c>
      <c r="F759" t="s">
        <v>14803</v>
      </c>
      <c r="G759" t="s">
        <v>74</v>
      </c>
      <c r="H759" t="s">
        <v>74</v>
      </c>
      <c r="I759" t="s">
        <v>14804</v>
      </c>
      <c r="J759" t="s">
        <v>6035</v>
      </c>
      <c r="K759" t="s">
        <v>74</v>
      </c>
      <c r="L759" t="s">
        <v>74</v>
      </c>
      <c r="M759" t="s">
        <v>78</v>
      </c>
      <c r="N759" t="s">
        <v>79</v>
      </c>
      <c r="O759" t="s">
        <v>74</v>
      </c>
      <c r="P759" t="s">
        <v>74</v>
      </c>
      <c r="Q759" t="s">
        <v>74</v>
      </c>
      <c r="R759" t="s">
        <v>74</v>
      </c>
      <c r="S759" t="s">
        <v>74</v>
      </c>
      <c r="T759" t="s">
        <v>74</v>
      </c>
      <c r="U759" t="s">
        <v>14805</v>
      </c>
      <c r="V759" t="s">
        <v>14806</v>
      </c>
      <c r="W759" t="s">
        <v>14807</v>
      </c>
      <c r="X759" t="s">
        <v>14808</v>
      </c>
      <c r="Y759" t="s">
        <v>14809</v>
      </c>
      <c r="Z759" t="s">
        <v>14810</v>
      </c>
      <c r="AA759" t="s">
        <v>14811</v>
      </c>
      <c r="AB759" t="s">
        <v>14812</v>
      </c>
      <c r="AC759" t="s">
        <v>14813</v>
      </c>
      <c r="AD759" t="s">
        <v>3525</v>
      </c>
      <c r="AE759" t="s">
        <v>74</v>
      </c>
      <c r="AF759" t="s">
        <v>74</v>
      </c>
      <c r="AG759">
        <v>54</v>
      </c>
      <c r="AH759">
        <v>27</v>
      </c>
      <c r="AI759">
        <v>28</v>
      </c>
      <c r="AJ759">
        <v>9</v>
      </c>
      <c r="AK759">
        <v>51</v>
      </c>
      <c r="AL759" t="s">
        <v>7767</v>
      </c>
      <c r="AM759" t="s">
        <v>865</v>
      </c>
      <c r="AN759" t="s">
        <v>7768</v>
      </c>
      <c r="AO759" t="s">
        <v>9559</v>
      </c>
      <c r="AP759" t="s">
        <v>9560</v>
      </c>
      <c r="AQ759" t="s">
        <v>74</v>
      </c>
      <c r="AR759" t="s">
        <v>6035</v>
      </c>
      <c r="AS759" t="s">
        <v>9561</v>
      </c>
      <c r="AT759" t="s">
        <v>14655</v>
      </c>
      <c r="AU759">
        <v>2021</v>
      </c>
      <c r="AV759">
        <v>372</v>
      </c>
      <c r="AW759">
        <v>6545</v>
      </c>
      <c r="AX759" t="s">
        <v>74</v>
      </c>
      <c r="AY759" t="s">
        <v>74</v>
      </c>
      <c r="AZ759" t="s">
        <v>74</v>
      </c>
      <c r="BA759" t="s">
        <v>74</v>
      </c>
      <c r="BB759">
        <v>980</v>
      </c>
      <c r="BC759" t="s">
        <v>403</v>
      </c>
      <c r="BD759" t="s">
        <v>74</v>
      </c>
      <c r="BE759" t="s">
        <v>14814</v>
      </c>
      <c r="BF759" t="str">
        <f>HYPERLINK("http://dx.doi.org/10.1126/science.abf1772","http://dx.doi.org/10.1126/science.abf1772")</f>
        <v>http://dx.doi.org/10.1126/science.abf1772</v>
      </c>
      <c r="BG759" t="s">
        <v>74</v>
      </c>
      <c r="BH759" t="s">
        <v>74</v>
      </c>
      <c r="BI759">
        <v>30</v>
      </c>
      <c r="BJ759" t="s">
        <v>2609</v>
      </c>
      <c r="BK759" t="s">
        <v>128</v>
      </c>
      <c r="BL759" t="s">
        <v>2610</v>
      </c>
      <c r="BM759" t="s">
        <v>14815</v>
      </c>
      <c r="BN759">
        <v>34045354</v>
      </c>
      <c r="BO759" t="s">
        <v>2125</v>
      </c>
      <c r="BP759" t="s">
        <v>74</v>
      </c>
      <c r="BQ759" t="s">
        <v>74</v>
      </c>
      <c r="BR759" t="s">
        <v>102</v>
      </c>
      <c r="BS759" t="s">
        <v>14816</v>
      </c>
      <c r="BT759" t="str">
        <f>HYPERLINK("https%3A%2F%2Fwww.webofscience.com%2Fwos%2Fwoscc%2Ffull-record%2FWOS:000656432400050","View Full Record in Web of Science")</f>
        <v>View Full Record in Web of Science</v>
      </c>
    </row>
    <row r="760" spans="1:72" x14ac:dyDescent="0.15">
      <c r="A760" t="s">
        <v>72</v>
      </c>
      <c r="B760" t="s">
        <v>14817</v>
      </c>
      <c r="C760" t="s">
        <v>74</v>
      </c>
      <c r="D760" t="s">
        <v>74</v>
      </c>
      <c r="E760" t="s">
        <v>74</v>
      </c>
      <c r="F760" t="s">
        <v>14818</v>
      </c>
      <c r="G760" t="s">
        <v>74</v>
      </c>
      <c r="H760" t="s">
        <v>74</v>
      </c>
      <c r="I760" t="s">
        <v>14819</v>
      </c>
      <c r="J760" t="s">
        <v>10288</v>
      </c>
      <c r="K760" t="s">
        <v>74</v>
      </c>
      <c r="L760" t="s">
        <v>74</v>
      </c>
      <c r="M760" t="s">
        <v>78</v>
      </c>
      <c r="N760" t="s">
        <v>79</v>
      </c>
      <c r="O760" t="s">
        <v>74</v>
      </c>
      <c r="P760" t="s">
        <v>74</v>
      </c>
      <c r="Q760" t="s">
        <v>74</v>
      </c>
      <c r="R760" t="s">
        <v>74</v>
      </c>
      <c r="S760" t="s">
        <v>74</v>
      </c>
      <c r="T760" t="s">
        <v>14820</v>
      </c>
      <c r="U760" t="s">
        <v>14821</v>
      </c>
      <c r="V760" t="s">
        <v>14822</v>
      </c>
      <c r="W760" t="s">
        <v>14823</v>
      </c>
      <c r="X760" t="s">
        <v>14824</v>
      </c>
      <c r="Y760" t="s">
        <v>14825</v>
      </c>
      <c r="Z760" t="s">
        <v>14826</v>
      </c>
      <c r="AA760" t="s">
        <v>14827</v>
      </c>
      <c r="AB760" t="s">
        <v>14828</v>
      </c>
      <c r="AC760" t="s">
        <v>14829</v>
      </c>
      <c r="AD760" t="s">
        <v>14830</v>
      </c>
      <c r="AE760" t="s">
        <v>14831</v>
      </c>
      <c r="AF760" t="s">
        <v>74</v>
      </c>
      <c r="AG760">
        <v>59</v>
      </c>
      <c r="AH760">
        <v>16</v>
      </c>
      <c r="AI760">
        <v>17</v>
      </c>
      <c r="AJ760">
        <v>0</v>
      </c>
      <c r="AK760">
        <v>9</v>
      </c>
      <c r="AL760" t="s">
        <v>89</v>
      </c>
      <c r="AM760" t="s">
        <v>90</v>
      </c>
      <c r="AN760" t="s">
        <v>91</v>
      </c>
      <c r="AO760" t="s">
        <v>10299</v>
      </c>
      <c r="AP760" t="s">
        <v>10300</v>
      </c>
      <c r="AQ760" t="s">
        <v>74</v>
      </c>
      <c r="AR760" t="s">
        <v>10301</v>
      </c>
      <c r="AS760" t="s">
        <v>10302</v>
      </c>
      <c r="AT760" t="s">
        <v>333</v>
      </c>
      <c r="AU760">
        <v>2021</v>
      </c>
      <c r="AV760">
        <v>567</v>
      </c>
      <c r="AW760" t="s">
        <v>74</v>
      </c>
      <c r="AX760" t="s">
        <v>74</v>
      </c>
      <c r="AY760" t="s">
        <v>74</v>
      </c>
      <c r="AZ760" t="s">
        <v>74</v>
      </c>
      <c r="BA760" t="s">
        <v>74</v>
      </c>
      <c r="BB760" t="s">
        <v>74</v>
      </c>
      <c r="BC760" t="s">
        <v>74</v>
      </c>
      <c r="BD760">
        <v>117009</v>
      </c>
      <c r="BE760" t="s">
        <v>14832</v>
      </c>
      <c r="BF760" t="str">
        <f>HYPERLINK("http://dx.doi.org/10.1016/j.epsl.2021.117009","http://dx.doi.org/10.1016/j.epsl.2021.117009")</f>
        <v>http://dx.doi.org/10.1016/j.epsl.2021.117009</v>
      </c>
      <c r="BG760" t="s">
        <v>74</v>
      </c>
      <c r="BH760" t="s">
        <v>14415</v>
      </c>
      <c r="BI760">
        <v>14</v>
      </c>
      <c r="BJ760" t="s">
        <v>289</v>
      </c>
      <c r="BK760" t="s">
        <v>128</v>
      </c>
      <c r="BL760" t="s">
        <v>289</v>
      </c>
      <c r="BM760" t="s">
        <v>14833</v>
      </c>
      <c r="BN760" t="s">
        <v>74</v>
      </c>
      <c r="BO760" t="s">
        <v>291</v>
      </c>
      <c r="BP760" t="s">
        <v>74</v>
      </c>
      <c r="BQ760" t="s">
        <v>74</v>
      </c>
      <c r="BR760" t="s">
        <v>102</v>
      </c>
      <c r="BS760" t="s">
        <v>14834</v>
      </c>
      <c r="BT760" t="str">
        <f>HYPERLINK("https%3A%2F%2Fwww.webofscience.com%2Fwos%2Fwoscc%2Ffull-record%2FWOS:000659467000014","View Full Record in Web of Science")</f>
        <v>View Full Record in Web of Science</v>
      </c>
    </row>
    <row r="761" spans="1:72" x14ac:dyDescent="0.15">
      <c r="A761" t="s">
        <v>72</v>
      </c>
      <c r="B761" t="s">
        <v>14835</v>
      </c>
      <c r="C761" t="s">
        <v>74</v>
      </c>
      <c r="D761" t="s">
        <v>74</v>
      </c>
      <c r="E761" t="s">
        <v>74</v>
      </c>
      <c r="F761" t="s">
        <v>14836</v>
      </c>
      <c r="G761" t="s">
        <v>74</v>
      </c>
      <c r="H761" t="s">
        <v>74</v>
      </c>
      <c r="I761" t="s">
        <v>14837</v>
      </c>
      <c r="J761" t="s">
        <v>1729</v>
      </c>
      <c r="K761" t="s">
        <v>74</v>
      </c>
      <c r="L761" t="s">
        <v>74</v>
      </c>
      <c r="M761" t="s">
        <v>78</v>
      </c>
      <c r="N761" t="s">
        <v>79</v>
      </c>
      <c r="O761" t="s">
        <v>74</v>
      </c>
      <c r="P761" t="s">
        <v>74</v>
      </c>
      <c r="Q761" t="s">
        <v>74</v>
      </c>
      <c r="R761" t="s">
        <v>74</v>
      </c>
      <c r="S761" t="s">
        <v>74</v>
      </c>
      <c r="T761" t="s">
        <v>14838</v>
      </c>
      <c r="U761" t="s">
        <v>14839</v>
      </c>
      <c r="V761" t="s">
        <v>14840</v>
      </c>
      <c r="W761" t="s">
        <v>14841</v>
      </c>
      <c r="X761" t="s">
        <v>14842</v>
      </c>
      <c r="Y761" t="s">
        <v>14843</v>
      </c>
      <c r="Z761" t="s">
        <v>14844</v>
      </c>
      <c r="AA761" t="s">
        <v>14845</v>
      </c>
      <c r="AB761" t="s">
        <v>14846</v>
      </c>
      <c r="AC761" t="s">
        <v>14847</v>
      </c>
      <c r="AD761" t="s">
        <v>14848</v>
      </c>
      <c r="AE761" t="s">
        <v>14849</v>
      </c>
      <c r="AF761" t="s">
        <v>74</v>
      </c>
      <c r="AG761">
        <v>123</v>
      </c>
      <c r="AH761">
        <v>11</v>
      </c>
      <c r="AI761">
        <v>11</v>
      </c>
      <c r="AJ761">
        <v>0</v>
      </c>
      <c r="AK761">
        <v>7</v>
      </c>
      <c r="AL761" t="s">
        <v>864</v>
      </c>
      <c r="AM761" t="s">
        <v>865</v>
      </c>
      <c r="AN761" t="s">
        <v>866</v>
      </c>
      <c r="AO761" t="s">
        <v>1739</v>
      </c>
      <c r="AP761" t="s">
        <v>1740</v>
      </c>
      <c r="AQ761" t="s">
        <v>74</v>
      </c>
      <c r="AR761" t="s">
        <v>1741</v>
      </c>
      <c r="AS761" t="s">
        <v>1742</v>
      </c>
      <c r="AT761" t="s">
        <v>14850</v>
      </c>
      <c r="AU761">
        <v>2021</v>
      </c>
      <c r="AV761">
        <v>126</v>
      </c>
      <c r="AW761">
        <v>10</v>
      </c>
      <c r="AX761" t="s">
        <v>74</v>
      </c>
      <c r="AY761" t="s">
        <v>74</v>
      </c>
      <c r="AZ761" t="s">
        <v>74</v>
      </c>
      <c r="BA761" t="s">
        <v>74</v>
      </c>
      <c r="BB761" t="s">
        <v>74</v>
      </c>
      <c r="BC761" t="s">
        <v>74</v>
      </c>
      <c r="BD761" t="s">
        <v>14851</v>
      </c>
      <c r="BE761" t="s">
        <v>14852</v>
      </c>
      <c r="BF761" t="str">
        <f>HYPERLINK("http://dx.doi.org/10.1029/2021JD034528","http://dx.doi.org/10.1029/2021JD034528")</f>
        <v>http://dx.doi.org/10.1029/2021JD034528</v>
      </c>
      <c r="BG761" t="s">
        <v>74</v>
      </c>
      <c r="BH761" t="s">
        <v>74</v>
      </c>
      <c r="BI761">
        <v>22</v>
      </c>
      <c r="BJ761" t="s">
        <v>567</v>
      </c>
      <c r="BK761" t="s">
        <v>128</v>
      </c>
      <c r="BL761" t="s">
        <v>567</v>
      </c>
      <c r="BM761" t="s">
        <v>14853</v>
      </c>
      <c r="BN761" t="s">
        <v>74</v>
      </c>
      <c r="BO761" t="s">
        <v>2125</v>
      </c>
      <c r="BP761" t="s">
        <v>74</v>
      </c>
      <c r="BQ761" t="s">
        <v>74</v>
      </c>
      <c r="BR761" t="s">
        <v>102</v>
      </c>
      <c r="BS761" t="s">
        <v>14854</v>
      </c>
      <c r="BT761" t="str">
        <f>HYPERLINK("https%3A%2F%2Fwww.webofscience.com%2Fwos%2Fwoscc%2Ffull-record%2FWOS:000656960400013","View Full Record in Web of Science")</f>
        <v>View Full Record in Web of Science</v>
      </c>
    </row>
    <row r="762" spans="1:72" x14ac:dyDescent="0.15">
      <c r="A762" t="s">
        <v>72</v>
      </c>
      <c r="B762" t="s">
        <v>14855</v>
      </c>
      <c r="C762" t="s">
        <v>74</v>
      </c>
      <c r="D762" t="s">
        <v>74</v>
      </c>
      <c r="E762" t="s">
        <v>74</v>
      </c>
      <c r="F762" t="s">
        <v>14856</v>
      </c>
      <c r="G762" t="s">
        <v>74</v>
      </c>
      <c r="H762" t="s">
        <v>74</v>
      </c>
      <c r="I762" t="s">
        <v>14857</v>
      </c>
      <c r="J762" t="s">
        <v>1729</v>
      </c>
      <c r="K762" t="s">
        <v>74</v>
      </c>
      <c r="L762" t="s">
        <v>74</v>
      </c>
      <c r="M762" t="s">
        <v>78</v>
      </c>
      <c r="N762" t="s">
        <v>79</v>
      </c>
      <c r="O762" t="s">
        <v>74</v>
      </c>
      <c r="P762" t="s">
        <v>74</v>
      </c>
      <c r="Q762" t="s">
        <v>74</v>
      </c>
      <c r="R762" t="s">
        <v>74</v>
      </c>
      <c r="S762" t="s">
        <v>74</v>
      </c>
      <c r="T762" t="s">
        <v>14858</v>
      </c>
      <c r="U762" t="s">
        <v>14859</v>
      </c>
      <c r="V762" t="s">
        <v>14860</v>
      </c>
      <c r="W762" t="s">
        <v>14861</v>
      </c>
      <c r="X762" t="s">
        <v>14862</v>
      </c>
      <c r="Y762" t="s">
        <v>14863</v>
      </c>
      <c r="Z762" t="s">
        <v>14864</v>
      </c>
      <c r="AA762" t="s">
        <v>74</v>
      </c>
      <c r="AB762" t="s">
        <v>14865</v>
      </c>
      <c r="AC762" t="s">
        <v>14866</v>
      </c>
      <c r="AD762" t="s">
        <v>14867</v>
      </c>
      <c r="AE762" t="s">
        <v>14868</v>
      </c>
      <c r="AF762" t="s">
        <v>74</v>
      </c>
      <c r="AG762">
        <v>43</v>
      </c>
      <c r="AH762">
        <v>4</v>
      </c>
      <c r="AI762">
        <v>5</v>
      </c>
      <c r="AJ762">
        <v>5</v>
      </c>
      <c r="AK762">
        <v>11</v>
      </c>
      <c r="AL762" t="s">
        <v>864</v>
      </c>
      <c r="AM762" t="s">
        <v>865</v>
      </c>
      <c r="AN762" t="s">
        <v>866</v>
      </c>
      <c r="AO762" t="s">
        <v>1739</v>
      </c>
      <c r="AP762" t="s">
        <v>1740</v>
      </c>
      <c r="AQ762" t="s">
        <v>74</v>
      </c>
      <c r="AR762" t="s">
        <v>1741</v>
      </c>
      <c r="AS762" t="s">
        <v>1742</v>
      </c>
      <c r="AT762" t="s">
        <v>14850</v>
      </c>
      <c r="AU762">
        <v>2021</v>
      </c>
      <c r="AV762">
        <v>126</v>
      </c>
      <c r="AW762">
        <v>10</v>
      </c>
      <c r="AX762" t="s">
        <v>74</v>
      </c>
      <c r="AY762" t="s">
        <v>74</v>
      </c>
      <c r="AZ762" t="s">
        <v>74</v>
      </c>
      <c r="BA762" t="s">
        <v>74</v>
      </c>
      <c r="BB762" t="s">
        <v>74</v>
      </c>
      <c r="BC762" t="s">
        <v>74</v>
      </c>
      <c r="BD762" t="s">
        <v>14869</v>
      </c>
      <c r="BE762" t="s">
        <v>14870</v>
      </c>
      <c r="BF762" t="str">
        <f>HYPERLINK("http://dx.doi.org/10.1029/2020JD033840","http://dx.doi.org/10.1029/2020JD033840")</f>
        <v>http://dx.doi.org/10.1029/2020JD033840</v>
      </c>
      <c r="BG762" t="s">
        <v>74</v>
      </c>
      <c r="BH762" t="s">
        <v>74</v>
      </c>
      <c r="BI762">
        <v>14</v>
      </c>
      <c r="BJ762" t="s">
        <v>567</v>
      </c>
      <c r="BK762" t="s">
        <v>128</v>
      </c>
      <c r="BL762" t="s">
        <v>567</v>
      </c>
      <c r="BM762" t="s">
        <v>14871</v>
      </c>
      <c r="BN762" t="s">
        <v>74</v>
      </c>
      <c r="BO762" t="s">
        <v>74</v>
      </c>
      <c r="BP762" t="s">
        <v>74</v>
      </c>
      <c r="BQ762" t="s">
        <v>74</v>
      </c>
      <c r="BR762" t="s">
        <v>102</v>
      </c>
      <c r="BS762" t="s">
        <v>14872</v>
      </c>
      <c r="BT762" t="str">
        <f>HYPERLINK("https%3A%2F%2Fwww.webofscience.com%2Fwos%2Fwoscc%2Ffull-record%2FWOS:000656960900012","View Full Record in Web of Science")</f>
        <v>View Full Record in Web of Science</v>
      </c>
    </row>
    <row r="763" spans="1:72" x14ac:dyDescent="0.15">
      <c r="A763" t="s">
        <v>72</v>
      </c>
      <c r="B763" t="s">
        <v>14873</v>
      </c>
      <c r="C763" t="s">
        <v>74</v>
      </c>
      <c r="D763" t="s">
        <v>74</v>
      </c>
      <c r="E763" t="s">
        <v>74</v>
      </c>
      <c r="F763" t="s">
        <v>14874</v>
      </c>
      <c r="G763" t="s">
        <v>74</v>
      </c>
      <c r="H763" t="s">
        <v>74</v>
      </c>
      <c r="I763" t="s">
        <v>14875</v>
      </c>
      <c r="J763" t="s">
        <v>383</v>
      </c>
      <c r="K763" t="s">
        <v>74</v>
      </c>
      <c r="L763" t="s">
        <v>74</v>
      </c>
      <c r="M763" t="s">
        <v>78</v>
      </c>
      <c r="N763" t="s">
        <v>14876</v>
      </c>
      <c r="O763" t="s">
        <v>74</v>
      </c>
      <c r="P763" t="s">
        <v>74</v>
      </c>
      <c r="Q763" t="s">
        <v>74</v>
      </c>
      <c r="R763" t="s">
        <v>74</v>
      </c>
      <c r="S763" t="s">
        <v>74</v>
      </c>
      <c r="T763" t="s">
        <v>74</v>
      </c>
      <c r="U763" t="s">
        <v>74</v>
      </c>
      <c r="V763" t="s">
        <v>74</v>
      </c>
      <c r="W763" t="s">
        <v>14877</v>
      </c>
      <c r="X763" t="s">
        <v>7116</v>
      </c>
      <c r="Y763" t="s">
        <v>14878</v>
      </c>
      <c r="Z763" t="s">
        <v>14879</v>
      </c>
      <c r="AA763" t="s">
        <v>74</v>
      </c>
      <c r="AB763" t="s">
        <v>74</v>
      </c>
      <c r="AC763" t="s">
        <v>14880</v>
      </c>
      <c r="AD763" t="s">
        <v>3525</v>
      </c>
      <c r="AE763" t="s">
        <v>74</v>
      </c>
      <c r="AF763" t="s">
        <v>74</v>
      </c>
      <c r="AG763">
        <v>10</v>
      </c>
      <c r="AH763">
        <v>0</v>
      </c>
      <c r="AI763">
        <v>0</v>
      </c>
      <c r="AJ763">
        <v>0</v>
      </c>
      <c r="AK763">
        <v>5</v>
      </c>
      <c r="AL763" t="s">
        <v>395</v>
      </c>
      <c r="AM763" t="s">
        <v>396</v>
      </c>
      <c r="AN763" t="s">
        <v>397</v>
      </c>
      <c r="AO763" t="s">
        <v>398</v>
      </c>
      <c r="AP763" t="s">
        <v>399</v>
      </c>
      <c r="AQ763" t="s">
        <v>74</v>
      </c>
      <c r="AR763" t="s">
        <v>400</v>
      </c>
      <c r="AS763" t="s">
        <v>401</v>
      </c>
      <c r="AT763" t="s">
        <v>4571</v>
      </c>
      <c r="AU763">
        <v>2021</v>
      </c>
      <c r="AV763">
        <v>14</v>
      </c>
      <c r="AW763">
        <v>6</v>
      </c>
      <c r="AX763" t="s">
        <v>74</v>
      </c>
      <c r="AY763" t="s">
        <v>74</v>
      </c>
      <c r="AZ763" t="s">
        <v>74</v>
      </c>
      <c r="BA763" t="s">
        <v>74</v>
      </c>
      <c r="BB763">
        <v>357</v>
      </c>
      <c r="BC763">
        <v>358</v>
      </c>
      <c r="BD763" t="s">
        <v>74</v>
      </c>
      <c r="BE763" t="s">
        <v>14881</v>
      </c>
      <c r="BF763" t="str">
        <f>HYPERLINK("http://dx.doi.org/10.1038/s41561-021-00752-x","http://dx.doi.org/10.1038/s41561-021-00752-x")</f>
        <v>http://dx.doi.org/10.1038/s41561-021-00752-x</v>
      </c>
      <c r="BG763" t="s">
        <v>74</v>
      </c>
      <c r="BH763" t="s">
        <v>14415</v>
      </c>
      <c r="BI763">
        <v>2</v>
      </c>
      <c r="BJ763" t="s">
        <v>405</v>
      </c>
      <c r="BK763" t="s">
        <v>128</v>
      </c>
      <c r="BL763" t="s">
        <v>406</v>
      </c>
      <c r="BM763" t="s">
        <v>14882</v>
      </c>
      <c r="BN763" t="s">
        <v>74</v>
      </c>
      <c r="BO763" t="s">
        <v>74</v>
      </c>
      <c r="BP763" t="s">
        <v>74</v>
      </c>
      <c r="BQ763" t="s">
        <v>74</v>
      </c>
      <c r="BR763" t="s">
        <v>102</v>
      </c>
      <c r="BS763" t="s">
        <v>14883</v>
      </c>
      <c r="BT763" t="str">
        <f>HYPERLINK("https%3A%2F%2Fwww.webofscience.com%2Fwos%2Fwoscc%2Ffull-record%2FWOS:000655717900001","View Full Record in Web of Science")</f>
        <v>View Full Record in Web of Science</v>
      </c>
    </row>
    <row r="764" spans="1:72" x14ac:dyDescent="0.15">
      <c r="A764" t="s">
        <v>72</v>
      </c>
      <c r="B764" t="s">
        <v>14884</v>
      </c>
      <c r="C764" t="s">
        <v>74</v>
      </c>
      <c r="D764" t="s">
        <v>74</v>
      </c>
      <c r="E764" t="s">
        <v>74</v>
      </c>
      <c r="F764" t="s">
        <v>14885</v>
      </c>
      <c r="G764" t="s">
        <v>74</v>
      </c>
      <c r="H764" t="s">
        <v>74</v>
      </c>
      <c r="I764" t="s">
        <v>14886</v>
      </c>
      <c r="J764" t="s">
        <v>438</v>
      </c>
      <c r="K764" t="s">
        <v>74</v>
      </c>
      <c r="L764" t="s">
        <v>74</v>
      </c>
      <c r="M764" t="s">
        <v>78</v>
      </c>
      <c r="N764" t="s">
        <v>79</v>
      </c>
      <c r="O764" t="s">
        <v>74</v>
      </c>
      <c r="P764" t="s">
        <v>74</v>
      </c>
      <c r="Q764" t="s">
        <v>74</v>
      </c>
      <c r="R764" t="s">
        <v>74</v>
      </c>
      <c r="S764" t="s">
        <v>74</v>
      </c>
      <c r="T764" t="s">
        <v>14887</v>
      </c>
      <c r="U764" t="s">
        <v>14888</v>
      </c>
      <c r="V764" t="s">
        <v>14889</v>
      </c>
      <c r="W764" t="s">
        <v>14890</v>
      </c>
      <c r="X764" t="s">
        <v>14891</v>
      </c>
      <c r="Y764" t="s">
        <v>14892</v>
      </c>
      <c r="Z764" t="s">
        <v>14893</v>
      </c>
      <c r="AA764" t="s">
        <v>14894</v>
      </c>
      <c r="AB764" t="s">
        <v>14895</v>
      </c>
      <c r="AC764" t="s">
        <v>14896</v>
      </c>
      <c r="AD764" t="s">
        <v>14896</v>
      </c>
      <c r="AE764" t="s">
        <v>14897</v>
      </c>
      <c r="AF764" t="s">
        <v>74</v>
      </c>
      <c r="AG764">
        <v>61</v>
      </c>
      <c r="AH764">
        <v>18</v>
      </c>
      <c r="AI764">
        <v>18</v>
      </c>
      <c r="AJ764">
        <v>5</v>
      </c>
      <c r="AK764">
        <v>16</v>
      </c>
      <c r="AL764" t="s">
        <v>450</v>
      </c>
      <c r="AM764" t="s">
        <v>451</v>
      </c>
      <c r="AN764" t="s">
        <v>452</v>
      </c>
      <c r="AO764" t="s">
        <v>453</v>
      </c>
      <c r="AP764" t="s">
        <v>454</v>
      </c>
      <c r="AQ764" t="s">
        <v>74</v>
      </c>
      <c r="AR764" t="s">
        <v>455</v>
      </c>
      <c r="AS764" t="s">
        <v>456</v>
      </c>
      <c r="AT764" t="s">
        <v>457</v>
      </c>
      <c r="AU764">
        <v>2022</v>
      </c>
      <c r="AV764">
        <v>32</v>
      </c>
      <c r="AW764">
        <v>1</v>
      </c>
      <c r="AX764" t="s">
        <v>74</v>
      </c>
      <c r="AY764" t="s">
        <v>74</v>
      </c>
      <c r="AZ764" t="s">
        <v>431</v>
      </c>
      <c r="BA764" t="s">
        <v>74</v>
      </c>
      <c r="BB764">
        <v>297</v>
      </c>
      <c r="BC764">
        <v>311</v>
      </c>
      <c r="BD764" t="s">
        <v>74</v>
      </c>
      <c r="BE764" t="s">
        <v>14898</v>
      </c>
      <c r="BF764" t="str">
        <f>HYPERLINK("http://dx.doi.org/10.1007/s11160-021-09661-z","http://dx.doi.org/10.1007/s11160-021-09661-z")</f>
        <v>http://dx.doi.org/10.1007/s11160-021-09661-z</v>
      </c>
      <c r="BG764" t="s">
        <v>74</v>
      </c>
      <c r="BH764" t="s">
        <v>14415</v>
      </c>
      <c r="BI764">
        <v>15</v>
      </c>
      <c r="BJ764" t="s">
        <v>459</v>
      </c>
      <c r="BK764" t="s">
        <v>100</v>
      </c>
      <c r="BL764" t="s">
        <v>459</v>
      </c>
      <c r="BM764" t="s">
        <v>460</v>
      </c>
      <c r="BN764" t="s">
        <v>74</v>
      </c>
      <c r="BO764" t="s">
        <v>74</v>
      </c>
      <c r="BP764" t="s">
        <v>74</v>
      </c>
      <c r="BQ764" t="s">
        <v>74</v>
      </c>
      <c r="BR764" t="s">
        <v>102</v>
      </c>
      <c r="BS764" t="s">
        <v>14899</v>
      </c>
      <c r="BT764" t="str">
        <f>HYPERLINK("https%3A%2F%2Fwww.webofscience.com%2Fwos%2Fwoscc%2Ffull-record%2FWOS:000655547400001","View Full Record in Web of Science")</f>
        <v>View Full Record in Web of Science</v>
      </c>
    </row>
    <row r="765" spans="1:72" x14ac:dyDescent="0.15">
      <c r="A765" t="s">
        <v>72</v>
      </c>
      <c r="B765" t="s">
        <v>14900</v>
      </c>
      <c r="C765" t="s">
        <v>74</v>
      </c>
      <c r="D765" t="s">
        <v>74</v>
      </c>
      <c r="E765" t="s">
        <v>74</v>
      </c>
      <c r="F765" t="s">
        <v>14901</v>
      </c>
      <c r="G765" t="s">
        <v>74</v>
      </c>
      <c r="H765" t="s">
        <v>74</v>
      </c>
      <c r="I765" t="s">
        <v>14902</v>
      </c>
      <c r="J765" t="s">
        <v>14903</v>
      </c>
      <c r="K765" t="s">
        <v>74</v>
      </c>
      <c r="L765" t="s">
        <v>74</v>
      </c>
      <c r="M765" t="s">
        <v>78</v>
      </c>
      <c r="N765" t="s">
        <v>79</v>
      </c>
      <c r="O765" t="s">
        <v>74</v>
      </c>
      <c r="P765" t="s">
        <v>74</v>
      </c>
      <c r="Q765" t="s">
        <v>74</v>
      </c>
      <c r="R765" t="s">
        <v>74</v>
      </c>
      <c r="S765" t="s">
        <v>74</v>
      </c>
      <c r="T765" t="s">
        <v>14904</v>
      </c>
      <c r="U765" t="s">
        <v>14905</v>
      </c>
      <c r="V765" t="s">
        <v>14906</v>
      </c>
      <c r="W765" t="s">
        <v>14907</v>
      </c>
      <c r="X765" t="s">
        <v>14908</v>
      </c>
      <c r="Y765" t="s">
        <v>14909</v>
      </c>
      <c r="Z765" t="s">
        <v>14910</v>
      </c>
      <c r="AA765" t="s">
        <v>14911</v>
      </c>
      <c r="AB765" t="s">
        <v>74</v>
      </c>
      <c r="AC765" t="s">
        <v>14912</v>
      </c>
      <c r="AD765" t="s">
        <v>14913</v>
      </c>
      <c r="AE765" t="s">
        <v>14914</v>
      </c>
      <c r="AF765" t="s">
        <v>74</v>
      </c>
      <c r="AG765">
        <v>28</v>
      </c>
      <c r="AH765">
        <v>2</v>
      </c>
      <c r="AI765">
        <v>2</v>
      </c>
      <c r="AJ765">
        <v>2</v>
      </c>
      <c r="AK765">
        <v>16</v>
      </c>
      <c r="AL765" t="s">
        <v>14915</v>
      </c>
      <c r="AM765" t="s">
        <v>14916</v>
      </c>
      <c r="AN765" t="s">
        <v>14917</v>
      </c>
      <c r="AO765" t="s">
        <v>14918</v>
      </c>
      <c r="AP765" t="s">
        <v>14919</v>
      </c>
      <c r="AQ765" t="s">
        <v>74</v>
      </c>
      <c r="AR765" t="s">
        <v>14920</v>
      </c>
      <c r="AS765" t="s">
        <v>14921</v>
      </c>
      <c r="AT765" t="s">
        <v>204</v>
      </c>
      <c r="AU765">
        <v>2021</v>
      </c>
      <c r="AV765">
        <v>196</v>
      </c>
      <c r="AW765">
        <v>2</v>
      </c>
      <c r="AX765" t="s">
        <v>74</v>
      </c>
      <c r="AY765" t="s">
        <v>74</v>
      </c>
      <c r="AZ765" t="s">
        <v>74</v>
      </c>
      <c r="BA765" t="s">
        <v>74</v>
      </c>
      <c r="BB765">
        <v>269</v>
      </c>
      <c r="BC765">
        <v>279</v>
      </c>
      <c r="BD765" t="s">
        <v>74</v>
      </c>
      <c r="BE765" t="s">
        <v>14922</v>
      </c>
      <c r="BF765" t="str">
        <f>HYPERLINK("http://dx.doi.org/10.1007/s00605-021-01576-y","http://dx.doi.org/10.1007/s00605-021-01576-y")</f>
        <v>http://dx.doi.org/10.1007/s00605-021-01576-y</v>
      </c>
      <c r="BG765" t="s">
        <v>74</v>
      </c>
      <c r="BH765" t="s">
        <v>14415</v>
      </c>
      <c r="BI765">
        <v>11</v>
      </c>
      <c r="BJ765" t="s">
        <v>12512</v>
      </c>
      <c r="BK765" t="s">
        <v>128</v>
      </c>
      <c r="BL765" t="s">
        <v>12512</v>
      </c>
      <c r="BM765" t="s">
        <v>14923</v>
      </c>
      <c r="BN765" t="s">
        <v>74</v>
      </c>
      <c r="BO765" t="s">
        <v>74</v>
      </c>
      <c r="BP765" t="s">
        <v>74</v>
      </c>
      <c r="BQ765" t="s">
        <v>74</v>
      </c>
      <c r="BR765" t="s">
        <v>102</v>
      </c>
      <c r="BS765" t="s">
        <v>14924</v>
      </c>
      <c r="BT765" t="str">
        <f>HYPERLINK("https%3A%2F%2Fwww.webofscience.com%2Fwos%2Fwoscc%2Ffull-record%2FWOS:000655421000002","View Full Record in Web of Science")</f>
        <v>View Full Record in Web of Science</v>
      </c>
    </row>
    <row r="766" spans="1:72" x14ac:dyDescent="0.15">
      <c r="A766" t="s">
        <v>72</v>
      </c>
      <c r="B766" t="s">
        <v>14925</v>
      </c>
      <c r="C766" t="s">
        <v>74</v>
      </c>
      <c r="D766" t="s">
        <v>74</v>
      </c>
      <c r="E766" t="s">
        <v>74</v>
      </c>
      <c r="F766" t="s">
        <v>14926</v>
      </c>
      <c r="G766" t="s">
        <v>74</v>
      </c>
      <c r="H766" t="s">
        <v>74</v>
      </c>
      <c r="I766" t="s">
        <v>14927</v>
      </c>
      <c r="J766" t="s">
        <v>14928</v>
      </c>
      <c r="K766" t="s">
        <v>74</v>
      </c>
      <c r="L766" t="s">
        <v>74</v>
      </c>
      <c r="M766" t="s">
        <v>78</v>
      </c>
      <c r="N766" t="s">
        <v>79</v>
      </c>
      <c r="O766" t="s">
        <v>74</v>
      </c>
      <c r="P766" t="s">
        <v>74</v>
      </c>
      <c r="Q766" t="s">
        <v>74</v>
      </c>
      <c r="R766" t="s">
        <v>74</v>
      </c>
      <c r="S766" t="s">
        <v>74</v>
      </c>
      <c r="T766" t="s">
        <v>74</v>
      </c>
      <c r="U766" t="s">
        <v>14929</v>
      </c>
      <c r="V766" t="s">
        <v>14930</v>
      </c>
      <c r="W766" t="s">
        <v>14931</v>
      </c>
      <c r="X766" t="s">
        <v>14932</v>
      </c>
      <c r="Y766" t="s">
        <v>14933</v>
      </c>
      <c r="Z766" t="s">
        <v>14934</v>
      </c>
      <c r="AA766" t="s">
        <v>14935</v>
      </c>
      <c r="AB766" t="s">
        <v>14936</v>
      </c>
      <c r="AC766" t="s">
        <v>14937</v>
      </c>
      <c r="AD766" t="s">
        <v>14938</v>
      </c>
      <c r="AE766" t="s">
        <v>14939</v>
      </c>
      <c r="AF766" t="s">
        <v>74</v>
      </c>
      <c r="AG766">
        <v>89</v>
      </c>
      <c r="AH766">
        <v>17</v>
      </c>
      <c r="AI766">
        <v>18</v>
      </c>
      <c r="AJ766">
        <v>0</v>
      </c>
      <c r="AK766">
        <v>0</v>
      </c>
      <c r="AL766" t="s">
        <v>143</v>
      </c>
      <c r="AM766" t="s">
        <v>144</v>
      </c>
      <c r="AN766" t="s">
        <v>145</v>
      </c>
      <c r="AO766" t="s">
        <v>74</v>
      </c>
      <c r="AP766" t="s">
        <v>14940</v>
      </c>
      <c r="AQ766" t="s">
        <v>74</v>
      </c>
      <c r="AR766" t="s">
        <v>14941</v>
      </c>
      <c r="AS766" t="s">
        <v>14941</v>
      </c>
      <c r="AT766" t="s">
        <v>14850</v>
      </c>
      <c r="AU766">
        <v>2021</v>
      </c>
      <c r="AV766">
        <v>2</v>
      </c>
      <c r="AW766">
        <v>2</v>
      </c>
      <c r="AX766" t="s">
        <v>74</v>
      </c>
      <c r="AY766" t="s">
        <v>74</v>
      </c>
      <c r="AZ766" t="s">
        <v>74</v>
      </c>
      <c r="BA766" t="s">
        <v>74</v>
      </c>
      <c r="BB766">
        <v>453</v>
      </c>
      <c r="BC766">
        <v>474</v>
      </c>
      <c r="BD766" t="s">
        <v>74</v>
      </c>
      <c r="BE766" t="s">
        <v>14942</v>
      </c>
      <c r="BF766" t="str">
        <f>HYPERLINK("http://dx.doi.org/10.5194/wcd-2-453-2021","http://dx.doi.org/10.5194/wcd-2-453-2021")</f>
        <v>http://dx.doi.org/10.5194/wcd-2-453-2021</v>
      </c>
      <c r="BG766" t="s">
        <v>74</v>
      </c>
      <c r="BH766" t="s">
        <v>74</v>
      </c>
      <c r="BI766">
        <v>22</v>
      </c>
      <c r="BJ766" t="s">
        <v>567</v>
      </c>
      <c r="BK766" t="s">
        <v>1819</v>
      </c>
      <c r="BL766" t="s">
        <v>567</v>
      </c>
      <c r="BM766" t="s">
        <v>14943</v>
      </c>
      <c r="BN766" t="s">
        <v>74</v>
      </c>
      <c r="BO766" t="s">
        <v>1605</v>
      </c>
      <c r="BP766" t="s">
        <v>74</v>
      </c>
      <c r="BQ766" t="s">
        <v>74</v>
      </c>
      <c r="BR766" t="s">
        <v>102</v>
      </c>
      <c r="BS766" t="s">
        <v>14944</v>
      </c>
      <c r="BT766" t="str">
        <f>HYPERLINK("https%3A%2F%2Fwww.webofscience.com%2Fwos%2Fwoscc%2Ffull-record%2FWOS:001159600200001","View Full Record in Web of Science")</f>
        <v>View Full Record in Web of Science</v>
      </c>
    </row>
    <row r="767" spans="1:72" x14ac:dyDescent="0.15">
      <c r="A767" t="s">
        <v>72</v>
      </c>
      <c r="B767" t="s">
        <v>14945</v>
      </c>
      <c r="C767" t="s">
        <v>74</v>
      </c>
      <c r="D767" t="s">
        <v>74</v>
      </c>
      <c r="E767" t="s">
        <v>74</v>
      </c>
      <c r="F767" t="s">
        <v>14946</v>
      </c>
      <c r="G767" t="s">
        <v>74</v>
      </c>
      <c r="H767" t="s">
        <v>74</v>
      </c>
      <c r="I767" t="s">
        <v>14947</v>
      </c>
      <c r="J767" t="s">
        <v>14948</v>
      </c>
      <c r="K767" t="s">
        <v>74</v>
      </c>
      <c r="L767" t="s">
        <v>74</v>
      </c>
      <c r="M767" t="s">
        <v>78</v>
      </c>
      <c r="N767" t="s">
        <v>79</v>
      </c>
      <c r="O767" t="s">
        <v>74</v>
      </c>
      <c r="P767" t="s">
        <v>74</v>
      </c>
      <c r="Q767" t="s">
        <v>74</v>
      </c>
      <c r="R767" t="s">
        <v>74</v>
      </c>
      <c r="S767" t="s">
        <v>74</v>
      </c>
      <c r="T767" t="s">
        <v>14949</v>
      </c>
      <c r="U767" t="s">
        <v>14950</v>
      </c>
      <c r="V767" t="s">
        <v>14951</v>
      </c>
      <c r="W767" t="s">
        <v>14952</v>
      </c>
      <c r="X767" t="s">
        <v>14953</v>
      </c>
      <c r="Y767" t="s">
        <v>14954</v>
      </c>
      <c r="Z767" t="s">
        <v>14955</v>
      </c>
      <c r="AA767" t="s">
        <v>14956</v>
      </c>
      <c r="AB767" t="s">
        <v>14957</v>
      </c>
      <c r="AC767" t="s">
        <v>74</v>
      </c>
      <c r="AD767" t="s">
        <v>74</v>
      </c>
      <c r="AE767" t="s">
        <v>74</v>
      </c>
      <c r="AF767" t="s">
        <v>74</v>
      </c>
      <c r="AG767">
        <v>62</v>
      </c>
      <c r="AH767">
        <v>8</v>
      </c>
      <c r="AI767">
        <v>9</v>
      </c>
      <c r="AJ767">
        <v>13</v>
      </c>
      <c r="AK767">
        <v>58</v>
      </c>
      <c r="AL767" t="s">
        <v>281</v>
      </c>
      <c r="AM767" t="s">
        <v>228</v>
      </c>
      <c r="AN767" t="s">
        <v>282</v>
      </c>
      <c r="AO767" t="s">
        <v>14958</v>
      </c>
      <c r="AP767" t="s">
        <v>14959</v>
      </c>
      <c r="AQ767" t="s">
        <v>74</v>
      </c>
      <c r="AR767" t="s">
        <v>14960</v>
      </c>
      <c r="AS767" t="s">
        <v>14961</v>
      </c>
      <c r="AT767" t="s">
        <v>96</v>
      </c>
      <c r="AU767">
        <v>2021</v>
      </c>
      <c r="AV767">
        <v>156</v>
      </c>
      <c r="AW767" t="s">
        <v>74</v>
      </c>
      <c r="AX767" t="s">
        <v>74</v>
      </c>
      <c r="AY767" t="s">
        <v>74</v>
      </c>
      <c r="AZ767" t="s">
        <v>74</v>
      </c>
      <c r="BA767" t="s">
        <v>74</v>
      </c>
      <c r="BB767" t="s">
        <v>74</v>
      </c>
      <c r="BC767" t="s">
        <v>74</v>
      </c>
      <c r="BD767">
        <v>106602</v>
      </c>
      <c r="BE767" t="s">
        <v>14962</v>
      </c>
      <c r="BF767" t="str">
        <f>HYPERLINK("http://dx.doi.org/10.1016/j.envint.2021.106602","http://dx.doi.org/10.1016/j.envint.2021.106602")</f>
        <v>http://dx.doi.org/10.1016/j.envint.2021.106602</v>
      </c>
      <c r="BG767" t="s">
        <v>74</v>
      </c>
      <c r="BH767" t="s">
        <v>14415</v>
      </c>
      <c r="BI767">
        <v>11</v>
      </c>
      <c r="BJ767" t="s">
        <v>262</v>
      </c>
      <c r="BK767" t="s">
        <v>128</v>
      </c>
      <c r="BL767" t="s">
        <v>263</v>
      </c>
      <c r="BM767" t="s">
        <v>14963</v>
      </c>
      <c r="BN767">
        <v>34051435</v>
      </c>
      <c r="BO767" t="s">
        <v>638</v>
      </c>
      <c r="BP767" t="s">
        <v>74</v>
      </c>
      <c r="BQ767" t="s">
        <v>74</v>
      </c>
      <c r="BR767" t="s">
        <v>102</v>
      </c>
      <c r="BS767" t="s">
        <v>14964</v>
      </c>
      <c r="BT767" t="str">
        <f>HYPERLINK("https%3A%2F%2Fwww.webofscience.com%2Fwos%2Fwoscc%2Ffull-record%2FWOS:000685649300007","View Full Record in Web of Science")</f>
        <v>View Full Record in Web of Science</v>
      </c>
    </row>
    <row r="768" spans="1:72" x14ac:dyDescent="0.15">
      <c r="A768" t="s">
        <v>72</v>
      </c>
      <c r="B768" t="s">
        <v>14965</v>
      </c>
      <c r="C768" t="s">
        <v>74</v>
      </c>
      <c r="D768" t="s">
        <v>74</v>
      </c>
      <c r="E768" t="s">
        <v>74</v>
      </c>
      <c r="F768" t="s">
        <v>14966</v>
      </c>
      <c r="G768" t="s">
        <v>74</v>
      </c>
      <c r="H768" t="s">
        <v>74</v>
      </c>
      <c r="I768" t="s">
        <v>14967</v>
      </c>
      <c r="J768" t="s">
        <v>14968</v>
      </c>
      <c r="K768" t="s">
        <v>74</v>
      </c>
      <c r="L768" t="s">
        <v>74</v>
      </c>
      <c r="M768" t="s">
        <v>78</v>
      </c>
      <c r="N768" t="s">
        <v>79</v>
      </c>
      <c r="O768" t="s">
        <v>74</v>
      </c>
      <c r="P768" t="s">
        <v>74</v>
      </c>
      <c r="Q768" t="s">
        <v>74</v>
      </c>
      <c r="R768" t="s">
        <v>74</v>
      </c>
      <c r="S768" t="s">
        <v>74</v>
      </c>
      <c r="T768" t="s">
        <v>14969</v>
      </c>
      <c r="U768" t="s">
        <v>14970</v>
      </c>
      <c r="V768" t="s">
        <v>14971</v>
      </c>
      <c r="W768" t="s">
        <v>14972</v>
      </c>
      <c r="X768" t="s">
        <v>14973</v>
      </c>
      <c r="Y768" t="s">
        <v>14974</v>
      </c>
      <c r="Z768" t="s">
        <v>14975</v>
      </c>
      <c r="AA768" t="s">
        <v>14976</v>
      </c>
      <c r="AB768" t="s">
        <v>14977</v>
      </c>
      <c r="AC768" t="s">
        <v>14978</v>
      </c>
      <c r="AD768" t="s">
        <v>14979</v>
      </c>
      <c r="AE768" t="s">
        <v>14980</v>
      </c>
      <c r="AF768" t="s">
        <v>74</v>
      </c>
      <c r="AG768">
        <v>56</v>
      </c>
      <c r="AH768">
        <v>12</v>
      </c>
      <c r="AI768">
        <v>12</v>
      </c>
      <c r="AJ768">
        <v>1</v>
      </c>
      <c r="AK768">
        <v>7</v>
      </c>
      <c r="AL768" t="s">
        <v>2190</v>
      </c>
      <c r="AM768" t="s">
        <v>228</v>
      </c>
      <c r="AN768" t="s">
        <v>2191</v>
      </c>
      <c r="AO768" t="s">
        <v>14981</v>
      </c>
      <c r="AP768" t="s">
        <v>14982</v>
      </c>
      <c r="AQ768" t="s">
        <v>74</v>
      </c>
      <c r="AR768" t="s">
        <v>14983</v>
      </c>
      <c r="AS768" t="s">
        <v>14984</v>
      </c>
      <c r="AT768" t="s">
        <v>402</v>
      </c>
      <c r="AU768">
        <v>2021</v>
      </c>
      <c r="AV768">
        <v>226</v>
      </c>
      <c r="AW768">
        <v>3</v>
      </c>
      <c r="AX768" t="s">
        <v>74</v>
      </c>
      <c r="AY768" t="s">
        <v>74</v>
      </c>
      <c r="AZ768" t="s">
        <v>74</v>
      </c>
      <c r="BA768" t="s">
        <v>74</v>
      </c>
      <c r="BB768">
        <v>1461</v>
      </c>
      <c r="BC768">
        <v>1497</v>
      </c>
      <c r="BD768" t="s">
        <v>74</v>
      </c>
      <c r="BE768" t="s">
        <v>14985</v>
      </c>
      <c r="BF768" t="str">
        <f>HYPERLINK("http://dx.doi.org/10.1093/gji/ggab107","http://dx.doi.org/10.1093/gji/ggab107")</f>
        <v>http://dx.doi.org/10.1093/gji/ggab107</v>
      </c>
      <c r="BG768" t="s">
        <v>74</v>
      </c>
      <c r="BH768" t="s">
        <v>14415</v>
      </c>
      <c r="BI768">
        <v>37</v>
      </c>
      <c r="BJ768" t="s">
        <v>289</v>
      </c>
      <c r="BK768" t="s">
        <v>128</v>
      </c>
      <c r="BL768" t="s">
        <v>289</v>
      </c>
      <c r="BM768" t="s">
        <v>14986</v>
      </c>
      <c r="BN768" t="s">
        <v>74</v>
      </c>
      <c r="BO768" t="s">
        <v>908</v>
      </c>
      <c r="BP768" t="s">
        <v>74</v>
      </c>
      <c r="BQ768" t="s">
        <v>74</v>
      </c>
      <c r="BR768" t="s">
        <v>102</v>
      </c>
      <c r="BS768" t="s">
        <v>14987</v>
      </c>
      <c r="BT768" t="str">
        <f>HYPERLINK("https%3A%2F%2Fwww.webofscience.com%2Fwos%2Fwoscc%2Ffull-record%2FWOS:000684117400001","View Full Record in Web of Science")</f>
        <v>View Full Record in Web of Science</v>
      </c>
    </row>
    <row r="769" spans="1:72" x14ac:dyDescent="0.15">
      <c r="A769" t="s">
        <v>72</v>
      </c>
      <c r="B769" t="s">
        <v>14988</v>
      </c>
      <c r="C769" t="s">
        <v>74</v>
      </c>
      <c r="D769" t="s">
        <v>74</v>
      </c>
      <c r="E769" t="s">
        <v>74</v>
      </c>
      <c r="F769" t="s">
        <v>14989</v>
      </c>
      <c r="G769" t="s">
        <v>74</v>
      </c>
      <c r="H769" t="s">
        <v>74</v>
      </c>
      <c r="I769" t="s">
        <v>14990</v>
      </c>
      <c r="J769" t="s">
        <v>14968</v>
      </c>
      <c r="K769" t="s">
        <v>74</v>
      </c>
      <c r="L769" t="s">
        <v>74</v>
      </c>
      <c r="M769" t="s">
        <v>78</v>
      </c>
      <c r="N769" t="s">
        <v>79</v>
      </c>
      <c r="O769" t="s">
        <v>74</v>
      </c>
      <c r="P769" t="s">
        <v>74</v>
      </c>
      <c r="Q769" t="s">
        <v>74</v>
      </c>
      <c r="R769" t="s">
        <v>74</v>
      </c>
      <c r="S769" t="s">
        <v>74</v>
      </c>
      <c r="T769" t="s">
        <v>14991</v>
      </c>
      <c r="U769" t="s">
        <v>14992</v>
      </c>
      <c r="V769" t="s">
        <v>14993</v>
      </c>
      <c r="W769" t="s">
        <v>14994</v>
      </c>
      <c r="X769" t="s">
        <v>14995</v>
      </c>
      <c r="Y769" t="s">
        <v>14996</v>
      </c>
      <c r="Z769" t="s">
        <v>14997</v>
      </c>
      <c r="AA769" t="s">
        <v>14998</v>
      </c>
      <c r="AB769" t="s">
        <v>14999</v>
      </c>
      <c r="AC769" t="s">
        <v>15000</v>
      </c>
      <c r="AD769" t="s">
        <v>15001</v>
      </c>
      <c r="AE769" t="s">
        <v>15002</v>
      </c>
      <c r="AF769" t="s">
        <v>74</v>
      </c>
      <c r="AG769">
        <v>51</v>
      </c>
      <c r="AH769">
        <v>5</v>
      </c>
      <c r="AI769">
        <v>6</v>
      </c>
      <c r="AJ769">
        <v>7</v>
      </c>
      <c r="AK769">
        <v>22</v>
      </c>
      <c r="AL769" t="s">
        <v>2190</v>
      </c>
      <c r="AM769" t="s">
        <v>228</v>
      </c>
      <c r="AN769" t="s">
        <v>2191</v>
      </c>
      <c r="AO769" t="s">
        <v>14981</v>
      </c>
      <c r="AP769" t="s">
        <v>14982</v>
      </c>
      <c r="AQ769" t="s">
        <v>74</v>
      </c>
      <c r="AR769" t="s">
        <v>14983</v>
      </c>
      <c r="AS769" t="s">
        <v>14984</v>
      </c>
      <c r="AT769" t="s">
        <v>402</v>
      </c>
      <c r="AU769">
        <v>2021</v>
      </c>
      <c r="AV769">
        <v>226</v>
      </c>
      <c r="AW769">
        <v>3</v>
      </c>
      <c r="AX769" t="s">
        <v>74</v>
      </c>
      <c r="AY769" t="s">
        <v>74</v>
      </c>
      <c r="AZ769" t="s">
        <v>74</v>
      </c>
      <c r="BA769" t="s">
        <v>74</v>
      </c>
      <c r="BB769">
        <v>1574</v>
      </c>
      <c r="BC769">
        <v>1583</v>
      </c>
      <c r="BD769" t="s">
        <v>74</v>
      </c>
      <c r="BE769" t="s">
        <v>15003</v>
      </c>
      <c r="BF769" t="str">
        <f>HYPERLINK("http://dx.doi.org/10.1093/gji/ggab148","http://dx.doi.org/10.1093/gji/ggab148")</f>
        <v>http://dx.doi.org/10.1093/gji/ggab148</v>
      </c>
      <c r="BG769" t="s">
        <v>74</v>
      </c>
      <c r="BH769" t="s">
        <v>14415</v>
      </c>
      <c r="BI769">
        <v>10</v>
      </c>
      <c r="BJ769" t="s">
        <v>289</v>
      </c>
      <c r="BK769" t="s">
        <v>128</v>
      </c>
      <c r="BL769" t="s">
        <v>289</v>
      </c>
      <c r="BM769" t="s">
        <v>14986</v>
      </c>
      <c r="BN769" t="s">
        <v>74</v>
      </c>
      <c r="BO769" t="s">
        <v>238</v>
      </c>
      <c r="BP769" t="s">
        <v>74</v>
      </c>
      <c r="BQ769" t="s">
        <v>74</v>
      </c>
      <c r="BR769" t="s">
        <v>102</v>
      </c>
      <c r="BS769" t="s">
        <v>15004</v>
      </c>
      <c r="BT769" t="str">
        <f>HYPERLINK("https%3A%2F%2Fwww.webofscience.com%2Fwos%2Fwoscc%2Ffull-record%2FWOS:000684117400006","View Full Record in Web of Science")</f>
        <v>View Full Record in Web of Science</v>
      </c>
    </row>
    <row r="770" spans="1:72" x14ac:dyDescent="0.15">
      <c r="A770" t="s">
        <v>72</v>
      </c>
      <c r="B770" t="s">
        <v>15005</v>
      </c>
      <c r="C770" t="s">
        <v>74</v>
      </c>
      <c r="D770" t="s">
        <v>74</v>
      </c>
      <c r="E770" t="s">
        <v>74</v>
      </c>
      <c r="F770" t="s">
        <v>15006</v>
      </c>
      <c r="G770" t="s">
        <v>74</v>
      </c>
      <c r="H770" t="s">
        <v>74</v>
      </c>
      <c r="I770" t="s">
        <v>15007</v>
      </c>
      <c r="J770" t="s">
        <v>243</v>
      </c>
      <c r="K770" t="s">
        <v>74</v>
      </c>
      <c r="L770" t="s">
        <v>74</v>
      </c>
      <c r="M770" t="s">
        <v>78</v>
      </c>
      <c r="N770" t="s">
        <v>79</v>
      </c>
      <c r="O770" t="s">
        <v>74</v>
      </c>
      <c r="P770" t="s">
        <v>74</v>
      </c>
      <c r="Q770" t="s">
        <v>74</v>
      </c>
      <c r="R770" t="s">
        <v>74</v>
      </c>
      <c r="S770" t="s">
        <v>74</v>
      </c>
      <c r="T770" t="s">
        <v>15008</v>
      </c>
      <c r="U770" t="s">
        <v>15009</v>
      </c>
      <c r="V770" t="s">
        <v>15010</v>
      </c>
      <c r="W770" t="s">
        <v>15011</v>
      </c>
      <c r="X770" t="s">
        <v>15012</v>
      </c>
      <c r="Y770" t="s">
        <v>15013</v>
      </c>
      <c r="Z770" t="s">
        <v>15014</v>
      </c>
      <c r="AA770" t="s">
        <v>15015</v>
      </c>
      <c r="AB770" t="s">
        <v>15016</v>
      </c>
      <c r="AC770" t="s">
        <v>15017</v>
      </c>
      <c r="AD770" t="s">
        <v>15018</v>
      </c>
      <c r="AE770" t="s">
        <v>15019</v>
      </c>
      <c r="AF770" t="s">
        <v>74</v>
      </c>
      <c r="AG770">
        <v>60</v>
      </c>
      <c r="AH770">
        <v>7</v>
      </c>
      <c r="AI770">
        <v>7</v>
      </c>
      <c r="AJ770">
        <v>1</v>
      </c>
      <c r="AK770">
        <v>13</v>
      </c>
      <c r="AL770" t="s">
        <v>89</v>
      </c>
      <c r="AM770" t="s">
        <v>90</v>
      </c>
      <c r="AN770" t="s">
        <v>91</v>
      </c>
      <c r="AO770" t="s">
        <v>256</v>
      </c>
      <c r="AP770" t="s">
        <v>257</v>
      </c>
      <c r="AQ770" t="s">
        <v>74</v>
      </c>
      <c r="AR770" t="s">
        <v>258</v>
      </c>
      <c r="AS770" t="s">
        <v>259</v>
      </c>
      <c r="AT770" t="s">
        <v>287</v>
      </c>
      <c r="AU770">
        <v>2021</v>
      </c>
      <c r="AV770">
        <v>789</v>
      </c>
      <c r="AW770" t="s">
        <v>74</v>
      </c>
      <c r="AX770" t="s">
        <v>74</v>
      </c>
      <c r="AY770" t="s">
        <v>74</v>
      </c>
      <c r="AZ770" t="s">
        <v>74</v>
      </c>
      <c r="BA770" t="s">
        <v>74</v>
      </c>
      <c r="BB770" t="s">
        <v>74</v>
      </c>
      <c r="BC770" t="s">
        <v>74</v>
      </c>
      <c r="BD770">
        <v>147912</v>
      </c>
      <c r="BE770" t="s">
        <v>15020</v>
      </c>
      <c r="BF770" t="str">
        <f>HYPERLINK("http://dx.doi.org/10.1016/j.scitotenv.2021.147912","http://dx.doi.org/10.1016/j.scitotenv.2021.147912")</f>
        <v>http://dx.doi.org/10.1016/j.scitotenv.2021.147912</v>
      </c>
      <c r="BG770" t="s">
        <v>74</v>
      </c>
      <c r="BH770" t="s">
        <v>14415</v>
      </c>
      <c r="BI770">
        <v>10</v>
      </c>
      <c r="BJ770" t="s">
        <v>262</v>
      </c>
      <c r="BK770" t="s">
        <v>128</v>
      </c>
      <c r="BL770" t="s">
        <v>263</v>
      </c>
      <c r="BM770" t="s">
        <v>15021</v>
      </c>
      <c r="BN770">
        <v>34051495</v>
      </c>
      <c r="BO770" t="s">
        <v>74</v>
      </c>
      <c r="BP770" t="s">
        <v>74</v>
      </c>
      <c r="BQ770" t="s">
        <v>74</v>
      </c>
      <c r="BR770" t="s">
        <v>102</v>
      </c>
      <c r="BS770" t="s">
        <v>15022</v>
      </c>
      <c r="BT770" t="str">
        <f>HYPERLINK("https%3A%2F%2Fwww.webofscience.com%2Fwos%2Fwoscc%2Ffull-record%2FWOS:000677549900006","View Full Record in Web of Science")</f>
        <v>View Full Record in Web of Science</v>
      </c>
    </row>
    <row r="771" spans="1:72" x14ac:dyDescent="0.15">
      <c r="A771" t="s">
        <v>72</v>
      </c>
      <c r="B771" t="s">
        <v>15023</v>
      </c>
      <c r="C771" t="s">
        <v>74</v>
      </c>
      <c r="D771" t="s">
        <v>74</v>
      </c>
      <c r="E771" t="s">
        <v>74</v>
      </c>
      <c r="F771" t="s">
        <v>15024</v>
      </c>
      <c r="G771" t="s">
        <v>74</v>
      </c>
      <c r="H771" t="s">
        <v>74</v>
      </c>
      <c r="I771" t="s">
        <v>15025</v>
      </c>
      <c r="J771" t="s">
        <v>3516</v>
      </c>
      <c r="K771" t="s">
        <v>74</v>
      </c>
      <c r="L771" t="s">
        <v>74</v>
      </c>
      <c r="M771" t="s">
        <v>78</v>
      </c>
      <c r="N771" t="s">
        <v>79</v>
      </c>
      <c r="O771" t="s">
        <v>74</v>
      </c>
      <c r="P771" t="s">
        <v>74</v>
      </c>
      <c r="Q771" t="s">
        <v>74</v>
      </c>
      <c r="R771" t="s">
        <v>74</v>
      </c>
      <c r="S771" t="s">
        <v>74</v>
      </c>
      <c r="T771" t="s">
        <v>15026</v>
      </c>
      <c r="U771" t="s">
        <v>15027</v>
      </c>
      <c r="V771" t="s">
        <v>15028</v>
      </c>
      <c r="W771" t="s">
        <v>15029</v>
      </c>
      <c r="X771" t="s">
        <v>15030</v>
      </c>
      <c r="Y771" t="s">
        <v>15031</v>
      </c>
      <c r="Z771" t="s">
        <v>15032</v>
      </c>
      <c r="AA771" t="s">
        <v>74</v>
      </c>
      <c r="AB771" t="s">
        <v>74</v>
      </c>
      <c r="AC771" t="s">
        <v>15033</v>
      </c>
      <c r="AD771" t="s">
        <v>15034</v>
      </c>
      <c r="AE771" t="s">
        <v>15035</v>
      </c>
      <c r="AF771" t="s">
        <v>74</v>
      </c>
      <c r="AG771">
        <v>42</v>
      </c>
      <c r="AH771">
        <v>3</v>
      </c>
      <c r="AI771">
        <v>3</v>
      </c>
      <c r="AJ771">
        <v>3</v>
      </c>
      <c r="AK771">
        <v>17</v>
      </c>
      <c r="AL771" t="s">
        <v>3526</v>
      </c>
      <c r="AM771" t="s">
        <v>650</v>
      </c>
      <c r="AN771" t="s">
        <v>3527</v>
      </c>
      <c r="AO771" t="s">
        <v>3528</v>
      </c>
      <c r="AP771" t="s">
        <v>3529</v>
      </c>
      <c r="AQ771" t="s">
        <v>74</v>
      </c>
      <c r="AR771" t="s">
        <v>3530</v>
      </c>
      <c r="AS771" t="s">
        <v>3531</v>
      </c>
      <c r="AT771" t="s">
        <v>535</v>
      </c>
      <c r="AU771">
        <v>2021</v>
      </c>
      <c r="AV771">
        <v>258</v>
      </c>
      <c r="AW771" t="s">
        <v>74</v>
      </c>
      <c r="AX771" t="s">
        <v>74</v>
      </c>
      <c r="AY771" t="s">
        <v>74</v>
      </c>
      <c r="AZ771" t="s">
        <v>74</v>
      </c>
      <c r="BA771" t="s">
        <v>74</v>
      </c>
      <c r="BB771" t="s">
        <v>74</v>
      </c>
      <c r="BC771" t="s">
        <v>74</v>
      </c>
      <c r="BD771">
        <v>110985</v>
      </c>
      <c r="BE771" t="s">
        <v>15036</v>
      </c>
      <c r="BF771" t="str">
        <f>HYPERLINK("http://dx.doi.org/10.1016/j.cbpa.2021.110985","http://dx.doi.org/10.1016/j.cbpa.2021.110985")</f>
        <v>http://dx.doi.org/10.1016/j.cbpa.2021.110985</v>
      </c>
      <c r="BG771" t="s">
        <v>74</v>
      </c>
      <c r="BH771" t="s">
        <v>14415</v>
      </c>
      <c r="BI771">
        <v>11</v>
      </c>
      <c r="BJ771" t="s">
        <v>3533</v>
      </c>
      <c r="BK771" t="s">
        <v>128</v>
      </c>
      <c r="BL771" t="s">
        <v>3533</v>
      </c>
      <c r="BM771" t="s">
        <v>15037</v>
      </c>
      <c r="BN771">
        <v>34023536</v>
      </c>
      <c r="BO771" t="s">
        <v>74</v>
      </c>
      <c r="BP771" t="s">
        <v>74</v>
      </c>
      <c r="BQ771" t="s">
        <v>74</v>
      </c>
      <c r="BR771" t="s">
        <v>102</v>
      </c>
      <c r="BS771" t="s">
        <v>15038</v>
      </c>
      <c r="BT771" t="str">
        <f>HYPERLINK("https%3A%2F%2Fwww.webofscience.com%2Fwos%2Fwoscc%2Ffull-record%2FWOS:000661126200004","View Full Record in Web of Science")</f>
        <v>View Full Record in Web of Science</v>
      </c>
    </row>
    <row r="772" spans="1:72" x14ac:dyDescent="0.15">
      <c r="A772" t="s">
        <v>72</v>
      </c>
      <c r="B772" t="s">
        <v>15039</v>
      </c>
      <c r="C772" t="s">
        <v>74</v>
      </c>
      <c r="D772" t="s">
        <v>74</v>
      </c>
      <c r="E772" t="s">
        <v>74</v>
      </c>
      <c r="F772" t="s">
        <v>15040</v>
      </c>
      <c r="G772" t="s">
        <v>74</v>
      </c>
      <c r="H772" t="s">
        <v>74</v>
      </c>
      <c r="I772" t="s">
        <v>15041</v>
      </c>
      <c r="J772" t="s">
        <v>15042</v>
      </c>
      <c r="K772" t="s">
        <v>74</v>
      </c>
      <c r="L772" t="s">
        <v>74</v>
      </c>
      <c r="M772" t="s">
        <v>78</v>
      </c>
      <c r="N772" t="s">
        <v>10723</v>
      </c>
      <c r="O772" t="s">
        <v>74</v>
      </c>
      <c r="P772" t="s">
        <v>74</v>
      </c>
      <c r="Q772" t="s">
        <v>74</v>
      </c>
      <c r="R772" t="s">
        <v>74</v>
      </c>
      <c r="S772" t="s">
        <v>74</v>
      </c>
      <c r="T772" t="s">
        <v>74</v>
      </c>
      <c r="U772" t="s">
        <v>15043</v>
      </c>
      <c r="V772" t="s">
        <v>15044</v>
      </c>
      <c r="W772" t="s">
        <v>15045</v>
      </c>
      <c r="X772" t="s">
        <v>15046</v>
      </c>
      <c r="Y772" t="s">
        <v>15047</v>
      </c>
      <c r="Z772" t="s">
        <v>14271</v>
      </c>
      <c r="AA772" t="s">
        <v>15048</v>
      </c>
      <c r="AB772" t="s">
        <v>15049</v>
      </c>
      <c r="AC772" t="s">
        <v>15050</v>
      </c>
      <c r="AD772" t="s">
        <v>15051</v>
      </c>
      <c r="AE772" t="s">
        <v>15052</v>
      </c>
      <c r="AF772" t="s">
        <v>74</v>
      </c>
      <c r="AG772">
        <v>41</v>
      </c>
      <c r="AH772">
        <v>21</v>
      </c>
      <c r="AI772">
        <v>21</v>
      </c>
      <c r="AJ772">
        <v>8</v>
      </c>
      <c r="AK772">
        <v>32</v>
      </c>
      <c r="AL772" t="s">
        <v>4067</v>
      </c>
      <c r="AM772" t="s">
        <v>396</v>
      </c>
      <c r="AN772" t="s">
        <v>397</v>
      </c>
      <c r="AO772" t="s">
        <v>74</v>
      </c>
      <c r="AP772" t="s">
        <v>15053</v>
      </c>
      <c r="AQ772" t="s">
        <v>74</v>
      </c>
      <c r="AR772" t="s">
        <v>15054</v>
      </c>
      <c r="AS772" t="s">
        <v>15055</v>
      </c>
      <c r="AT772" t="s">
        <v>15056</v>
      </c>
      <c r="AU772">
        <v>2021</v>
      </c>
      <c r="AV772">
        <v>8</v>
      </c>
      <c r="AW772">
        <v>1</v>
      </c>
      <c r="AX772" t="s">
        <v>74</v>
      </c>
      <c r="AY772" t="s">
        <v>74</v>
      </c>
      <c r="AZ772" t="s">
        <v>74</v>
      </c>
      <c r="BA772" t="s">
        <v>74</v>
      </c>
      <c r="BB772" t="s">
        <v>74</v>
      </c>
      <c r="BC772" t="s">
        <v>74</v>
      </c>
      <c r="BD772">
        <v>141</v>
      </c>
      <c r="BE772" t="s">
        <v>15057</v>
      </c>
      <c r="BF772" t="str">
        <f>HYPERLINK("http://dx.doi.org/10.1038/s41597-021-00916-9","http://dx.doi.org/10.1038/s41597-021-00916-9")</f>
        <v>http://dx.doi.org/10.1038/s41597-021-00916-9</v>
      </c>
      <c r="BG772" t="s">
        <v>74</v>
      </c>
      <c r="BH772" t="s">
        <v>74</v>
      </c>
      <c r="BI772">
        <v>9</v>
      </c>
      <c r="BJ772" t="s">
        <v>2609</v>
      </c>
      <c r="BK772" t="s">
        <v>128</v>
      </c>
      <c r="BL772" t="s">
        <v>2610</v>
      </c>
      <c r="BM772" t="s">
        <v>15058</v>
      </c>
      <c r="BN772">
        <v>34040008</v>
      </c>
      <c r="BO772" t="s">
        <v>1377</v>
      </c>
      <c r="BP772" t="s">
        <v>74</v>
      </c>
      <c r="BQ772" t="s">
        <v>74</v>
      </c>
      <c r="BR772" t="s">
        <v>102</v>
      </c>
      <c r="BS772" t="s">
        <v>15059</v>
      </c>
      <c r="BT772" t="str">
        <f>HYPERLINK("https%3A%2F%2Fwww.webofscience.com%2Fwos%2Fwoscc%2Ffull-record%2FWOS:000658733200002","View Full Record in Web of Science")</f>
        <v>View Full Record in Web of Science</v>
      </c>
    </row>
    <row r="773" spans="1:72" x14ac:dyDescent="0.15">
      <c r="A773" t="s">
        <v>72</v>
      </c>
      <c r="B773" t="s">
        <v>15060</v>
      </c>
      <c r="C773" t="s">
        <v>74</v>
      </c>
      <c r="D773" t="s">
        <v>74</v>
      </c>
      <c r="E773" t="s">
        <v>74</v>
      </c>
      <c r="F773" t="s">
        <v>15061</v>
      </c>
      <c r="G773" t="s">
        <v>74</v>
      </c>
      <c r="H773" t="s">
        <v>74</v>
      </c>
      <c r="I773" t="s">
        <v>15062</v>
      </c>
      <c r="J773" t="s">
        <v>8761</v>
      </c>
      <c r="K773" t="s">
        <v>74</v>
      </c>
      <c r="L773" t="s">
        <v>74</v>
      </c>
      <c r="M773" t="s">
        <v>78</v>
      </c>
      <c r="N773" t="s">
        <v>79</v>
      </c>
      <c r="O773" t="s">
        <v>74</v>
      </c>
      <c r="P773" t="s">
        <v>74</v>
      </c>
      <c r="Q773" t="s">
        <v>74</v>
      </c>
      <c r="R773" t="s">
        <v>74</v>
      </c>
      <c r="S773" t="s">
        <v>74</v>
      </c>
      <c r="T773" t="s">
        <v>15063</v>
      </c>
      <c r="U773" t="s">
        <v>15064</v>
      </c>
      <c r="V773" t="s">
        <v>15065</v>
      </c>
      <c r="W773" t="s">
        <v>15066</v>
      </c>
      <c r="X773" t="s">
        <v>15067</v>
      </c>
      <c r="Y773" t="s">
        <v>15068</v>
      </c>
      <c r="Z773" t="s">
        <v>15069</v>
      </c>
      <c r="AA773" t="s">
        <v>15070</v>
      </c>
      <c r="AB773" t="s">
        <v>15071</v>
      </c>
      <c r="AC773" t="s">
        <v>15072</v>
      </c>
      <c r="AD773" t="s">
        <v>15072</v>
      </c>
      <c r="AE773" t="s">
        <v>15073</v>
      </c>
      <c r="AF773" t="s">
        <v>74</v>
      </c>
      <c r="AG773">
        <v>32</v>
      </c>
      <c r="AH773">
        <v>6</v>
      </c>
      <c r="AI773">
        <v>6</v>
      </c>
      <c r="AJ773">
        <v>3</v>
      </c>
      <c r="AK773">
        <v>10</v>
      </c>
      <c r="AL773" t="s">
        <v>119</v>
      </c>
      <c r="AM773" t="s">
        <v>120</v>
      </c>
      <c r="AN773" t="s">
        <v>121</v>
      </c>
      <c r="AO773" t="s">
        <v>8774</v>
      </c>
      <c r="AP773" t="s">
        <v>74</v>
      </c>
      <c r="AQ773" t="s">
        <v>74</v>
      </c>
      <c r="AR773" t="s">
        <v>8775</v>
      </c>
      <c r="AS773" t="s">
        <v>8776</v>
      </c>
      <c r="AT773" t="s">
        <v>15056</v>
      </c>
      <c r="AU773">
        <v>2021</v>
      </c>
      <c r="AV773">
        <v>9</v>
      </c>
      <c r="AW773" t="s">
        <v>74</v>
      </c>
      <c r="AX773" t="s">
        <v>74</v>
      </c>
      <c r="AY773" t="s">
        <v>74</v>
      </c>
      <c r="AZ773" t="s">
        <v>74</v>
      </c>
      <c r="BA773" t="s">
        <v>74</v>
      </c>
      <c r="BB773" t="s">
        <v>74</v>
      </c>
      <c r="BC773" t="s">
        <v>74</v>
      </c>
      <c r="BD773">
        <v>616089</v>
      </c>
      <c r="BE773" t="s">
        <v>15074</v>
      </c>
      <c r="BF773" t="str">
        <f>HYPERLINK("http://dx.doi.org/10.3389/fevo.2021.616089","http://dx.doi.org/10.3389/fevo.2021.616089")</f>
        <v>http://dx.doi.org/10.3389/fevo.2021.616089</v>
      </c>
      <c r="BG773" t="s">
        <v>74</v>
      </c>
      <c r="BH773" t="s">
        <v>74</v>
      </c>
      <c r="BI773">
        <v>10</v>
      </c>
      <c r="BJ773" t="s">
        <v>1462</v>
      </c>
      <c r="BK773" t="s">
        <v>128</v>
      </c>
      <c r="BL773" t="s">
        <v>263</v>
      </c>
      <c r="BM773" t="s">
        <v>15075</v>
      </c>
      <c r="BN773" t="s">
        <v>74</v>
      </c>
      <c r="BO773" t="s">
        <v>311</v>
      </c>
      <c r="BP773" t="s">
        <v>74</v>
      </c>
      <c r="BQ773" t="s">
        <v>74</v>
      </c>
      <c r="BR773" t="s">
        <v>102</v>
      </c>
      <c r="BS773" t="s">
        <v>15076</v>
      </c>
      <c r="BT773" t="str">
        <f>HYPERLINK("https%3A%2F%2Fwww.webofscience.com%2Fwos%2Fwoscc%2Ffull-record%2FWOS:000659081500001","View Full Record in Web of Science")</f>
        <v>View Full Record in Web of Science</v>
      </c>
    </row>
    <row r="774" spans="1:72" x14ac:dyDescent="0.15">
      <c r="A774" t="s">
        <v>72</v>
      </c>
      <c r="B774" t="s">
        <v>15077</v>
      </c>
      <c r="C774" t="s">
        <v>74</v>
      </c>
      <c r="D774" t="s">
        <v>74</v>
      </c>
      <c r="E774" t="s">
        <v>74</v>
      </c>
      <c r="F774" t="s">
        <v>15078</v>
      </c>
      <c r="G774" t="s">
        <v>74</v>
      </c>
      <c r="H774" t="s">
        <v>74</v>
      </c>
      <c r="I774" t="s">
        <v>15079</v>
      </c>
      <c r="J774" t="s">
        <v>15080</v>
      </c>
      <c r="K774" t="s">
        <v>74</v>
      </c>
      <c r="L774" t="s">
        <v>74</v>
      </c>
      <c r="M774" t="s">
        <v>78</v>
      </c>
      <c r="N774" t="s">
        <v>15081</v>
      </c>
      <c r="O774" t="s">
        <v>74</v>
      </c>
      <c r="P774" t="s">
        <v>74</v>
      </c>
      <c r="Q774" t="s">
        <v>74</v>
      </c>
      <c r="R774" t="s">
        <v>74</v>
      </c>
      <c r="S774" t="s">
        <v>74</v>
      </c>
      <c r="T774" t="s">
        <v>74</v>
      </c>
      <c r="U774" t="s">
        <v>15082</v>
      </c>
      <c r="V774" t="s">
        <v>15083</v>
      </c>
      <c r="W774" t="s">
        <v>15084</v>
      </c>
      <c r="X774" t="s">
        <v>15085</v>
      </c>
      <c r="Y774" t="s">
        <v>15086</v>
      </c>
      <c r="Z774" t="s">
        <v>15087</v>
      </c>
      <c r="AA774" t="s">
        <v>74</v>
      </c>
      <c r="AB774" t="s">
        <v>74</v>
      </c>
      <c r="AC774" t="s">
        <v>74</v>
      </c>
      <c r="AD774" t="s">
        <v>74</v>
      </c>
      <c r="AE774" t="s">
        <v>74</v>
      </c>
      <c r="AF774" t="s">
        <v>74</v>
      </c>
      <c r="AG774">
        <v>70</v>
      </c>
      <c r="AH774">
        <v>0</v>
      </c>
      <c r="AI774">
        <v>0</v>
      </c>
      <c r="AJ774">
        <v>2</v>
      </c>
      <c r="AK774">
        <v>26</v>
      </c>
      <c r="AL774" t="s">
        <v>143</v>
      </c>
      <c r="AM774" t="s">
        <v>144</v>
      </c>
      <c r="AN774" t="s">
        <v>145</v>
      </c>
      <c r="AO774" t="s">
        <v>15088</v>
      </c>
      <c r="AP774" t="s">
        <v>15089</v>
      </c>
      <c r="AQ774" t="s">
        <v>74</v>
      </c>
      <c r="AR774" t="s">
        <v>15090</v>
      </c>
      <c r="AS774" t="s">
        <v>15091</v>
      </c>
      <c r="AT774" t="s">
        <v>15056</v>
      </c>
      <c r="AU774">
        <v>2021</v>
      </c>
      <c r="AV774">
        <v>12</v>
      </c>
      <c r="AW774">
        <v>1</v>
      </c>
      <c r="AX774" t="s">
        <v>74</v>
      </c>
      <c r="AY774" t="s">
        <v>74</v>
      </c>
      <c r="AZ774" t="s">
        <v>74</v>
      </c>
      <c r="BA774" t="s">
        <v>74</v>
      </c>
      <c r="BB774">
        <v>97</v>
      </c>
      <c r="BC774">
        <v>110</v>
      </c>
      <c r="BD774" t="s">
        <v>74</v>
      </c>
      <c r="BE774" t="s">
        <v>15092</v>
      </c>
      <c r="BF774" t="str">
        <f>HYPERLINK("http://dx.doi.org/10.5194/hgss-12-97-2021","http://dx.doi.org/10.5194/hgss-12-97-2021")</f>
        <v>http://dx.doi.org/10.5194/hgss-12-97-2021</v>
      </c>
      <c r="BG774" t="s">
        <v>74</v>
      </c>
      <c r="BH774" t="s">
        <v>74</v>
      </c>
      <c r="BI774">
        <v>14</v>
      </c>
      <c r="BJ774" t="s">
        <v>15093</v>
      </c>
      <c r="BK774" t="s">
        <v>100</v>
      </c>
      <c r="BL774" t="s">
        <v>15094</v>
      </c>
      <c r="BM774" t="s">
        <v>15095</v>
      </c>
      <c r="BN774" t="s">
        <v>74</v>
      </c>
      <c r="BO774" t="s">
        <v>638</v>
      </c>
      <c r="BP774" t="s">
        <v>74</v>
      </c>
      <c r="BQ774" t="s">
        <v>74</v>
      </c>
      <c r="BR774" t="s">
        <v>102</v>
      </c>
      <c r="BS774" t="s">
        <v>15096</v>
      </c>
      <c r="BT774" t="str">
        <f>HYPERLINK("https%3A%2F%2Fwww.webofscience.com%2Fwos%2Fwoscc%2Ffull-record%2FWOS:000657142800001","View Full Record in Web of Science")</f>
        <v>View Full Record in Web of Science</v>
      </c>
    </row>
    <row r="775" spans="1:72" x14ac:dyDescent="0.15">
      <c r="A775" t="s">
        <v>72</v>
      </c>
      <c r="B775" t="s">
        <v>15097</v>
      </c>
      <c r="C775" t="s">
        <v>74</v>
      </c>
      <c r="D775" t="s">
        <v>74</v>
      </c>
      <c r="E775" t="s">
        <v>74</v>
      </c>
      <c r="F775" t="s">
        <v>15098</v>
      </c>
      <c r="G775" t="s">
        <v>74</v>
      </c>
      <c r="H775" t="s">
        <v>74</v>
      </c>
      <c r="I775" t="s">
        <v>15099</v>
      </c>
      <c r="J775" t="s">
        <v>107</v>
      </c>
      <c r="K775" t="s">
        <v>74</v>
      </c>
      <c r="L775" t="s">
        <v>74</v>
      </c>
      <c r="M775" t="s">
        <v>78</v>
      </c>
      <c r="N775" t="s">
        <v>79</v>
      </c>
      <c r="O775" t="s">
        <v>74</v>
      </c>
      <c r="P775" t="s">
        <v>74</v>
      </c>
      <c r="Q775" t="s">
        <v>74</v>
      </c>
      <c r="R775" t="s">
        <v>74</v>
      </c>
      <c r="S775" t="s">
        <v>74</v>
      </c>
      <c r="T775" t="s">
        <v>15100</v>
      </c>
      <c r="U775" t="s">
        <v>15101</v>
      </c>
      <c r="V775" t="s">
        <v>15102</v>
      </c>
      <c r="W775" t="s">
        <v>15103</v>
      </c>
      <c r="X775" t="s">
        <v>15104</v>
      </c>
      <c r="Y775" t="s">
        <v>15105</v>
      </c>
      <c r="Z775" t="s">
        <v>15106</v>
      </c>
      <c r="AA775" t="s">
        <v>15107</v>
      </c>
      <c r="AB775" t="s">
        <v>15108</v>
      </c>
      <c r="AC775" t="s">
        <v>15109</v>
      </c>
      <c r="AD775" t="s">
        <v>74</v>
      </c>
      <c r="AE775" t="s">
        <v>15110</v>
      </c>
      <c r="AF775" t="s">
        <v>74</v>
      </c>
      <c r="AG775">
        <v>56</v>
      </c>
      <c r="AH775">
        <v>3</v>
      </c>
      <c r="AI775">
        <v>3</v>
      </c>
      <c r="AJ775">
        <v>1</v>
      </c>
      <c r="AK775">
        <v>7</v>
      </c>
      <c r="AL775" t="s">
        <v>119</v>
      </c>
      <c r="AM775" t="s">
        <v>120</v>
      </c>
      <c r="AN775" t="s">
        <v>121</v>
      </c>
      <c r="AO775" t="s">
        <v>74</v>
      </c>
      <c r="AP775" t="s">
        <v>122</v>
      </c>
      <c r="AQ775" t="s">
        <v>74</v>
      </c>
      <c r="AR775" t="s">
        <v>123</v>
      </c>
      <c r="AS775" t="s">
        <v>124</v>
      </c>
      <c r="AT775" t="s">
        <v>15056</v>
      </c>
      <c r="AU775">
        <v>2021</v>
      </c>
      <c r="AV775">
        <v>8</v>
      </c>
      <c r="AW775" t="s">
        <v>74</v>
      </c>
      <c r="AX775" t="s">
        <v>74</v>
      </c>
      <c r="AY775" t="s">
        <v>74</v>
      </c>
      <c r="AZ775" t="s">
        <v>74</v>
      </c>
      <c r="BA775" t="s">
        <v>74</v>
      </c>
      <c r="BB775" t="s">
        <v>74</v>
      </c>
      <c r="BC775" t="s">
        <v>74</v>
      </c>
      <c r="BD775">
        <v>645288</v>
      </c>
      <c r="BE775" t="s">
        <v>15111</v>
      </c>
      <c r="BF775" t="str">
        <f>HYPERLINK("http://dx.doi.org/10.3389/fmars.2021.645288","http://dx.doi.org/10.3389/fmars.2021.645288")</f>
        <v>http://dx.doi.org/10.3389/fmars.2021.645288</v>
      </c>
      <c r="BG775" t="s">
        <v>74</v>
      </c>
      <c r="BH775" t="s">
        <v>74</v>
      </c>
      <c r="BI775">
        <v>13</v>
      </c>
      <c r="BJ775" t="s">
        <v>127</v>
      </c>
      <c r="BK775" t="s">
        <v>128</v>
      </c>
      <c r="BL775" t="s">
        <v>129</v>
      </c>
      <c r="BM775" t="s">
        <v>15112</v>
      </c>
      <c r="BN775" t="s">
        <v>74</v>
      </c>
      <c r="BO775" t="s">
        <v>638</v>
      </c>
      <c r="BP775" t="s">
        <v>74</v>
      </c>
      <c r="BQ775" t="s">
        <v>74</v>
      </c>
      <c r="BR775" t="s">
        <v>102</v>
      </c>
      <c r="BS775" t="s">
        <v>15113</v>
      </c>
      <c r="BT775" t="str">
        <f>HYPERLINK("https%3A%2F%2Fwww.webofscience.com%2Fwos%2Fwoscc%2Ffull-record%2FWOS:000657768500001","View Full Record in Web of Science")</f>
        <v>View Full Record in Web of Science</v>
      </c>
    </row>
    <row r="776" spans="1:72" x14ac:dyDescent="0.15">
      <c r="A776" t="s">
        <v>72</v>
      </c>
      <c r="B776" t="s">
        <v>15114</v>
      </c>
      <c r="C776" t="s">
        <v>74</v>
      </c>
      <c r="D776" t="s">
        <v>74</v>
      </c>
      <c r="E776" t="s">
        <v>74</v>
      </c>
      <c r="F776" t="s">
        <v>15115</v>
      </c>
      <c r="G776" t="s">
        <v>74</v>
      </c>
      <c r="H776" t="s">
        <v>74</v>
      </c>
      <c r="I776" t="s">
        <v>15116</v>
      </c>
      <c r="J776" t="s">
        <v>5479</v>
      </c>
      <c r="K776" t="s">
        <v>74</v>
      </c>
      <c r="L776" t="s">
        <v>74</v>
      </c>
      <c r="M776" t="s">
        <v>78</v>
      </c>
      <c r="N776" t="s">
        <v>79</v>
      </c>
      <c r="O776" t="s">
        <v>74</v>
      </c>
      <c r="P776" t="s">
        <v>74</v>
      </c>
      <c r="Q776" t="s">
        <v>74</v>
      </c>
      <c r="R776" t="s">
        <v>74</v>
      </c>
      <c r="S776" t="s">
        <v>74</v>
      </c>
      <c r="T776" t="s">
        <v>15117</v>
      </c>
      <c r="U776" t="s">
        <v>15118</v>
      </c>
      <c r="V776" t="s">
        <v>15119</v>
      </c>
      <c r="W776" t="s">
        <v>15120</v>
      </c>
      <c r="X776" t="s">
        <v>15121</v>
      </c>
      <c r="Y776" t="s">
        <v>15122</v>
      </c>
      <c r="Z776" t="s">
        <v>15123</v>
      </c>
      <c r="AA776" t="s">
        <v>15124</v>
      </c>
      <c r="AB776" t="s">
        <v>15125</v>
      </c>
      <c r="AC776" t="s">
        <v>74</v>
      </c>
      <c r="AD776" t="s">
        <v>74</v>
      </c>
      <c r="AE776" t="s">
        <v>74</v>
      </c>
      <c r="AF776" t="s">
        <v>74</v>
      </c>
      <c r="AG776">
        <v>44</v>
      </c>
      <c r="AH776">
        <v>2</v>
      </c>
      <c r="AI776">
        <v>2</v>
      </c>
      <c r="AJ776">
        <v>0</v>
      </c>
      <c r="AK776">
        <v>3</v>
      </c>
      <c r="AL776" t="s">
        <v>227</v>
      </c>
      <c r="AM776" t="s">
        <v>228</v>
      </c>
      <c r="AN776" t="s">
        <v>229</v>
      </c>
      <c r="AO776" t="s">
        <v>74</v>
      </c>
      <c r="AP776" t="s">
        <v>5484</v>
      </c>
      <c r="AQ776" t="s">
        <v>74</v>
      </c>
      <c r="AR776" t="s">
        <v>5479</v>
      </c>
      <c r="AS776" t="s">
        <v>5485</v>
      </c>
      <c r="AT776" t="s">
        <v>10878</v>
      </c>
      <c r="AU776">
        <v>2021</v>
      </c>
      <c r="AV776">
        <v>7</v>
      </c>
      <c r="AW776">
        <v>5</v>
      </c>
      <c r="AX776" t="s">
        <v>74</v>
      </c>
      <c r="AY776" t="s">
        <v>74</v>
      </c>
      <c r="AZ776" t="s">
        <v>74</v>
      </c>
      <c r="BA776" t="s">
        <v>74</v>
      </c>
      <c r="BB776" t="s">
        <v>74</v>
      </c>
      <c r="BC776" t="s">
        <v>74</v>
      </c>
      <c r="BD776" t="s">
        <v>15126</v>
      </c>
      <c r="BE776" t="s">
        <v>15127</v>
      </c>
      <c r="BF776" t="str">
        <f>HYPERLINK("http://dx.doi.org/10.1016/j.heliyon.2021.e07114","http://dx.doi.org/10.1016/j.heliyon.2021.e07114")</f>
        <v>http://dx.doi.org/10.1016/j.heliyon.2021.e07114</v>
      </c>
      <c r="BG776" t="s">
        <v>74</v>
      </c>
      <c r="BH776" t="s">
        <v>14415</v>
      </c>
      <c r="BI776">
        <v>7</v>
      </c>
      <c r="BJ776" t="s">
        <v>2609</v>
      </c>
      <c r="BK776" t="s">
        <v>128</v>
      </c>
      <c r="BL776" t="s">
        <v>2610</v>
      </c>
      <c r="BM776" t="s">
        <v>15128</v>
      </c>
      <c r="BN776">
        <v>34113732</v>
      </c>
      <c r="BO776" t="s">
        <v>238</v>
      </c>
      <c r="BP776" t="s">
        <v>74</v>
      </c>
      <c r="BQ776" t="s">
        <v>74</v>
      </c>
      <c r="BR776" t="s">
        <v>102</v>
      </c>
      <c r="BS776" t="s">
        <v>15129</v>
      </c>
      <c r="BT776" t="str">
        <f>HYPERLINK("https%3A%2F%2Fwww.webofscience.com%2Fwos%2Fwoscc%2Ffull-record%2FWOS:000687258800001","View Full Record in Web of Science")</f>
        <v>View Full Record in Web of Science</v>
      </c>
    </row>
    <row r="777" spans="1:72" x14ac:dyDescent="0.15">
      <c r="A777" t="s">
        <v>72</v>
      </c>
      <c r="B777" t="s">
        <v>15130</v>
      </c>
      <c r="C777" t="s">
        <v>74</v>
      </c>
      <c r="D777" t="s">
        <v>74</v>
      </c>
      <c r="E777" t="s">
        <v>74</v>
      </c>
      <c r="F777" t="s">
        <v>15131</v>
      </c>
      <c r="G777" t="s">
        <v>74</v>
      </c>
      <c r="H777" t="s">
        <v>74</v>
      </c>
      <c r="I777" t="s">
        <v>15132</v>
      </c>
      <c r="J777" t="s">
        <v>4769</v>
      </c>
      <c r="K777" t="s">
        <v>74</v>
      </c>
      <c r="L777" t="s">
        <v>74</v>
      </c>
      <c r="M777" t="s">
        <v>78</v>
      </c>
      <c r="N777" t="s">
        <v>79</v>
      </c>
      <c r="O777" t="s">
        <v>74</v>
      </c>
      <c r="P777" t="s">
        <v>74</v>
      </c>
      <c r="Q777" t="s">
        <v>74</v>
      </c>
      <c r="R777" t="s">
        <v>74</v>
      </c>
      <c r="S777" t="s">
        <v>74</v>
      </c>
      <c r="T777" t="s">
        <v>15133</v>
      </c>
      <c r="U777" t="s">
        <v>15134</v>
      </c>
      <c r="V777" t="s">
        <v>15135</v>
      </c>
      <c r="W777" t="s">
        <v>15136</v>
      </c>
      <c r="X777" t="s">
        <v>15137</v>
      </c>
      <c r="Y777" t="s">
        <v>15138</v>
      </c>
      <c r="Z777" t="s">
        <v>15139</v>
      </c>
      <c r="AA777" t="s">
        <v>15140</v>
      </c>
      <c r="AB777" t="s">
        <v>15141</v>
      </c>
      <c r="AC777" t="s">
        <v>15142</v>
      </c>
      <c r="AD777" t="s">
        <v>15143</v>
      </c>
      <c r="AE777" t="s">
        <v>15144</v>
      </c>
      <c r="AF777" t="s">
        <v>74</v>
      </c>
      <c r="AG777">
        <v>86</v>
      </c>
      <c r="AH777">
        <v>14</v>
      </c>
      <c r="AI777">
        <v>15</v>
      </c>
      <c r="AJ777">
        <v>2</v>
      </c>
      <c r="AK777">
        <v>23</v>
      </c>
      <c r="AL777" t="s">
        <v>227</v>
      </c>
      <c r="AM777" t="s">
        <v>228</v>
      </c>
      <c r="AN777" t="s">
        <v>229</v>
      </c>
      <c r="AO777" t="s">
        <v>4782</v>
      </c>
      <c r="AP777" t="s">
        <v>4783</v>
      </c>
      <c r="AQ777" t="s">
        <v>74</v>
      </c>
      <c r="AR777" t="s">
        <v>4784</v>
      </c>
      <c r="AS777" t="s">
        <v>4785</v>
      </c>
      <c r="AT777" t="s">
        <v>402</v>
      </c>
      <c r="AU777">
        <v>2021</v>
      </c>
      <c r="AV777">
        <v>131</v>
      </c>
      <c r="AW777" t="s">
        <v>74</v>
      </c>
      <c r="AX777" t="s">
        <v>74</v>
      </c>
      <c r="AY777" t="s">
        <v>74</v>
      </c>
      <c r="AZ777" t="s">
        <v>74</v>
      </c>
      <c r="BA777" t="s">
        <v>74</v>
      </c>
      <c r="BB777" t="s">
        <v>74</v>
      </c>
      <c r="BC777" t="s">
        <v>74</v>
      </c>
      <c r="BD777">
        <v>104589</v>
      </c>
      <c r="BE777" t="s">
        <v>15145</v>
      </c>
      <c r="BF777" t="str">
        <f>HYPERLINK("http://dx.doi.org/10.1016/j.marpol.2021.104589","http://dx.doi.org/10.1016/j.marpol.2021.104589")</f>
        <v>http://dx.doi.org/10.1016/j.marpol.2021.104589</v>
      </c>
      <c r="BG777" t="s">
        <v>74</v>
      </c>
      <c r="BH777" t="s">
        <v>14415</v>
      </c>
      <c r="BI777">
        <v>11</v>
      </c>
      <c r="BJ777" t="s">
        <v>4787</v>
      </c>
      <c r="BK777" t="s">
        <v>377</v>
      </c>
      <c r="BL777" t="s">
        <v>4788</v>
      </c>
      <c r="BM777" t="s">
        <v>15146</v>
      </c>
      <c r="BN777" t="s">
        <v>74</v>
      </c>
      <c r="BO777" t="s">
        <v>749</v>
      </c>
      <c r="BP777" t="s">
        <v>74</v>
      </c>
      <c r="BQ777" t="s">
        <v>74</v>
      </c>
      <c r="BR777" t="s">
        <v>102</v>
      </c>
      <c r="BS777" t="s">
        <v>15147</v>
      </c>
      <c r="BT777" t="str">
        <f>HYPERLINK("https%3A%2F%2Fwww.webofscience.com%2Fwos%2Fwoscc%2Ffull-record%2FWOS:000683462900017","View Full Record in Web of Science")</f>
        <v>View Full Record in Web of Science</v>
      </c>
    </row>
    <row r="778" spans="1:72" x14ac:dyDescent="0.15">
      <c r="A778" t="s">
        <v>72</v>
      </c>
      <c r="B778" t="s">
        <v>15148</v>
      </c>
      <c r="C778" t="s">
        <v>74</v>
      </c>
      <c r="D778" t="s">
        <v>74</v>
      </c>
      <c r="E778" t="s">
        <v>74</v>
      </c>
      <c r="F778" t="s">
        <v>15149</v>
      </c>
      <c r="G778" t="s">
        <v>74</v>
      </c>
      <c r="H778" t="s">
        <v>74</v>
      </c>
      <c r="I778" t="s">
        <v>15150</v>
      </c>
      <c r="J778" t="s">
        <v>8485</v>
      </c>
      <c r="K778" t="s">
        <v>74</v>
      </c>
      <c r="L778" t="s">
        <v>74</v>
      </c>
      <c r="M778" t="s">
        <v>78</v>
      </c>
      <c r="N778" t="s">
        <v>700</v>
      </c>
      <c r="O778" t="s">
        <v>74</v>
      </c>
      <c r="P778" t="s">
        <v>74</v>
      </c>
      <c r="Q778" t="s">
        <v>74</v>
      </c>
      <c r="R778" t="s">
        <v>74</v>
      </c>
      <c r="S778" t="s">
        <v>74</v>
      </c>
      <c r="T778" t="s">
        <v>15151</v>
      </c>
      <c r="U778" t="s">
        <v>15152</v>
      </c>
      <c r="V778" t="s">
        <v>15153</v>
      </c>
      <c r="W778" t="s">
        <v>15154</v>
      </c>
      <c r="X778" t="s">
        <v>15155</v>
      </c>
      <c r="Y778" t="s">
        <v>15156</v>
      </c>
      <c r="Z778" t="s">
        <v>15157</v>
      </c>
      <c r="AA778" t="s">
        <v>15158</v>
      </c>
      <c r="AB778" t="s">
        <v>15159</v>
      </c>
      <c r="AC778" t="s">
        <v>15160</v>
      </c>
      <c r="AD778" t="s">
        <v>15161</v>
      </c>
      <c r="AE778" t="s">
        <v>15162</v>
      </c>
      <c r="AF778" t="s">
        <v>74</v>
      </c>
      <c r="AG778">
        <v>222</v>
      </c>
      <c r="AH778">
        <v>11</v>
      </c>
      <c r="AI778">
        <v>11</v>
      </c>
      <c r="AJ778">
        <v>1</v>
      </c>
      <c r="AK778">
        <v>14</v>
      </c>
      <c r="AL778" t="s">
        <v>89</v>
      </c>
      <c r="AM778" t="s">
        <v>90</v>
      </c>
      <c r="AN778" t="s">
        <v>91</v>
      </c>
      <c r="AO778" t="s">
        <v>8498</v>
      </c>
      <c r="AP778" t="s">
        <v>8499</v>
      </c>
      <c r="AQ778" t="s">
        <v>74</v>
      </c>
      <c r="AR778" t="s">
        <v>8500</v>
      </c>
      <c r="AS778" t="s">
        <v>8501</v>
      </c>
      <c r="AT778" t="s">
        <v>535</v>
      </c>
      <c r="AU778">
        <v>2021</v>
      </c>
      <c r="AV778">
        <v>96</v>
      </c>
      <c r="AW778" t="s">
        <v>74</v>
      </c>
      <c r="AX778" t="s">
        <v>74</v>
      </c>
      <c r="AY778" t="s">
        <v>74</v>
      </c>
      <c r="AZ778" t="s">
        <v>74</v>
      </c>
      <c r="BA778" t="s">
        <v>74</v>
      </c>
      <c r="BB778">
        <v>163</v>
      </c>
      <c r="BC778">
        <v>204</v>
      </c>
      <c r="BD778" t="s">
        <v>74</v>
      </c>
      <c r="BE778" t="s">
        <v>15163</v>
      </c>
      <c r="BF778" t="str">
        <f>HYPERLINK("http://dx.doi.org/10.1016/j.gr.2021.03.013","http://dx.doi.org/10.1016/j.gr.2021.03.013")</f>
        <v>http://dx.doi.org/10.1016/j.gr.2021.03.013</v>
      </c>
      <c r="BG778" t="s">
        <v>74</v>
      </c>
      <c r="BH778" t="s">
        <v>14415</v>
      </c>
      <c r="BI778">
        <v>42</v>
      </c>
      <c r="BJ778" t="s">
        <v>405</v>
      </c>
      <c r="BK778" t="s">
        <v>128</v>
      </c>
      <c r="BL778" t="s">
        <v>406</v>
      </c>
      <c r="BM778" t="s">
        <v>15164</v>
      </c>
      <c r="BN778" t="s">
        <v>74</v>
      </c>
      <c r="BO778" t="s">
        <v>749</v>
      </c>
      <c r="BP778" t="s">
        <v>74</v>
      </c>
      <c r="BQ778" t="s">
        <v>74</v>
      </c>
      <c r="BR778" t="s">
        <v>102</v>
      </c>
      <c r="BS778" t="s">
        <v>15165</v>
      </c>
      <c r="BT778" t="str">
        <f>HYPERLINK("https%3A%2F%2Fwww.webofscience.com%2Fwos%2Fwoscc%2Ffull-record%2FWOS:000660541500001","View Full Record in Web of Science")</f>
        <v>View Full Record in Web of Science</v>
      </c>
    </row>
    <row r="779" spans="1:72" x14ac:dyDescent="0.15">
      <c r="A779" t="s">
        <v>72</v>
      </c>
      <c r="B779" t="s">
        <v>15166</v>
      </c>
      <c r="C779" t="s">
        <v>74</v>
      </c>
      <c r="D779" t="s">
        <v>74</v>
      </c>
      <c r="E779" t="s">
        <v>74</v>
      </c>
      <c r="F779" t="s">
        <v>15167</v>
      </c>
      <c r="G779" t="s">
        <v>74</v>
      </c>
      <c r="H779" t="s">
        <v>74</v>
      </c>
      <c r="I779" t="s">
        <v>15168</v>
      </c>
      <c r="J779" t="s">
        <v>269</v>
      </c>
      <c r="K779" t="s">
        <v>74</v>
      </c>
      <c r="L779" t="s">
        <v>74</v>
      </c>
      <c r="M779" t="s">
        <v>78</v>
      </c>
      <c r="N779" t="s">
        <v>79</v>
      </c>
      <c r="O779" t="s">
        <v>74</v>
      </c>
      <c r="P779" t="s">
        <v>74</v>
      </c>
      <c r="Q779" t="s">
        <v>74</v>
      </c>
      <c r="R779" t="s">
        <v>74</v>
      </c>
      <c r="S779" t="s">
        <v>74</v>
      </c>
      <c r="T779" t="s">
        <v>15169</v>
      </c>
      <c r="U779" t="s">
        <v>15170</v>
      </c>
      <c r="V779" t="s">
        <v>15171</v>
      </c>
      <c r="W779" t="s">
        <v>15172</v>
      </c>
      <c r="X779" t="s">
        <v>15173</v>
      </c>
      <c r="Y779" t="s">
        <v>15174</v>
      </c>
      <c r="Z779" t="s">
        <v>15175</v>
      </c>
      <c r="AA779" t="s">
        <v>15176</v>
      </c>
      <c r="AB779" t="s">
        <v>15177</v>
      </c>
      <c r="AC779" t="s">
        <v>15178</v>
      </c>
      <c r="AD779" t="s">
        <v>15179</v>
      </c>
      <c r="AE779" t="s">
        <v>15180</v>
      </c>
      <c r="AF779" t="s">
        <v>74</v>
      </c>
      <c r="AG779">
        <v>103</v>
      </c>
      <c r="AH779">
        <v>8</v>
      </c>
      <c r="AI779">
        <v>8</v>
      </c>
      <c r="AJ779">
        <v>0</v>
      </c>
      <c r="AK779">
        <v>2</v>
      </c>
      <c r="AL779" t="s">
        <v>281</v>
      </c>
      <c r="AM779" t="s">
        <v>228</v>
      </c>
      <c r="AN779" t="s">
        <v>282</v>
      </c>
      <c r="AO779" t="s">
        <v>283</v>
      </c>
      <c r="AP779" t="s">
        <v>284</v>
      </c>
      <c r="AQ779" t="s">
        <v>74</v>
      </c>
      <c r="AR779" t="s">
        <v>285</v>
      </c>
      <c r="AS779" t="s">
        <v>286</v>
      </c>
      <c r="AT779" t="s">
        <v>4241</v>
      </c>
      <c r="AU779">
        <v>2021</v>
      </c>
      <c r="AV779">
        <v>305</v>
      </c>
      <c r="AW779" t="s">
        <v>74</v>
      </c>
      <c r="AX779" t="s">
        <v>74</v>
      </c>
      <c r="AY779" t="s">
        <v>74</v>
      </c>
      <c r="AZ779" t="s">
        <v>74</v>
      </c>
      <c r="BA779" t="s">
        <v>74</v>
      </c>
      <c r="BB779">
        <v>106</v>
      </c>
      <c r="BC779">
        <v>129</v>
      </c>
      <c r="BD779" t="s">
        <v>74</v>
      </c>
      <c r="BE779" t="s">
        <v>15181</v>
      </c>
      <c r="BF779" t="str">
        <f>HYPERLINK("http://dx.doi.org/10.1016/j.gca.2021.05.005","http://dx.doi.org/10.1016/j.gca.2021.05.005")</f>
        <v>http://dx.doi.org/10.1016/j.gca.2021.05.005</v>
      </c>
      <c r="BG779" t="s">
        <v>74</v>
      </c>
      <c r="BH779" t="s">
        <v>14415</v>
      </c>
      <c r="BI779">
        <v>24</v>
      </c>
      <c r="BJ779" t="s">
        <v>289</v>
      </c>
      <c r="BK779" t="s">
        <v>128</v>
      </c>
      <c r="BL779" t="s">
        <v>289</v>
      </c>
      <c r="BM779" t="s">
        <v>15182</v>
      </c>
      <c r="BN779" t="s">
        <v>74</v>
      </c>
      <c r="BO779" t="s">
        <v>6693</v>
      </c>
      <c r="BP779" t="s">
        <v>74</v>
      </c>
      <c r="BQ779" t="s">
        <v>74</v>
      </c>
      <c r="BR779" t="s">
        <v>102</v>
      </c>
      <c r="BS779" t="s">
        <v>15183</v>
      </c>
      <c r="BT779" t="str">
        <f>HYPERLINK("https%3A%2F%2Fwww.webofscience.com%2Fwos%2Fwoscc%2Ffull-record%2FWOS:000660120900007","View Full Record in Web of Science")</f>
        <v>View Full Record in Web of Science</v>
      </c>
    </row>
    <row r="780" spans="1:72" x14ac:dyDescent="0.15">
      <c r="A780" t="s">
        <v>72</v>
      </c>
      <c r="B780" t="s">
        <v>15184</v>
      </c>
      <c r="C780" t="s">
        <v>74</v>
      </c>
      <c r="D780" t="s">
        <v>74</v>
      </c>
      <c r="E780" t="s">
        <v>74</v>
      </c>
      <c r="F780" t="s">
        <v>15185</v>
      </c>
      <c r="G780" t="s">
        <v>74</v>
      </c>
      <c r="H780" t="s">
        <v>74</v>
      </c>
      <c r="I780" t="s">
        <v>15186</v>
      </c>
      <c r="J780" t="s">
        <v>4226</v>
      </c>
      <c r="K780" t="s">
        <v>74</v>
      </c>
      <c r="L780" t="s">
        <v>74</v>
      </c>
      <c r="M780" t="s">
        <v>78</v>
      </c>
      <c r="N780" t="s">
        <v>79</v>
      </c>
      <c r="O780" t="s">
        <v>74</v>
      </c>
      <c r="P780" t="s">
        <v>74</v>
      </c>
      <c r="Q780" t="s">
        <v>74</v>
      </c>
      <c r="R780" t="s">
        <v>74</v>
      </c>
      <c r="S780" t="s">
        <v>74</v>
      </c>
      <c r="T780" t="s">
        <v>15187</v>
      </c>
      <c r="U780" t="s">
        <v>15188</v>
      </c>
      <c r="V780" t="s">
        <v>15189</v>
      </c>
      <c r="W780" t="s">
        <v>15190</v>
      </c>
      <c r="X780" t="s">
        <v>15191</v>
      </c>
      <c r="Y780" t="s">
        <v>15192</v>
      </c>
      <c r="Z780" t="s">
        <v>15193</v>
      </c>
      <c r="AA780" t="s">
        <v>15194</v>
      </c>
      <c r="AB780" t="s">
        <v>15195</v>
      </c>
      <c r="AC780" t="s">
        <v>15196</v>
      </c>
      <c r="AD780" t="s">
        <v>15197</v>
      </c>
      <c r="AE780" t="s">
        <v>15198</v>
      </c>
      <c r="AF780" t="s">
        <v>74</v>
      </c>
      <c r="AG780">
        <v>39</v>
      </c>
      <c r="AH780">
        <v>5</v>
      </c>
      <c r="AI780">
        <v>5</v>
      </c>
      <c r="AJ780">
        <v>4</v>
      </c>
      <c r="AK780">
        <v>12</v>
      </c>
      <c r="AL780" t="s">
        <v>119</v>
      </c>
      <c r="AM780" t="s">
        <v>120</v>
      </c>
      <c r="AN780" t="s">
        <v>121</v>
      </c>
      <c r="AO780" t="s">
        <v>74</v>
      </c>
      <c r="AP780" t="s">
        <v>4238</v>
      </c>
      <c r="AQ780" t="s">
        <v>74</v>
      </c>
      <c r="AR780" t="s">
        <v>4239</v>
      </c>
      <c r="AS780" t="s">
        <v>4240</v>
      </c>
      <c r="AT780" t="s">
        <v>15199</v>
      </c>
      <c r="AU780">
        <v>2021</v>
      </c>
      <c r="AV780">
        <v>9</v>
      </c>
      <c r="AW780" t="s">
        <v>74</v>
      </c>
      <c r="AX780" t="s">
        <v>74</v>
      </c>
      <c r="AY780" t="s">
        <v>74</v>
      </c>
      <c r="AZ780" t="s">
        <v>74</v>
      </c>
      <c r="BA780" t="s">
        <v>74</v>
      </c>
      <c r="BB780" t="s">
        <v>74</v>
      </c>
      <c r="BC780" t="s">
        <v>74</v>
      </c>
      <c r="BD780">
        <v>669977</v>
      </c>
      <c r="BE780" t="s">
        <v>15200</v>
      </c>
      <c r="BF780" t="str">
        <f>HYPERLINK("http://dx.doi.org/10.3389/feart.2021.669977","http://dx.doi.org/10.3389/feart.2021.669977")</f>
        <v>http://dx.doi.org/10.3389/feart.2021.669977</v>
      </c>
      <c r="BG780" t="s">
        <v>74</v>
      </c>
      <c r="BH780" t="s">
        <v>74</v>
      </c>
      <c r="BI780">
        <v>14</v>
      </c>
      <c r="BJ780" t="s">
        <v>405</v>
      </c>
      <c r="BK780" t="s">
        <v>128</v>
      </c>
      <c r="BL780" t="s">
        <v>406</v>
      </c>
      <c r="BM780" t="s">
        <v>15201</v>
      </c>
      <c r="BN780" t="s">
        <v>74</v>
      </c>
      <c r="BO780" t="s">
        <v>638</v>
      </c>
      <c r="BP780" t="s">
        <v>74</v>
      </c>
      <c r="BQ780" t="s">
        <v>74</v>
      </c>
      <c r="BR780" t="s">
        <v>102</v>
      </c>
      <c r="BS780" t="s">
        <v>15202</v>
      </c>
      <c r="BT780" t="str">
        <f>HYPERLINK("https%3A%2F%2Fwww.webofscience.com%2Fwos%2Fwoscc%2Ffull-record%2FWOS:000658769800001","View Full Record in Web of Science")</f>
        <v>View Full Record in Web of Science</v>
      </c>
    </row>
    <row r="781" spans="1:72" x14ac:dyDescent="0.15">
      <c r="A781" t="s">
        <v>72</v>
      </c>
      <c r="B781" t="s">
        <v>15203</v>
      </c>
      <c r="C781" t="s">
        <v>74</v>
      </c>
      <c r="D781" t="s">
        <v>74</v>
      </c>
      <c r="E781" t="s">
        <v>74</v>
      </c>
      <c r="F781" t="s">
        <v>15204</v>
      </c>
      <c r="G781" t="s">
        <v>74</v>
      </c>
      <c r="H781" t="s">
        <v>74</v>
      </c>
      <c r="I781" t="s">
        <v>15205</v>
      </c>
      <c r="J781" t="s">
        <v>15206</v>
      </c>
      <c r="K781" t="s">
        <v>74</v>
      </c>
      <c r="L781" t="s">
        <v>74</v>
      </c>
      <c r="M781" t="s">
        <v>78</v>
      </c>
      <c r="N781" t="s">
        <v>700</v>
      </c>
      <c r="O781" t="s">
        <v>74</v>
      </c>
      <c r="P781" t="s">
        <v>74</v>
      </c>
      <c r="Q781" t="s">
        <v>74</v>
      </c>
      <c r="R781" t="s">
        <v>74</v>
      </c>
      <c r="S781" t="s">
        <v>74</v>
      </c>
      <c r="T781" t="s">
        <v>74</v>
      </c>
      <c r="U781" t="s">
        <v>15207</v>
      </c>
      <c r="V781" t="s">
        <v>15208</v>
      </c>
      <c r="W781" t="s">
        <v>15209</v>
      </c>
      <c r="X781" t="s">
        <v>15210</v>
      </c>
      <c r="Y781" t="s">
        <v>15211</v>
      </c>
      <c r="Z781" t="s">
        <v>15212</v>
      </c>
      <c r="AA781" t="s">
        <v>15213</v>
      </c>
      <c r="AB781" t="s">
        <v>15214</v>
      </c>
      <c r="AC781" t="s">
        <v>15215</v>
      </c>
      <c r="AD781" t="s">
        <v>15216</v>
      </c>
      <c r="AE781" t="s">
        <v>15217</v>
      </c>
      <c r="AF781" t="s">
        <v>74</v>
      </c>
      <c r="AG781">
        <v>343</v>
      </c>
      <c r="AH781">
        <v>72</v>
      </c>
      <c r="AI781">
        <v>80</v>
      </c>
      <c r="AJ781">
        <v>33</v>
      </c>
      <c r="AK781">
        <v>158</v>
      </c>
      <c r="AL781" t="s">
        <v>3453</v>
      </c>
      <c r="AM781" t="s">
        <v>368</v>
      </c>
      <c r="AN781" t="s">
        <v>3454</v>
      </c>
      <c r="AO781" t="s">
        <v>74</v>
      </c>
      <c r="AP781" t="s">
        <v>15218</v>
      </c>
      <c r="AQ781" t="s">
        <v>74</v>
      </c>
      <c r="AR781" t="s">
        <v>15219</v>
      </c>
      <c r="AS781" t="s">
        <v>15220</v>
      </c>
      <c r="AT781" t="s">
        <v>4571</v>
      </c>
      <c r="AU781">
        <v>2021</v>
      </c>
      <c r="AV781">
        <v>2</v>
      </c>
      <c r="AW781">
        <v>6</v>
      </c>
      <c r="AX781" t="s">
        <v>74</v>
      </c>
      <c r="AY781" t="s">
        <v>74</v>
      </c>
      <c r="AZ781" t="s">
        <v>74</v>
      </c>
      <c r="BA781" t="s">
        <v>74</v>
      </c>
      <c r="BB781">
        <v>382</v>
      </c>
      <c r="BC781">
        <v>401</v>
      </c>
      <c r="BD781" t="s">
        <v>74</v>
      </c>
      <c r="BE781" t="s">
        <v>15221</v>
      </c>
      <c r="BF781" t="str">
        <f>HYPERLINK("http://dx.doi.org/10.1038/s43017-021-00168-6","http://dx.doi.org/10.1038/s43017-021-00168-6")</f>
        <v>http://dx.doi.org/10.1038/s43017-021-00168-6</v>
      </c>
      <c r="BG781" t="s">
        <v>74</v>
      </c>
      <c r="BH781" t="s">
        <v>14415</v>
      </c>
      <c r="BI781">
        <v>20</v>
      </c>
      <c r="BJ781" t="s">
        <v>7148</v>
      </c>
      <c r="BK781" t="s">
        <v>128</v>
      </c>
      <c r="BL781" t="s">
        <v>3327</v>
      </c>
      <c r="BM781" t="s">
        <v>15222</v>
      </c>
      <c r="BN781" t="s">
        <v>74</v>
      </c>
      <c r="BO781" t="s">
        <v>74</v>
      </c>
      <c r="BP781" t="s">
        <v>2812</v>
      </c>
      <c r="BQ781" t="s">
        <v>2813</v>
      </c>
      <c r="BR781" t="s">
        <v>102</v>
      </c>
      <c r="BS781" t="s">
        <v>15223</v>
      </c>
      <c r="BT781" t="str">
        <f>HYPERLINK("https%3A%2F%2Fwww.webofscience.com%2Fwos%2Fwoscc%2Ffull-record%2FWOS:000656934800001","View Full Record in Web of Science")</f>
        <v>View Full Record in Web of Science</v>
      </c>
    </row>
    <row r="782" spans="1:72" x14ac:dyDescent="0.15">
      <c r="A782" t="s">
        <v>72</v>
      </c>
      <c r="B782" t="s">
        <v>15224</v>
      </c>
      <c r="C782" t="s">
        <v>74</v>
      </c>
      <c r="D782" t="s">
        <v>74</v>
      </c>
      <c r="E782" t="s">
        <v>74</v>
      </c>
      <c r="F782" t="s">
        <v>15225</v>
      </c>
      <c r="G782" t="s">
        <v>74</v>
      </c>
      <c r="H782" t="s">
        <v>74</v>
      </c>
      <c r="I782" t="s">
        <v>15226</v>
      </c>
      <c r="J782" t="s">
        <v>8205</v>
      </c>
      <c r="K782" t="s">
        <v>74</v>
      </c>
      <c r="L782" t="s">
        <v>74</v>
      </c>
      <c r="M782" t="s">
        <v>78</v>
      </c>
      <c r="N782" t="s">
        <v>79</v>
      </c>
      <c r="O782" t="s">
        <v>74</v>
      </c>
      <c r="P782" t="s">
        <v>74</v>
      </c>
      <c r="Q782" t="s">
        <v>74</v>
      </c>
      <c r="R782" t="s">
        <v>74</v>
      </c>
      <c r="S782" t="s">
        <v>74</v>
      </c>
      <c r="T782" t="s">
        <v>74</v>
      </c>
      <c r="U782" t="s">
        <v>15227</v>
      </c>
      <c r="V782" t="s">
        <v>15228</v>
      </c>
      <c r="W782" t="s">
        <v>15229</v>
      </c>
      <c r="X782" t="s">
        <v>15230</v>
      </c>
      <c r="Y782" t="s">
        <v>15231</v>
      </c>
      <c r="Z782" t="s">
        <v>15232</v>
      </c>
      <c r="AA782" t="s">
        <v>74</v>
      </c>
      <c r="AB782" t="s">
        <v>15233</v>
      </c>
      <c r="AC782" t="s">
        <v>3949</v>
      </c>
      <c r="AD782" t="s">
        <v>3949</v>
      </c>
      <c r="AE782" t="s">
        <v>15234</v>
      </c>
      <c r="AF782" t="s">
        <v>74</v>
      </c>
      <c r="AG782">
        <v>64</v>
      </c>
      <c r="AH782">
        <v>2</v>
      </c>
      <c r="AI782">
        <v>2</v>
      </c>
      <c r="AJ782">
        <v>1</v>
      </c>
      <c r="AK782">
        <v>6</v>
      </c>
      <c r="AL782" t="s">
        <v>3453</v>
      </c>
      <c r="AM782" t="s">
        <v>368</v>
      </c>
      <c r="AN782" t="s">
        <v>3454</v>
      </c>
      <c r="AO782" t="s">
        <v>74</v>
      </c>
      <c r="AP782" t="s">
        <v>8217</v>
      </c>
      <c r="AQ782" t="s">
        <v>74</v>
      </c>
      <c r="AR782" t="s">
        <v>8218</v>
      </c>
      <c r="AS782" t="s">
        <v>8219</v>
      </c>
      <c r="AT782" t="s">
        <v>15199</v>
      </c>
      <c r="AU782">
        <v>2021</v>
      </c>
      <c r="AV782">
        <v>2</v>
      </c>
      <c r="AW782">
        <v>1</v>
      </c>
      <c r="AX782" t="s">
        <v>74</v>
      </c>
      <c r="AY782" t="s">
        <v>74</v>
      </c>
      <c r="AZ782" t="s">
        <v>74</v>
      </c>
      <c r="BA782" t="s">
        <v>74</v>
      </c>
      <c r="BB782" t="s">
        <v>74</v>
      </c>
      <c r="BC782" t="s">
        <v>74</v>
      </c>
      <c r="BD782">
        <v>99</v>
      </c>
      <c r="BE782" t="s">
        <v>15235</v>
      </c>
      <c r="BF782" t="str">
        <f>HYPERLINK("http://dx.doi.org/10.1038/s43247-021-00166-y","http://dx.doi.org/10.1038/s43247-021-00166-y")</f>
        <v>http://dx.doi.org/10.1038/s43247-021-00166-y</v>
      </c>
      <c r="BG782" t="s">
        <v>74</v>
      </c>
      <c r="BH782" t="s">
        <v>74</v>
      </c>
      <c r="BI782">
        <v>9</v>
      </c>
      <c r="BJ782" t="s">
        <v>1044</v>
      </c>
      <c r="BK782" t="s">
        <v>128</v>
      </c>
      <c r="BL782" t="s">
        <v>1045</v>
      </c>
      <c r="BM782" t="s">
        <v>15236</v>
      </c>
      <c r="BN782" t="s">
        <v>74</v>
      </c>
      <c r="BO782" t="s">
        <v>311</v>
      </c>
      <c r="BP782" t="s">
        <v>74</v>
      </c>
      <c r="BQ782" t="s">
        <v>74</v>
      </c>
      <c r="BR782" t="s">
        <v>102</v>
      </c>
      <c r="BS782" t="s">
        <v>15237</v>
      </c>
      <c r="BT782" t="str">
        <f>HYPERLINK("https%3A%2F%2Fwww.webofscience.com%2Fwos%2Fwoscc%2Ffull-record%2FWOS:000656379000001","View Full Record in Web of Science")</f>
        <v>View Full Record in Web of Science</v>
      </c>
    </row>
    <row r="783" spans="1:72" x14ac:dyDescent="0.15">
      <c r="A783" t="s">
        <v>72</v>
      </c>
      <c r="B783" t="s">
        <v>15238</v>
      </c>
      <c r="C783" t="s">
        <v>74</v>
      </c>
      <c r="D783" t="s">
        <v>74</v>
      </c>
      <c r="E783" t="s">
        <v>74</v>
      </c>
      <c r="F783" t="s">
        <v>15239</v>
      </c>
      <c r="G783" t="s">
        <v>74</v>
      </c>
      <c r="H783" t="s">
        <v>74</v>
      </c>
      <c r="I783" t="s">
        <v>15240</v>
      </c>
      <c r="J783" t="s">
        <v>15241</v>
      </c>
      <c r="K783" t="s">
        <v>74</v>
      </c>
      <c r="L783" t="s">
        <v>74</v>
      </c>
      <c r="M783" t="s">
        <v>78</v>
      </c>
      <c r="N783" t="s">
        <v>79</v>
      </c>
      <c r="O783" t="s">
        <v>74</v>
      </c>
      <c r="P783" t="s">
        <v>74</v>
      </c>
      <c r="Q783" t="s">
        <v>74</v>
      </c>
      <c r="R783" t="s">
        <v>74</v>
      </c>
      <c r="S783" t="s">
        <v>74</v>
      </c>
      <c r="T783" t="s">
        <v>15242</v>
      </c>
      <c r="U783" t="s">
        <v>15243</v>
      </c>
      <c r="V783" t="s">
        <v>15244</v>
      </c>
      <c r="W783" t="s">
        <v>15245</v>
      </c>
      <c r="X783" t="s">
        <v>15246</v>
      </c>
      <c r="Y783" t="s">
        <v>15247</v>
      </c>
      <c r="Z783" t="s">
        <v>15248</v>
      </c>
      <c r="AA783" t="s">
        <v>15249</v>
      </c>
      <c r="AB783" t="s">
        <v>15250</v>
      </c>
      <c r="AC783" t="s">
        <v>15251</v>
      </c>
      <c r="AD783" t="s">
        <v>15251</v>
      </c>
      <c r="AE783" t="s">
        <v>15252</v>
      </c>
      <c r="AF783" t="s">
        <v>74</v>
      </c>
      <c r="AG783">
        <v>73</v>
      </c>
      <c r="AH783">
        <v>0</v>
      </c>
      <c r="AI783">
        <v>0</v>
      </c>
      <c r="AJ783">
        <v>0</v>
      </c>
      <c r="AK783">
        <v>5</v>
      </c>
      <c r="AL783" t="s">
        <v>649</v>
      </c>
      <c r="AM783" t="s">
        <v>2239</v>
      </c>
      <c r="AN783" t="s">
        <v>2240</v>
      </c>
      <c r="AO783" t="s">
        <v>15253</v>
      </c>
      <c r="AP783" t="s">
        <v>15254</v>
      </c>
      <c r="AQ783" t="s">
        <v>74</v>
      </c>
      <c r="AR783" t="s">
        <v>15255</v>
      </c>
      <c r="AS783" t="s">
        <v>15256</v>
      </c>
      <c r="AT783" t="s">
        <v>15199</v>
      </c>
      <c r="AU783">
        <v>2021</v>
      </c>
      <c r="AV783">
        <v>95</v>
      </c>
      <c r="AW783" t="s">
        <v>74</v>
      </c>
      <c r="AX783" t="s">
        <v>74</v>
      </c>
      <c r="AY783" t="s">
        <v>74</v>
      </c>
      <c r="AZ783" t="s">
        <v>74</v>
      </c>
      <c r="BA783" t="s">
        <v>74</v>
      </c>
      <c r="BB783" t="s">
        <v>74</v>
      </c>
      <c r="BC783" t="s">
        <v>74</v>
      </c>
      <c r="BD783" t="s">
        <v>15257</v>
      </c>
      <c r="BE783" t="s">
        <v>15258</v>
      </c>
      <c r="BF783" t="str">
        <f>HYPERLINK("http://dx.doi.org/10.1017/S0022149X2100016X","http://dx.doi.org/10.1017/S0022149X2100016X")</f>
        <v>http://dx.doi.org/10.1017/S0022149X2100016X</v>
      </c>
      <c r="BG783" t="s">
        <v>74</v>
      </c>
      <c r="BH783" t="s">
        <v>74</v>
      </c>
      <c r="BI783">
        <v>14</v>
      </c>
      <c r="BJ783" t="s">
        <v>15259</v>
      </c>
      <c r="BK783" t="s">
        <v>128</v>
      </c>
      <c r="BL783" t="s">
        <v>15259</v>
      </c>
      <c r="BM783" t="s">
        <v>15260</v>
      </c>
      <c r="BN783">
        <v>34030754</v>
      </c>
      <c r="BO783" t="s">
        <v>74</v>
      </c>
      <c r="BP783" t="s">
        <v>74</v>
      </c>
      <c r="BQ783" t="s">
        <v>74</v>
      </c>
      <c r="BR783" t="s">
        <v>102</v>
      </c>
      <c r="BS783" t="s">
        <v>15261</v>
      </c>
      <c r="BT783" t="str">
        <f>HYPERLINK("https%3A%2F%2Fwww.webofscience.com%2Fwos%2Fwoscc%2Ffull-record%2FWOS:000653670700001","View Full Record in Web of Science")</f>
        <v>View Full Record in Web of Science</v>
      </c>
    </row>
    <row r="784" spans="1:72" x14ac:dyDescent="0.15">
      <c r="A784" t="s">
        <v>72</v>
      </c>
      <c r="B784" t="s">
        <v>15262</v>
      </c>
      <c r="C784" t="s">
        <v>74</v>
      </c>
      <c r="D784" t="s">
        <v>74</v>
      </c>
      <c r="E784" t="s">
        <v>74</v>
      </c>
      <c r="F784" t="s">
        <v>15263</v>
      </c>
      <c r="G784" t="s">
        <v>74</v>
      </c>
      <c r="H784" t="s">
        <v>74</v>
      </c>
      <c r="I784" t="s">
        <v>15264</v>
      </c>
      <c r="J784" t="s">
        <v>14968</v>
      </c>
      <c r="K784" t="s">
        <v>74</v>
      </c>
      <c r="L784" t="s">
        <v>74</v>
      </c>
      <c r="M784" t="s">
        <v>78</v>
      </c>
      <c r="N784" t="s">
        <v>79</v>
      </c>
      <c r="O784" t="s">
        <v>74</v>
      </c>
      <c r="P784" t="s">
        <v>74</v>
      </c>
      <c r="Q784" t="s">
        <v>74</v>
      </c>
      <c r="R784" t="s">
        <v>74</v>
      </c>
      <c r="S784" t="s">
        <v>74</v>
      </c>
      <c r="T784" t="s">
        <v>15265</v>
      </c>
      <c r="U784" t="s">
        <v>15266</v>
      </c>
      <c r="V784" t="s">
        <v>15267</v>
      </c>
      <c r="W784" t="s">
        <v>15268</v>
      </c>
      <c r="X784" t="s">
        <v>15269</v>
      </c>
      <c r="Y784" t="s">
        <v>15270</v>
      </c>
      <c r="Z784" t="s">
        <v>15271</v>
      </c>
      <c r="AA784" t="s">
        <v>15272</v>
      </c>
      <c r="AB784" t="s">
        <v>15273</v>
      </c>
      <c r="AC784" t="s">
        <v>15274</v>
      </c>
      <c r="AD784" t="s">
        <v>15275</v>
      </c>
      <c r="AE784" t="s">
        <v>15276</v>
      </c>
      <c r="AF784" t="s">
        <v>74</v>
      </c>
      <c r="AG784">
        <v>65</v>
      </c>
      <c r="AH784">
        <v>0</v>
      </c>
      <c r="AI784">
        <v>0</v>
      </c>
      <c r="AJ784">
        <v>0</v>
      </c>
      <c r="AK784">
        <v>4</v>
      </c>
      <c r="AL784" t="s">
        <v>2190</v>
      </c>
      <c r="AM784" t="s">
        <v>228</v>
      </c>
      <c r="AN784" t="s">
        <v>2191</v>
      </c>
      <c r="AO784" t="s">
        <v>14981</v>
      </c>
      <c r="AP784" t="s">
        <v>14982</v>
      </c>
      <c r="AQ784" t="s">
        <v>74</v>
      </c>
      <c r="AR784" t="s">
        <v>14983</v>
      </c>
      <c r="AS784" t="s">
        <v>14984</v>
      </c>
      <c r="AT784" t="s">
        <v>535</v>
      </c>
      <c r="AU784">
        <v>2021</v>
      </c>
      <c r="AV784">
        <v>226</v>
      </c>
      <c r="AW784">
        <v>2</v>
      </c>
      <c r="AX784" t="s">
        <v>74</v>
      </c>
      <c r="AY784" t="s">
        <v>74</v>
      </c>
      <c r="AZ784" t="s">
        <v>74</v>
      </c>
      <c r="BA784" t="s">
        <v>74</v>
      </c>
      <c r="BB784">
        <v>1368</v>
      </c>
      <c r="BC784">
        <v>1389</v>
      </c>
      <c r="BD784" t="s">
        <v>74</v>
      </c>
      <c r="BE784" t="s">
        <v>15277</v>
      </c>
      <c r="BF784" t="str">
        <f>HYPERLINK("http://dx.doi.org/10.1093/gji/ggab177","http://dx.doi.org/10.1093/gji/ggab177")</f>
        <v>http://dx.doi.org/10.1093/gji/ggab177</v>
      </c>
      <c r="BG784" t="s">
        <v>74</v>
      </c>
      <c r="BH784" t="s">
        <v>14415</v>
      </c>
      <c r="BI784">
        <v>22</v>
      </c>
      <c r="BJ784" t="s">
        <v>289</v>
      </c>
      <c r="BK784" t="s">
        <v>128</v>
      </c>
      <c r="BL784" t="s">
        <v>289</v>
      </c>
      <c r="BM784" t="s">
        <v>15278</v>
      </c>
      <c r="BN784" t="s">
        <v>74</v>
      </c>
      <c r="BO784" t="s">
        <v>238</v>
      </c>
      <c r="BP784" t="s">
        <v>74</v>
      </c>
      <c r="BQ784" t="s">
        <v>74</v>
      </c>
      <c r="BR784" t="s">
        <v>102</v>
      </c>
      <c r="BS784" t="s">
        <v>15279</v>
      </c>
      <c r="BT784" t="str">
        <f>HYPERLINK("https%3A%2F%2Fwww.webofscience.com%2Fwos%2Fwoscc%2Ffull-record%2FWOS:000697667900025","View Full Record in Web of Science")</f>
        <v>View Full Record in Web of Science</v>
      </c>
    </row>
    <row r="785" spans="1:72" x14ac:dyDescent="0.15">
      <c r="A785" t="s">
        <v>72</v>
      </c>
      <c r="B785" t="s">
        <v>15280</v>
      </c>
      <c r="C785" t="s">
        <v>74</v>
      </c>
      <c r="D785" t="s">
        <v>74</v>
      </c>
      <c r="E785" t="s">
        <v>74</v>
      </c>
      <c r="F785" t="s">
        <v>15281</v>
      </c>
      <c r="G785" t="s">
        <v>74</v>
      </c>
      <c r="H785" t="s">
        <v>74</v>
      </c>
      <c r="I785" t="s">
        <v>15282</v>
      </c>
      <c r="J785" t="s">
        <v>4055</v>
      </c>
      <c r="K785" t="s">
        <v>74</v>
      </c>
      <c r="L785" t="s">
        <v>74</v>
      </c>
      <c r="M785" t="s">
        <v>78</v>
      </c>
      <c r="N785" t="s">
        <v>79</v>
      </c>
      <c r="O785" t="s">
        <v>74</v>
      </c>
      <c r="P785" t="s">
        <v>74</v>
      </c>
      <c r="Q785" t="s">
        <v>74</v>
      </c>
      <c r="R785" t="s">
        <v>74</v>
      </c>
      <c r="S785" t="s">
        <v>74</v>
      </c>
      <c r="T785" t="s">
        <v>74</v>
      </c>
      <c r="U785" t="s">
        <v>15283</v>
      </c>
      <c r="V785" t="s">
        <v>15284</v>
      </c>
      <c r="W785" t="s">
        <v>15285</v>
      </c>
      <c r="X785" t="s">
        <v>15286</v>
      </c>
      <c r="Y785" t="s">
        <v>15287</v>
      </c>
      <c r="Z785" t="s">
        <v>15288</v>
      </c>
      <c r="AA785" t="s">
        <v>15289</v>
      </c>
      <c r="AB785" t="s">
        <v>15290</v>
      </c>
      <c r="AC785" t="s">
        <v>15291</v>
      </c>
      <c r="AD785" t="s">
        <v>15292</v>
      </c>
      <c r="AE785" t="s">
        <v>15293</v>
      </c>
      <c r="AF785" t="s">
        <v>74</v>
      </c>
      <c r="AG785">
        <v>93</v>
      </c>
      <c r="AH785">
        <v>23</v>
      </c>
      <c r="AI785">
        <v>23</v>
      </c>
      <c r="AJ785">
        <v>1</v>
      </c>
      <c r="AK785">
        <v>19</v>
      </c>
      <c r="AL785" t="s">
        <v>395</v>
      </c>
      <c r="AM785" t="s">
        <v>396</v>
      </c>
      <c r="AN785" t="s">
        <v>397</v>
      </c>
      <c r="AO785" t="s">
        <v>74</v>
      </c>
      <c r="AP785" t="s">
        <v>4068</v>
      </c>
      <c r="AQ785" t="s">
        <v>74</v>
      </c>
      <c r="AR785" t="s">
        <v>4069</v>
      </c>
      <c r="AS785" t="s">
        <v>4070</v>
      </c>
      <c r="AT785" t="s">
        <v>15294</v>
      </c>
      <c r="AU785">
        <v>2021</v>
      </c>
      <c r="AV785">
        <v>12</v>
      </c>
      <c r="AW785">
        <v>1</v>
      </c>
      <c r="AX785" t="s">
        <v>74</v>
      </c>
      <c r="AY785" t="s">
        <v>74</v>
      </c>
      <c r="AZ785" t="s">
        <v>74</v>
      </c>
      <c r="BA785" t="s">
        <v>74</v>
      </c>
      <c r="BB785" t="s">
        <v>74</v>
      </c>
      <c r="BC785" t="s">
        <v>74</v>
      </c>
      <c r="BD785">
        <v>3076</v>
      </c>
      <c r="BE785" t="s">
        <v>15295</v>
      </c>
      <c r="BF785" t="str">
        <f>HYPERLINK("http://dx.doi.org/10.1038/s41467-021-23402-7","http://dx.doi.org/10.1038/s41467-021-23402-7")</f>
        <v>http://dx.doi.org/10.1038/s41467-021-23402-7</v>
      </c>
      <c r="BG785" t="s">
        <v>74</v>
      </c>
      <c r="BH785" t="s">
        <v>74</v>
      </c>
      <c r="BI785">
        <v>12</v>
      </c>
      <c r="BJ785" t="s">
        <v>2609</v>
      </c>
      <c r="BK785" t="s">
        <v>128</v>
      </c>
      <c r="BL785" t="s">
        <v>2610</v>
      </c>
      <c r="BM785" t="s">
        <v>15296</v>
      </c>
      <c r="BN785">
        <v>34031405</v>
      </c>
      <c r="BO785" t="s">
        <v>179</v>
      </c>
      <c r="BP785" t="s">
        <v>74</v>
      </c>
      <c r="BQ785" t="s">
        <v>74</v>
      </c>
      <c r="BR785" t="s">
        <v>102</v>
      </c>
      <c r="BS785" t="s">
        <v>15297</v>
      </c>
      <c r="BT785" t="str">
        <f>HYPERLINK("https%3A%2F%2Fwww.webofscience.com%2Fwos%2Fwoscc%2Ffull-record%2FWOS:000658769900028","View Full Record in Web of Science")</f>
        <v>View Full Record in Web of Science</v>
      </c>
    </row>
    <row r="786" spans="1:72" x14ac:dyDescent="0.15">
      <c r="A786" t="s">
        <v>72</v>
      </c>
      <c r="B786" t="s">
        <v>15298</v>
      </c>
      <c r="C786" t="s">
        <v>74</v>
      </c>
      <c r="D786" t="s">
        <v>74</v>
      </c>
      <c r="E786" t="s">
        <v>74</v>
      </c>
      <c r="F786" t="s">
        <v>15299</v>
      </c>
      <c r="G786" t="s">
        <v>74</v>
      </c>
      <c r="H786" t="s">
        <v>74</v>
      </c>
      <c r="I786" t="s">
        <v>15300</v>
      </c>
      <c r="J786" t="s">
        <v>243</v>
      </c>
      <c r="K786" t="s">
        <v>74</v>
      </c>
      <c r="L786" t="s">
        <v>74</v>
      </c>
      <c r="M786" t="s">
        <v>78</v>
      </c>
      <c r="N786" t="s">
        <v>79</v>
      </c>
      <c r="O786" t="s">
        <v>74</v>
      </c>
      <c r="P786" t="s">
        <v>74</v>
      </c>
      <c r="Q786" t="s">
        <v>74</v>
      </c>
      <c r="R786" t="s">
        <v>74</v>
      </c>
      <c r="S786" t="s">
        <v>74</v>
      </c>
      <c r="T786" t="s">
        <v>15301</v>
      </c>
      <c r="U786" t="s">
        <v>15302</v>
      </c>
      <c r="V786" t="s">
        <v>15303</v>
      </c>
      <c r="W786" t="s">
        <v>15304</v>
      </c>
      <c r="X786" t="s">
        <v>15305</v>
      </c>
      <c r="Y786" t="s">
        <v>15306</v>
      </c>
      <c r="Z786" t="s">
        <v>15307</v>
      </c>
      <c r="AA786" t="s">
        <v>15308</v>
      </c>
      <c r="AB786" t="s">
        <v>15309</v>
      </c>
      <c r="AC786" t="s">
        <v>15310</v>
      </c>
      <c r="AD786" t="s">
        <v>15311</v>
      </c>
      <c r="AE786" t="s">
        <v>15312</v>
      </c>
      <c r="AF786" t="s">
        <v>74</v>
      </c>
      <c r="AG786">
        <v>87</v>
      </c>
      <c r="AH786">
        <v>48</v>
      </c>
      <c r="AI786">
        <v>52</v>
      </c>
      <c r="AJ786">
        <v>16</v>
      </c>
      <c r="AK786">
        <v>202</v>
      </c>
      <c r="AL786" t="s">
        <v>89</v>
      </c>
      <c r="AM786" t="s">
        <v>90</v>
      </c>
      <c r="AN786" t="s">
        <v>91</v>
      </c>
      <c r="AO786" t="s">
        <v>256</v>
      </c>
      <c r="AP786" t="s">
        <v>257</v>
      </c>
      <c r="AQ786" t="s">
        <v>74</v>
      </c>
      <c r="AR786" t="s">
        <v>258</v>
      </c>
      <c r="AS786" t="s">
        <v>259</v>
      </c>
      <c r="AT786" t="s">
        <v>4173</v>
      </c>
      <c r="AU786">
        <v>2021</v>
      </c>
      <c r="AV786">
        <v>788</v>
      </c>
      <c r="AW786" t="s">
        <v>74</v>
      </c>
      <c r="AX786" t="s">
        <v>74</v>
      </c>
      <c r="AY786" t="s">
        <v>74</v>
      </c>
      <c r="AZ786" t="s">
        <v>74</v>
      </c>
      <c r="BA786" t="s">
        <v>74</v>
      </c>
      <c r="BB786" t="s">
        <v>74</v>
      </c>
      <c r="BC786" t="s">
        <v>74</v>
      </c>
      <c r="BD786">
        <v>147698</v>
      </c>
      <c r="BE786" t="s">
        <v>15313</v>
      </c>
      <c r="BF786" t="str">
        <f>HYPERLINK("http://dx.doi.org/10.1016/j.scitotenv.2021.147698","http://dx.doi.org/10.1016/j.scitotenv.2021.147698")</f>
        <v>http://dx.doi.org/10.1016/j.scitotenv.2021.147698</v>
      </c>
      <c r="BG786" t="s">
        <v>74</v>
      </c>
      <c r="BH786" t="s">
        <v>14415</v>
      </c>
      <c r="BI786">
        <v>11</v>
      </c>
      <c r="BJ786" t="s">
        <v>262</v>
      </c>
      <c r="BK786" t="s">
        <v>128</v>
      </c>
      <c r="BL786" t="s">
        <v>263</v>
      </c>
      <c r="BM786" t="s">
        <v>15314</v>
      </c>
      <c r="BN786">
        <v>34134362</v>
      </c>
      <c r="BO786" t="s">
        <v>514</v>
      </c>
      <c r="BP786" t="s">
        <v>74</v>
      </c>
      <c r="BQ786" t="s">
        <v>74</v>
      </c>
      <c r="BR786" t="s">
        <v>102</v>
      </c>
      <c r="BS786" t="s">
        <v>15315</v>
      </c>
      <c r="BT786" t="str">
        <f>HYPERLINK("https%3A%2F%2Fwww.webofscience.com%2Fwos%2Fwoscc%2Ffull-record%2FWOS:000662645700012","View Full Record in Web of Science")</f>
        <v>View Full Record in Web of Science</v>
      </c>
    </row>
    <row r="787" spans="1:72" x14ac:dyDescent="0.15">
      <c r="A787" t="s">
        <v>72</v>
      </c>
      <c r="B787" t="s">
        <v>15316</v>
      </c>
      <c r="C787" t="s">
        <v>74</v>
      </c>
      <c r="D787" t="s">
        <v>74</v>
      </c>
      <c r="E787" t="s">
        <v>74</v>
      </c>
      <c r="F787" t="s">
        <v>15317</v>
      </c>
      <c r="G787" t="s">
        <v>74</v>
      </c>
      <c r="H787" t="s">
        <v>74</v>
      </c>
      <c r="I787" t="s">
        <v>15318</v>
      </c>
      <c r="J787" t="s">
        <v>2594</v>
      </c>
      <c r="K787" t="s">
        <v>74</v>
      </c>
      <c r="L787" t="s">
        <v>74</v>
      </c>
      <c r="M787" t="s">
        <v>78</v>
      </c>
      <c r="N787" t="s">
        <v>79</v>
      </c>
      <c r="O787" t="s">
        <v>74</v>
      </c>
      <c r="P787" t="s">
        <v>74</v>
      </c>
      <c r="Q787" t="s">
        <v>74</v>
      </c>
      <c r="R787" t="s">
        <v>74</v>
      </c>
      <c r="S787" t="s">
        <v>74</v>
      </c>
      <c r="T787" t="s">
        <v>74</v>
      </c>
      <c r="U787" t="s">
        <v>15319</v>
      </c>
      <c r="V787" t="s">
        <v>15320</v>
      </c>
      <c r="W787" t="s">
        <v>15321</v>
      </c>
      <c r="X787" t="s">
        <v>15322</v>
      </c>
      <c r="Y787" t="s">
        <v>15323</v>
      </c>
      <c r="Z787" t="s">
        <v>15324</v>
      </c>
      <c r="AA787" t="s">
        <v>74</v>
      </c>
      <c r="AB787" t="s">
        <v>15325</v>
      </c>
      <c r="AC787" t="s">
        <v>15326</v>
      </c>
      <c r="AD787" t="s">
        <v>15327</v>
      </c>
      <c r="AE787" t="s">
        <v>15328</v>
      </c>
      <c r="AF787" t="s">
        <v>74</v>
      </c>
      <c r="AG787">
        <v>36</v>
      </c>
      <c r="AH787">
        <v>8</v>
      </c>
      <c r="AI787">
        <v>8</v>
      </c>
      <c r="AJ787">
        <v>0</v>
      </c>
      <c r="AK787">
        <v>8</v>
      </c>
      <c r="AL787" t="s">
        <v>395</v>
      </c>
      <c r="AM787" t="s">
        <v>396</v>
      </c>
      <c r="AN787" t="s">
        <v>397</v>
      </c>
      <c r="AO787" t="s">
        <v>2605</v>
      </c>
      <c r="AP787" t="s">
        <v>74</v>
      </c>
      <c r="AQ787" t="s">
        <v>74</v>
      </c>
      <c r="AR787" t="s">
        <v>2606</v>
      </c>
      <c r="AS787" t="s">
        <v>2607</v>
      </c>
      <c r="AT787" t="s">
        <v>15294</v>
      </c>
      <c r="AU787">
        <v>2021</v>
      </c>
      <c r="AV787">
        <v>11</v>
      </c>
      <c r="AW787">
        <v>1</v>
      </c>
      <c r="AX787" t="s">
        <v>74</v>
      </c>
      <c r="AY787" t="s">
        <v>74</v>
      </c>
      <c r="AZ787" t="s">
        <v>74</v>
      </c>
      <c r="BA787" t="s">
        <v>74</v>
      </c>
      <c r="BB787" t="s">
        <v>74</v>
      </c>
      <c r="BC787" t="s">
        <v>74</v>
      </c>
      <c r="BD787">
        <v>10796</v>
      </c>
      <c r="BE787" t="s">
        <v>15329</v>
      </c>
      <c r="BF787" t="str">
        <f>HYPERLINK("http://dx.doi.org/10.1038/s41598-021-90172-z","http://dx.doi.org/10.1038/s41598-021-90172-z")</f>
        <v>http://dx.doi.org/10.1038/s41598-021-90172-z</v>
      </c>
      <c r="BG787" t="s">
        <v>74</v>
      </c>
      <c r="BH787" t="s">
        <v>74</v>
      </c>
      <c r="BI787">
        <v>10</v>
      </c>
      <c r="BJ787" t="s">
        <v>2609</v>
      </c>
      <c r="BK787" t="s">
        <v>128</v>
      </c>
      <c r="BL787" t="s">
        <v>2610</v>
      </c>
      <c r="BM787" t="s">
        <v>15330</v>
      </c>
      <c r="BN787">
        <v>34031468</v>
      </c>
      <c r="BO787" t="s">
        <v>1377</v>
      </c>
      <c r="BP787" t="s">
        <v>74</v>
      </c>
      <c r="BQ787" t="s">
        <v>74</v>
      </c>
      <c r="BR787" t="s">
        <v>102</v>
      </c>
      <c r="BS787" t="s">
        <v>15331</v>
      </c>
      <c r="BT787" t="str">
        <f>HYPERLINK("https%3A%2F%2Fwww.webofscience.com%2Fwos%2Fwoscc%2Ffull-record%2FWOS:000659114900019","View Full Record in Web of Science")</f>
        <v>View Full Record in Web of Science</v>
      </c>
    </row>
    <row r="788" spans="1:72" x14ac:dyDescent="0.15">
      <c r="A788" t="s">
        <v>72</v>
      </c>
      <c r="B788" t="s">
        <v>15332</v>
      </c>
      <c r="C788" t="s">
        <v>74</v>
      </c>
      <c r="D788" t="s">
        <v>74</v>
      </c>
      <c r="E788" t="s">
        <v>74</v>
      </c>
      <c r="F788" t="s">
        <v>15333</v>
      </c>
      <c r="G788" t="s">
        <v>74</v>
      </c>
      <c r="H788" t="s">
        <v>74</v>
      </c>
      <c r="I788" t="s">
        <v>15334</v>
      </c>
      <c r="J788" t="s">
        <v>4055</v>
      </c>
      <c r="K788" t="s">
        <v>74</v>
      </c>
      <c r="L788" t="s">
        <v>74</v>
      </c>
      <c r="M788" t="s">
        <v>78</v>
      </c>
      <c r="N788" t="s">
        <v>79</v>
      </c>
      <c r="O788" t="s">
        <v>74</v>
      </c>
      <c r="P788" t="s">
        <v>74</v>
      </c>
      <c r="Q788" t="s">
        <v>74</v>
      </c>
      <c r="R788" t="s">
        <v>74</v>
      </c>
      <c r="S788" t="s">
        <v>74</v>
      </c>
      <c r="T788" t="s">
        <v>74</v>
      </c>
      <c r="U788" t="s">
        <v>15335</v>
      </c>
      <c r="V788" t="s">
        <v>15336</v>
      </c>
      <c r="W788" t="s">
        <v>15337</v>
      </c>
      <c r="X788" t="s">
        <v>15338</v>
      </c>
      <c r="Y788" t="s">
        <v>15339</v>
      </c>
      <c r="Z788" t="s">
        <v>15340</v>
      </c>
      <c r="AA788" t="s">
        <v>15341</v>
      </c>
      <c r="AB788" t="s">
        <v>15342</v>
      </c>
      <c r="AC788" t="s">
        <v>15343</v>
      </c>
      <c r="AD788" t="s">
        <v>15344</v>
      </c>
      <c r="AE788" t="s">
        <v>15345</v>
      </c>
      <c r="AF788" t="s">
        <v>74</v>
      </c>
      <c r="AG788">
        <v>97</v>
      </c>
      <c r="AH788">
        <v>16</v>
      </c>
      <c r="AI788">
        <v>17</v>
      </c>
      <c r="AJ788">
        <v>3</v>
      </c>
      <c r="AK788">
        <v>10</v>
      </c>
      <c r="AL788" t="s">
        <v>395</v>
      </c>
      <c r="AM788" t="s">
        <v>396</v>
      </c>
      <c r="AN788" t="s">
        <v>397</v>
      </c>
      <c r="AO788" t="s">
        <v>74</v>
      </c>
      <c r="AP788" t="s">
        <v>4068</v>
      </c>
      <c r="AQ788" t="s">
        <v>74</v>
      </c>
      <c r="AR788" t="s">
        <v>4069</v>
      </c>
      <c r="AS788" t="s">
        <v>4070</v>
      </c>
      <c r="AT788" t="s">
        <v>15294</v>
      </c>
      <c r="AU788">
        <v>2021</v>
      </c>
      <c r="AV788">
        <v>12</v>
      </c>
      <c r="AW788">
        <v>1</v>
      </c>
      <c r="AX788" t="s">
        <v>74</v>
      </c>
      <c r="AY788" t="s">
        <v>74</v>
      </c>
      <c r="AZ788" t="s">
        <v>74</v>
      </c>
      <c r="BA788" t="s">
        <v>74</v>
      </c>
      <c r="BB788" t="s">
        <v>74</v>
      </c>
      <c r="BC788" t="s">
        <v>74</v>
      </c>
      <c r="BD788">
        <v>3030</v>
      </c>
      <c r="BE788" t="s">
        <v>15346</v>
      </c>
      <c r="BF788" t="str">
        <f>HYPERLINK("http://dx.doi.org/10.1038/s41467-021-23093-0","http://dx.doi.org/10.1038/s41467-021-23093-0")</f>
        <v>http://dx.doi.org/10.1038/s41467-021-23093-0</v>
      </c>
      <c r="BG788" t="s">
        <v>74</v>
      </c>
      <c r="BH788" t="s">
        <v>74</v>
      </c>
      <c r="BI788">
        <v>13</v>
      </c>
      <c r="BJ788" t="s">
        <v>2609</v>
      </c>
      <c r="BK788" t="s">
        <v>128</v>
      </c>
      <c r="BL788" t="s">
        <v>2610</v>
      </c>
      <c r="BM788" t="s">
        <v>15347</v>
      </c>
      <c r="BN788">
        <v>34031401</v>
      </c>
      <c r="BO788" t="s">
        <v>1353</v>
      </c>
      <c r="BP788" t="s">
        <v>74</v>
      </c>
      <c r="BQ788" t="s">
        <v>74</v>
      </c>
      <c r="BR788" t="s">
        <v>102</v>
      </c>
      <c r="BS788" t="s">
        <v>15348</v>
      </c>
      <c r="BT788" t="str">
        <f>HYPERLINK("https%3A%2F%2Fwww.webofscience.com%2Fwos%2Fwoscc%2Ffull-record%2FWOS:000658768600002","View Full Record in Web of Science")</f>
        <v>View Full Record in Web of Science</v>
      </c>
    </row>
    <row r="789" spans="1:72" x14ac:dyDescent="0.15">
      <c r="A789" t="s">
        <v>72</v>
      </c>
      <c r="B789" t="s">
        <v>10465</v>
      </c>
      <c r="C789" t="s">
        <v>74</v>
      </c>
      <c r="D789" t="s">
        <v>74</v>
      </c>
      <c r="E789" t="s">
        <v>74</v>
      </c>
      <c r="F789" t="s">
        <v>10466</v>
      </c>
      <c r="G789" t="s">
        <v>74</v>
      </c>
      <c r="H789" t="s">
        <v>74</v>
      </c>
      <c r="I789" t="s">
        <v>15349</v>
      </c>
      <c r="J789" t="s">
        <v>5780</v>
      </c>
      <c r="K789" t="s">
        <v>74</v>
      </c>
      <c r="L789" t="s">
        <v>74</v>
      </c>
      <c r="M789" t="s">
        <v>78</v>
      </c>
      <c r="N789" t="s">
        <v>644</v>
      </c>
      <c r="O789" t="s">
        <v>74</v>
      </c>
      <c r="P789" t="s">
        <v>74</v>
      </c>
      <c r="Q789" t="s">
        <v>74</v>
      </c>
      <c r="R789" t="s">
        <v>74</v>
      </c>
      <c r="S789" t="s">
        <v>74</v>
      </c>
      <c r="T789" t="s">
        <v>74</v>
      </c>
      <c r="U789" t="s">
        <v>15350</v>
      </c>
      <c r="V789" t="s">
        <v>15351</v>
      </c>
      <c r="W789" t="s">
        <v>15352</v>
      </c>
      <c r="X789" t="s">
        <v>15353</v>
      </c>
      <c r="Y789" t="s">
        <v>15354</v>
      </c>
      <c r="Z789" t="s">
        <v>10468</v>
      </c>
      <c r="AA789" t="s">
        <v>10469</v>
      </c>
      <c r="AB789" t="s">
        <v>10470</v>
      </c>
      <c r="AC789" t="s">
        <v>15355</v>
      </c>
      <c r="AD789" t="s">
        <v>15356</v>
      </c>
      <c r="AE789" t="s">
        <v>15357</v>
      </c>
      <c r="AF789" t="s">
        <v>74</v>
      </c>
      <c r="AG789">
        <v>44</v>
      </c>
      <c r="AH789">
        <v>14</v>
      </c>
      <c r="AI789">
        <v>14</v>
      </c>
      <c r="AJ789">
        <v>0</v>
      </c>
      <c r="AK789">
        <v>10</v>
      </c>
      <c r="AL789" t="s">
        <v>395</v>
      </c>
      <c r="AM789" t="s">
        <v>396</v>
      </c>
      <c r="AN789" t="s">
        <v>397</v>
      </c>
      <c r="AO789" t="s">
        <v>5786</v>
      </c>
      <c r="AP789" t="s">
        <v>74</v>
      </c>
      <c r="AQ789" t="s">
        <v>74</v>
      </c>
      <c r="AR789" t="s">
        <v>5787</v>
      </c>
      <c r="AS789" t="s">
        <v>5788</v>
      </c>
      <c r="AT789" t="s">
        <v>535</v>
      </c>
      <c r="AU789">
        <v>2021</v>
      </c>
      <c r="AV789">
        <v>5</v>
      </c>
      <c r="AW789">
        <v>8</v>
      </c>
      <c r="AX789" t="s">
        <v>74</v>
      </c>
      <c r="AY789" t="s">
        <v>74</v>
      </c>
      <c r="AZ789" t="s">
        <v>74</v>
      </c>
      <c r="BA789" t="s">
        <v>74</v>
      </c>
      <c r="BB789">
        <v>1055</v>
      </c>
      <c r="BC789">
        <v>1059</v>
      </c>
      <c r="BD789" t="s">
        <v>74</v>
      </c>
      <c r="BE789" t="s">
        <v>15358</v>
      </c>
      <c r="BF789" t="str">
        <f>HYPERLINK("http://dx.doi.org/10.1038/s41559-021-01466-4","http://dx.doi.org/10.1038/s41559-021-01466-4")</f>
        <v>http://dx.doi.org/10.1038/s41559-021-01466-4</v>
      </c>
      <c r="BG789" t="s">
        <v>74</v>
      </c>
      <c r="BH789" t="s">
        <v>14415</v>
      </c>
      <c r="BI789">
        <v>5</v>
      </c>
      <c r="BJ789" t="s">
        <v>2696</v>
      </c>
      <c r="BK789" t="s">
        <v>100</v>
      </c>
      <c r="BL789" t="s">
        <v>2697</v>
      </c>
      <c r="BM789" t="s">
        <v>10472</v>
      </c>
      <c r="BN789">
        <v>34031568</v>
      </c>
      <c r="BO789" t="s">
        <v>74</v>
      </c>
      <c r="BP789" t="s">
        <v>74</v>
      </c>
      <c r="BQ789" t="s">
        <v>74</v>
      </c>
      <c r="BR789" t="s">
        <v>102</v>
      </c>
      <c r="BS789" t="s">
        <v>15359</v>
      </c>
      <c r="BT789" t="str">
        <f>HYPERLINK("https%3A%2F%2Fwww.webofscience.com%2Fwos%2Fwoscc%2Ffull-record%2FWOS:000653692400003","View Full Record in Web of Science")</f>
        <v>View Full Record in Web of Science</v>
      </c>
    </row>
    <row r="790" spans="1:72" x14ac:dyDescent="0.15">
      <c r="A790" t="s">
        <v>72</v>
      </c>
      <c r="B790" t="s">
        <v>15360</v>
      </c>
      <c r="C790" t="s">
        <v>74</v>
      </c>
      <c r="D790" t="s">
        <v>74</v>
      </c>
      <c r="E790" t="s">
        <v>74</v>
      </c>
      <c r="F790" t="s">
        <v>15361</v>
      </c>
      <c r="G790" t="s">
        <v>74</v>
      </c>
      <c r="H790" t="s">
        <v>74</v>
      </c>
      <c r="I790" t="s">
        <v>15362</v>
      </c>
      <c r="J790" t="s">
        <v>107</v>
      </c>
      <c r="K790" t="s">
        <v>74</v>
      </c>
      <c r="L790" t="s">
        <v>74</v>
      </c>
      <c r="M790" t="s">
        <v>78</v>
      </c>
      <c r="N790" t="s">
        <v>3298</v>
      </c>
      <c r="O790" t="s">
        <v>74</v>
      </c>
      <c r="P790" t="s">
        <v>74</v>
      </c>
      <c r="Q790" t="s">
        <v>74</v>
      </c>
      <c r="R790" t="s">
        <v>74</v>
      </c>
      <c r="S790" t="s">
        <v>74</v>
      </c>
      <c r="T790" t="s">
        <v>15363</v>
      </c>
      <c r="U790" t="s">
        <v>74</v>
      </c>
      <c r="V790" t="s">
        <v>74</v>
      </c>
      <c r="W790" t="s">
        <v>15364</v>
      </c>
      <c r="X790" t="s">
        <v>15365</v>
      </c>
      <c r="Y790" t="s">
        <v>15366</v>
      </c>
      <c r="Z790" t="s">
        <v>15367</v>
      </c>
      <c r="AA790" t="s">
        <v>15368</v>
      </c>
      <c r="AB790" t="s">
        <v>15369</v>
      </c>
      <c r="AC790" t="s">
        <v>15370</v>
      </c>
      <c r="AD790" t="s">
        <v>3525</v>
      </c>
      <c r="AE790" t="s">
        <v>74</v>
      </c>
      <c r="AF790" t="s">
        <v>74</v>
      </c>
      <c r="AG790">
        <v>1</v>
      </c>
      <c r="AH790">
        <v>0</v>
      </c>
      <c r="AI790">
        <v>0</v>
      </c>
      <c r="AJ790">
        <v>3</v>
      </c>
      <c r="AK790">
        <v>17</v>
      </c>
      <c r="AL790" t="s">
        <v>119</v>
      </c>
      <c r="AM790" t="s">
        <v>120</v>
      </c>
      <c r="AN790" t="s">
        <v>121</v>
      </c>
      <c r="AO790" t="s">
        <v>74</v>
      </c>
      <c r="AP790" t="s">
        <v>122</v>
      </c>
      <c r="AQ790" t="s">
        <v>74</v>
      </c>
      <c r="AR790" t="s">
        <v>123</v>
      </c>
      <c r="AS790" t="s">
        <v>124</v>
      </c>
      <c r="AT790" t="s">
        <v>15294</v>
      </c>
      <c r="AU790">
        <v>2021</v>
      </c>
      <c r="AV790">
        <v>8</v>
      </c>
      <c r="AW790" t="s">
        <v>74</v>
      </c>
      <c r="AX790" t="s">
        <v>74</v>
      </c>
      <c r="AY790" t="s">
        <v>74</v>
      </c>
      <c r="AZ790" t="s">
        <v>74</v>
      </c>
      <c r="BA790" t="s">
        <v>74</v>
      </c>
      <c r="BB790" t="s">
        <v>74</v>
      </c>
      <c r="BC790" t="s">
        <v>74</v>
      </c>
      <c r="BD790">
        <v>696100</v>
      </c>
      <c r="BE790" t="s">
        <v>15371</v>
      </c>
      <c r="BF790" t="str">
        <f>HYPERLINK("http://dx.doi.org/10.3389/fmars.2021.696100","http://dx.doi.org/10.3389/fmars.2021.696100")</f>
        <v>http://dx.doi.org/10.3389/fmars.2021.696100</v>
      </c>
      <c r="BG790" t="s">
        <v>74</v>
      </c>
      <c r="BH790" t="s">
        <v>74</v>
      </c>
      <c r="BI790">
        <v>2</v>
      </c>
      <c r="BJ790" t="s">
        <v>127</v>
      </c>
      <c r="BK790" t="s">
        <v>128</v>
      </c>
      <c r="BL790" t="s">
        <v>129</v>
      </c>
      <c r="BM790" t="s">
        <v>15372</v>
      </c>
      <c r="BN790" t="s">
        <v>74</v>
      </c>
      <c r="BO790" t="s">
        <v>1377</v>
      </c>
      <c r="BP790" t="s">
        <v>74</v>
      </c>
      <c r="BQ790" t="s">
        <v>74</v>
      </c>
      <c r="BR790" t="s">
        <v>102</v>
      </c>
      <c r="BS790" t="s">
        <v>15373</v>
      </c>
      <c r="BT790" t="str">
        <f>HYPERLINK("https%3A%2F%2Fwww.webofscience.com%2Fwos%2Fwoscc%2Ffull-record%2FWOS:000660686900001","View Full Record in Web of Science")</f>
        <v>View Full Record in Web of Science</v>
      </c>
    </row>
    <row r="791" spans="1:72" x14ac:dyDescent="0.15">
      <c r="A791" t="s">
        <v>72</v>
      </c>
      <c r="B791" t="s">
        <v>15374</v>
      </c>
      <c r="C791" t="s">
        <v>74</v>
      </c>
      <c r="D791" t="s">
        <v>74</v>
      </c>
      <c r="E791" t="s">
        <v>74</v>
      </c>
      <c r="F791" t="s">
        <v>15375</v>
      </c>
      <c r="G791" t="s">
        <v>74</v>
      </c>
      <c r="H791" t="s">
        <v>74</v>
      </c>
      <c r="I791" t="s">
        <v>15376</v>
      </c>
      <c r="J791" t="s">
        <v>184</v>
      </c>
      <c r="K791" t="s">
        <v>74</v>
      </c>
      <c r="L791" t="s">
        <v>74</v>
      </c>
      <c r="M791" t="s">
        <v>78</v>
      </c>
      <c r="N791" t="s">
        <v>79</v>
      </c>
      <c r="O791" t="s">
        <v>74</v>
      </c>
      <c r="P791" t="s">
        <v>74</v>
      </c>
      <c r="Q791" t="s">
        <v>74</v>
      </c>
      <c r="R791" t="s">
        <v>74</v>
      </c>
      <c r="S791" t="s">
        <v>74</v>
      </c>
      <c r="T791" t="s">
        <v>15377</v>
      </c>
      <c r="U791" t="s">
        <v>15378</v>
      </c>
      <c r="V791" t="s">
        <v>15379</v>
      </c>
      <c r="W791" t="s">
        <v>15380</v>
      </c>
      <c r="X791" t="s">
        <v>15381</v>
      </c>
      <c r="Y791" t="s">
        <v>15382</v>
      </c>
      <c r="Z791" t="s">
        <v>15383</v>
      </c>
      <c r="AA791" t="s">
        <v>15384</v>
      </c>
      <c r="AB791" t="s">
        <v>15385</v>
      </c>
      <c r="AC791" t="s">
        <v>15386</v>
      </c>
      <c r="AD791" t="s">
        <v>15387</v>
      </c>
      <c r="AE791" t="s">
        <v>15388</v>
      </c>
      <c r="AF791" t="s">
        <v>74</v>
      </c>
      <c r="AG791">
        <v>112</v>
      </c>
      <c r="AH791">
        <v>15</v>
      </c>
      <c r="AI791">
        <v>15</v>
      </c>
      <c r="AJ791">
        <v>4</v>
      </c>
      <c r="AK791">
        <v>24</v>
      </c>
      <c r="AL791" t="s">
        <v>197</v>
      </c>
      <c r="AM791" t="s">
        <v>198</v>
      </c>
      <c r="AN791" t="s">
        <v>199</v>
      </c>
      <c r="AO791" t="s">
        <v>200</v>
      </c>
      <c r="AP791" t="s">
        <v>201</v>
      </c>
      <c r="AQ791" t="s">
        <v>74</v>
      </c>
      <c r="AR791" t="s">
        <v>202</v>
      </c>
      <c r="AS791" t="s">
        <v>203</v>
      </c>
      <c r="AT791" t="s">
        <v>535</v>
      </c>
      <c r="AU791">
        <v>2021</v>
      </c>
      <c r="AV791">
        <v>27</v>
      </c>
      <c r="AW791">
        <v>15</v>
      </c>
      <c r="AX791" t="s">
        <v>74</v>
      </c>
      <c r="AY791" t="s">
        <v>74</v>
      </c>
      <c r="AZ791" t="s">
        <v>74</v>
      </c>
      <c r="BA791" t="s">
        <v>74</v>
      </c>
      <c r="BB791">
        <v>3487</v>
      </c>
      <c r="BC791">
        <v>3504</v>
      </c>
      <c r="BD791" t="s">
        <v>74</v>
      </c>
      <c r="BE791" t="s">
        <v>15389</v>
      </c>
      <c r="BF791" t="str">
        <f>HYPERLINK("http://dx.doi.org/10.1111/gcb.15674","http://dx.doi.org/10.1111/gcb.15674")</f>
        <v>http://dx.doi.org/10.1111/gcb.15674</v>
      </c>
      <c r="BG791" t="s">
        <v>74</v>
      </c>
      <c r="BH791" t="s">
        <v>14415</v>
      </c>
      <c r="BI791">
        <v>18</v>
      </c>
      <c r="BJ791" t="s">
        <v>206</v>
      </c>
      <c r="BK791" t="s">
        <v>128</v>
      </c>
      <c r="BL791" t="s">
        <v>207</v>
      </c>
      <c r="BM791" t="s">
        <v>15390</v>
      </c>
      <c r="BN791">
        <v>33964095</v>
      </c>
      <c r="BO791" t="s">
        <v>6693</v>
      </c>
      <c r="BP791" t="s">
        <v>74</v>
      </c>
      <c r="BQ791" t="s">
        <v>74</v>
      </c>
      <c r="BR791" t="s">
        <v>102</v>
      </c>
      <c r="BS791" t="s">
        <v>15391</v>
      </c>
      <c r="BT791" t="str">
        <f>HYPERLINK("https%3A%2F%2Fwww.webofscience.com%2Fwos%2Fwoscc%2Ffull-record%2FWOS:000653105600001","View Full Record in Web of Science")</f>
        <v>View Full Record in Web of Science</v>
      </c>
    </row>
    <row r="792" spans="1:72" x14ac:dyDescent="0.15">
      <c r="A792" t="s">
        <v>72</v>
      </c>
      <c r="B792" t="s">
        <v>15392</v>
      </c>
      <c r="C792" t="s">
        <v>74</v>
      </c>
      <c r="D792" t="s">
        <v>74</v>
      </c>
      <c r="E792" t="s">
        <v>74</v>
      </c>
      <c r="F792" t="s">
        <v>15393</v>
      </c>
      <c r="G792" t="s">
        <v>74</v>
      </c>
      <c r="H792" t="s">
        <v>74</v>
      </c>
      <c r="I792" t="s">
        <v>15394</v>
      </c>
      <c r="J792" t="s">
        <v>3729</v>
      </c>
      <c r="K792" t="s">
        <v>74</v>
      </c>
      <c r="L792" t="s">
        <v>74</v>
      </c>
      <c r="M792" t="s">
        <v>78</v>
      </c>
      <c r="N792" t="s">
        <v>79</v>
      </c>
      <c r="O792" t="s">
        <v>74</v>
      </c>
      <c r="P792" t="s">
        <v>74</v>
      </c>
      <c r="Q792" t="s">
        <v>74</v>
      </c>
      <c r="R792" t="s">
        <v>74</v>
      </c>
      <c r="S792" t="s">
        <v>74</v>
      </c>
      <c r="T792" t="s">
        <v>15395</v>
      </c>
      <c r="U792" t="s">
        <v>15396</v>
      </c>
      <c r="V792" t="s">
        <v>15397</v>
      </c>
      <c r="W792" t="s">
        <v>15398</v>
      </c>
      <c r="X792" t="s">
        <v>15399</v>
      </c>
      <c r="Y792" t="s">
        <v>15400</v>
      </c>
      <c r="Z792" t="s">
        <v>15401</v>
      </c>
      <c r="AA792" t="s">
        <v>15402</v>
      </c>
      <c r="AB792" t="s">
        <v>15403</v>
      </c>
      <c r="AC792" t="s">
        <v>15404</v>
      </c>
      <c r="AD792" t="s">
        <v>15405</v>
      </c>
      <c r="AE792" t="s">
        <v>15406</v>
      </c>
      <c r="AF792" t="s">
        <v>74</v>
      </c>
      <c r="AG792">
        <v>76</v>
      </c>
      <c r="AH792">
        <v>6</v>
      </c>
      <c r="AI792">
        <v>6</v>
      </c>
      <c r="AJ792">
        <v>3</v>
      </c>
      <c r="AK792">
        <v>20</v>
      </c>
      <c r="AL792" t="s">
        <v>281</v>
      </c>
      <c r="AM792" t="s">
        <v>228</v>
      </c>
      <c r="AN792" t="s">
        <v>282</v>
      </c>
      <c r="AO792" t="s">
        <v>3742</v>
      </c>
      <c r="AP792" t="s">
        <v>3743</v>
      </c>
      <c r="AQ792" t="s">
        <v>74</v>
      </c>
      <c r="AR792" t="s">
        <v>3744</v>
      </c>
      <c r="AS792" t="s">
        <v>3745</v>
      </c>
      <c r="AT792" t="s">
        <v>6527</v>
      </c>
      <c r="AU792">
        <v>2021</v>
      </c>
      <c r="AV792">
        <v>263</v>
      </c>
      <c r="AW792" t="s">
        <v>74</v>
      </c>
      <c r="AX792" t="s">
        <v>74</v>
      </c>
      <c r="AY792" t="s">
        <v>74</v>
      </c>
      <c r="AZ792" t="s">
        <v>74</v>
      </c>
      <c r="BA792" t="s">
        <v>74</v>
      </c>
      <c r="BB792" t="s">
        <v>74</v>
      </c>
      <c r="BC792" t="s">
        <v>74</v>
      </c>
      <c r="BD792">
        <v>106978</v>
      </c>
      <c r="BE792" t="s">
        <v>15407</v>
      </c>
      <c r="BF792" t="str">
        <f>HYPERLINK("http://dx.doi.org/10.1016/j.quascirev.2021.106978","http://dx.doi.org/10.1016/j.quascirev.2021.106978")</f>
        <v>http://dx.doi.org/10.1016/j.quascirev.2021.106978</v>
      </c>
      <c r="BG792" t="s">
        <v>74</v>
      </c>
      <c r="BH792" t="s">
        <v>14415</v>
      </c>
      <c r="BI792">
        <v>10</v>
      </c>
      <c r="BJ792" t="s">
        <v>151</v>
      </c>
      <c r="BK792" t="s">
        <v>128</v>
      </c>
      <c r="BL792" t="s">
        <v>152</v>
      </c>
      <c r="BM792" t="s">
        <v>15408</v>
      </c>
      <c r="BN792" t="s">
        <v>74</v>
      </c>
      <c r="BO792" t="s">
        <v>1154</v>
      </c>
      <c r="BP792" t="s">
        <v>74</v>
      </c>
      <c r="BQ792" t="s">
        <v>74</v>
      </c>
      <c r="BR792" t="s">
        <v>102</v>
      </c>
      <c r="BS792" t="s">
        <v>15409</v>
      </c>
      <c r="BT792" t="str">
        <f>HYPERLINK("https%3A%2F%2Fwww.webofscience.com%2Fwos%2Fwoscc%2Ffull-record%2FWOS:000664741500002","View Full Record in Web of Science")</f>
        <v>View Full Record in Web of Science</v>
      </c>
    </row>
    <row r="793" spans="1:72" x14ac:dyDescent="0.15">
      <c r="A793" t="s">
        <v>72</v>
      </c>
      <c r="B793" t="s">
        <v>15410</v>
      </c>
      <c r="C793" t="s">
        <v>74</v>
      </c>
      <c r="D793" t="s">
        <v>74</v>
      </c>
      <c r="E793" t="s">
        <v>74</v>
      </c>
      <c r="F793" t="s">
        <v>15411</v>
      </c>
      <c r="G793" t="s">
        <v>74</v>
      </c>
      <c r="H793" t="s">
        <v>74</v>
      </c>
      <c r="I793" t="s">
        <v>15412</v>
      </c>
      <c r="J793" t="s">
        <v>15413</v>
      </c>
      <c r="K793" t="s">
        <v>74</v>
      </c>
      <c r="L793" t="s">
        <v>74</v>
      </c>
      <c r="M793" t="s">
        <v>78</v>
      </c>
      <c r="N793" t="s">
        <v>79</v>
      </c>
      <c r="O793" t="s">
        <v>74</v>
      </c>
      <c r="P793" t="s">
        <v>74</v>
      </c>
      <c r="Q793" t="s">
        <v>74</v>
      </c>
      <c r="R793" t="s">
        <v>74</v>
      </c>
      <c r="S793" t="s">
        <v>74</v>
      </c>
      <c r="T793" t="s">
        <v>15414</v>
      </c>
      <c r="U793" t="s">
        <v>15415</v>
      </c>
      <c r="V793" t="s">
        <v>15416</v>
      </c>
      <c r="W793" t="s">
        <v>15417</v>
      </c>
      <c r="X793" t="s">
        <v>15418</v>
      </c>
      <c r="Y793" t="s">
        <v>15419</v>
      </c>
      <c r="Z793" t="s">
        <v>15420</v>
      </c>
      <c r="AA793" t="s">
        <v>15421</v>
      </c>
      <c r="AB793" t="s">
        <v>15422</v>
      </c>
      <c r="AC793" t="s">
        <v>15423</v>
      </c>
      <c r="AD793" t="s">
        <v>15423</v>
      </c>
      <c r="AE793" t="s">
        <v>15424</v>
      </c>
      <c r="AF793" t="s">
        <v>74</v>
      </c>
      <c r="AG793">
        <v>57</v>
      </c>
      <c r="AH793">
        <v>5</v>
      </c>
      <c r="AI793">
        <v>5</v>
      </c>
      <c r="AJ793">
        <v>1</v>
      </c>
      <c r="AK793">
        <v>17</v>
      </c>
      <c r="AL793" t="s">
        <v>281</v>
      </c>
      <c r="AM793" t="s">
        <v>228</v>
      </c>
      <c r="AN793" t="s">
        <v>282</v>
      </c>
      <c r="AO793" t="s">
        <v>15425</v>
      </c>
      <c r="AP793" t="s">
        <v>15426</v>
      </c>
      <c r="AQ793" t="s">
        <v>74</v>
      </c>
      <c r="AR793" t="s">
        <v>15427</v>
      </c>
      <c r="AS793" t="s">
        <v>15428</v>
      </c>
      <c r="AT793" t="s">
        <v>6527</v>
      </c>
      <c r="AU793">
        <v>2021</v>
      </c>
      <c r="AV793">
        <v>223</v>
      </c>
      <c r="AW793" t="s">
        <v>74</v>
      </c>
      <c r="AX793" t="s">
        <v>74</v>
      </c>
      <c r="AY793" t="s">
        <v>74</v>
      </c>
      <c r="AZ793" t="s">
        <v>74</v>
      </c>
      <c r="BA793" t="s">
        <v>74</v>
      </c>
      <c r="BB793" t="s">
        <v>74</v>
      </c>
      <c r="BC793" t="s">
        <v>74</v>
      </c>
      <c r="BD793">
        <v>104439</v>
      </c>
      <c r="BE793" t="s">
        <v>15429</v>
      </c>
      <c r="BF793" t="str">
        <f>HYPERLINK("http://dx.doi.org/10.1016/j.csr.2021.104439","http://dx.doi.org/10.1016/j.csr.2021.104439")</f>
        <v>http://dx.doi.org/10.1016/j.csr.2021.104439</v>
      </c>
      <c r="BG793" t="s">
        <v>74</v>
      </c>
      <c r="BH793" t="s">
        <v>14415</v>
      </c>
      <c r="BI793">
        <v>11</v>
      </c>
      <c r="BJ793" t="s">
        <v>1134</v>
      </c>
      <c r="BK793" t="s">
        <v>128</v>
      </c>
      <c r="BL793" t="s">
        <v>1134</v>
      </c>
      <c r="BM793" t="s">
        <v>15430</v>
      </c>
      <c r="BN793" t="s">
        <v>74</v>
      </c>
      <c r="BO793" t="s">
        <v>74</v>
      </c>
      <c r="BP793" t="s">
        <v>74</v>
      </c>
      <c r="BQ793" t="s">
        <v>74</v>
      </c>
      <c r="BR793" t="s">
        <v>102</v>
      </c>
      <c r="BS793" t="s">
        <v>15431</v>
      </c>
      <c r="BT793" t="str">
        <f>HYPERLINK("https%3A%2F%2Fwww.webofscience.com%2Fwos%2Fwoscc%2Ffull-record%2FWOS:000655514800002","View Full Record in Web of Science")</f>
        <v>View Full Record in Web of Science</v>
      </c>
    </row>
    <row r="794" spans="1:72" x14ac:dyDescent="0.15">
      <c r="A794" t="s">
        <v>72</v>
      </c>
      <c r="B794" t="s">
        <v>15432</v>
      </c>
      <c r="C794" t="s">
        <v>74</v>
      </c>
      <c r="D794" t="s">
        <v>74</v>
      </c>
      <c r="E794" t="s">
        <v>74</v>
      </c>
      <c r="F794" t="s">
        <v>15433</v>
      </c>
      <c r="G794" t="s">
        <v>74</v>
      </c>
      <c r="H794" t="s">
        <v>74</v>
      </c>
      <c r="I794" t="s">
        <v>15434</v>
      </c>
      <c r="J794" t="s">
        <v>3210</v>
      </c>
      <c r="K794" t="s">
        <v>74</v>
      </c>
      <c r="L794" t="s">
        <v>74</v>
      </c>
      <c r="M794" t="s">
        <v>78</v>
      </c>
      <c r="N794" t="s">
        <v>79</v>
      </c>
      <c r="O794" t="s">
        <v>74</v>
      </c>
      <c r="P794" t="s">
        <v>74</v>
      </c>
      <c r="Q794" t="s">
        <v>74</v>
      </c>
      <c r="R794" t="s">
        <v>74</v>
      </c>
      <c r="S794" t="s">
        <v>74</v>
      </c>
      <c r="T794" t="s">
        <v>15435</v>
      </c>
      <c r="U794" t="s">
        <v>15436</v>
      </c>
      <c r="V794" t="s">
        <v>15437</v>
      </c>
      <c r="W794" t="s">
        <v>15438</v>
      </c>
      <c r="X794" t="s">
        <v>15439</v>
      </c>
      <c r="Y794" t="s">
        <v>15440</v>
      </c>
      <c r="Z794" t="s">
        <v>15441</v>
      </c>
      <c r="AA794" t="s">
        <v>15442</v>
      </c>
      <c r="AB794" t="s">
        <v>15443</v>
      </c>
      <c r="AC794" t="s">
        <v>15444</v>
      </c>
      <c r="AD794" t="s">
        <v>15445</v>
      </c>
      <c r="AE794" t="s">
        <v>15446</v>
      </c>
      <c r="AF794" t="s">
        <v>74</v>
      </c>
      <c r="AG794">
        <v>75</v>
      </c>
      <c r="AH794">
        <v>12</v>
      </c>
      <c r="AI794">
        <v>12</v>
      </c>
      <c r="AJ794">
        <v>4</v>
      </c>
      <c r="AK794">
        <v>26</v>
      </c>
      <c r="AL794" t="s">
        <v>281</v>
      </c>
      <c r="AM794" t="s">
        <v>228</v>
      </c>
      <c r="AN794" t="s">
        <v>282</v>
      </c>
      <c r="AO794" t="s">
        <v>3222</v>
      </c>
      <c r="AP794" t="s">
        <v>3223</v>
      </c>
      <c r="AQ794" t="s">
        <v>74</v>
      </c>
      <c r="AR794" t="s">
        <v>3224</v>
      </c>
      <c r="AS794" t="s">
        <v>3225</v>
      </c>
      <c r="AT794" t="s">
        <v>333</v>
      </c>
      <c r="AU794">
        <v>2021</v>
      </c>
      <c r="AV794">
        <v>233</v>
      </c>
      <c r="AW794" t="s">
        <v>74</v>
      </c>
      <c r="AX794" t="s">
        <v>74</v>
      </c>
      <c r="AY794" t="s">
        <v>74</v>
      </c>
      <c r="AZ794" t="s">
        <v>74</v>
      </c>
      <c r="BA794" t="s">
        <v>74</v>
      </c>
      <c r="BB794" t="s">
        <v>74</v>
      </c>
      <c r="BC794" t="s">
        <v>74</v>
      </c>
      <c r="BD794">
        <v>109112</v>
      </c>
      <c r="BE794" t="s">
        <v>15447</v>
      </c>
      <c r="BF794" t="str">
        <f>HYPERLINK("http://dx.doi.org/10.1016/j.oceaneng.2021.109112","http://dx.doi.org/10.1016/j.oceaneng.2021.109112")</f>
        <v>http://dx.doi.org/10.1016/j.oceaneng.2021.109112</v>
      </c>
      <c r="BG794" t="s">
        <v>74</v>
      </c>
      <c r="BH794" t="s">
        <v>14415</v>
      </c>
      <c r="BI794">
        <v>19</v>
      </c>
      <c r="BJ794" t="s">
        <v>3227</v>
      </c>
      <c r="BK794" t="s">
        <v>128</v>
      </c>
      <c r="BL794" t="s">
        <v>1625</v>
      </c>
      <c r="BM794" t="s">
        <v>15448</v>
      </c>
      <c r="BN794" t="s">
        <v>74</v>
      </c>
      <c r="BO794" t="s">
        <v>74</v>
      </c>
      <c r="BP794" t="s">
        <v>74</v>
      </c>
      <c r="BQ794" t="s">
        <v>74</v>
      </c>
      <c r="BR794" t="s">
        <v>102</v>
      </c>
      <c r="BS794" t="s">
        <v>15449</v>
      </c>
      <c r="BT794" t="str">
        <f>HYPERLINK("https%3A%2F%2Fwww.webofscience.com%2Fwos%2Fwoscc%2Ffull-record%2FWOS:000661134200029","View Full Record in Web of Science")</f>
        <v>View Full Record in Web of Science</v>
      </c>
    </row>
    <row r="795" spans="1:72" x14ac:dyDescent="0.15">
      <c r="A795" t="s">
        <v>72</v>
      </c>
      <c r="B795" t="s">
        <v>15450</v>
      </c>
      <c r="C795" t="s">
        <v>74</v>
      </c>
      <c r="D795" t="s">
        <v>74</v>
      </c>
      <c r="E795" t="s">
        <v>74</v>
      </c>
      <c r="F795" t="s">
        <v>15451</v>
      </c>
      <c r="G795" t="s">
        <v>74</v>
      </c>
      <c r="H795" t="s">
        <v>74</v>
      </c>
      <c r="I795" t="s">
        <v>15452</v>
      </c>
      <c r="J795" t="s">
        <v>2862</v>
      </c>
      <c r="K795" t="s">
        <v>74</v>
      </c>
      <c r="L795" t="s">
        <v>74</v>
      </c>
      <c r="M795" t="s">
        <v>78</v>
      </c>
      <c r="N795" t="s">
        <v>79</v>
      </c>
      <c r="O795" t="s">
        <v>74</v>
      </c>
      <c r="P795" t="s">
        <v>74</v>
      </c>
      <c r="Q795" t="s">
        <v>74</v>
      </c>
      <c r="R795" t="s">
        <v>74</v>
      </c>
      <c r="S795" t="s">
        <v>74</v>
      </c>
      <c r="T795" t="s">
        <v>15453</v>
      </c>
      <c r="U795" t="s">
        <v>15454</v>
      </c>
      <c r="V795" t="s">
        <v>15455</v>
      </c>
      <c r="W795" t="s">
        <v>15456</v>
      </c>
      <c r="X795" t="s">
        <v>15457</v>
      </c>
      <c r="Y795" t="s">
        <v>15458</v>
      </c>
      <c r="Z795" t="s">
        <v>15459</v>
      </c>
      <c r="AA795" t="s">
        <v>15460</v>
      </c>
      <c r="AB795" t="s">
        <v>15461</v>
      </c>
      <c r="AC795" t="s">
        <v>15462</v>
      </c>
      <c r="AD795" t="s">
        <v>15463</v>
      </c>
      <c r="AE795" t="s">
        <v>15464</v>
      </c>
      <c r="AF795" t="s">
        <v>74</v>
      </c>
      <c r="AG795">
        <v>60</v>
      </c>
      <c r="AH795">
        <v>1</v>
      </c>
      <c r="AI795">
        <v>1</v>
      </c>
      <c r="AJ795">
        <v>3</v>
      </c>
      <c r="AK795">
        <v>8</v>
      </c>
      <c r="AL795" t="s">
        <v>450</v>
      </c>
      <c r="AM795" t="s">
        <v>650</v>
      </c>
      <c r="AN795" t="s">
        <v>1957</v>
      </c>
      <c r="AO795" t="s">
        <v>2874</v>
      </c>
      <c r="AP795" t="s">
        <v>2875</v>
      </c>
      <c r="AQ795" t="s">
        <v>74</v>
      </c>
      <c r="AR795" t="s">
        <v>2876</v>
      </c>
      <c r="AS795" t="s">
        <v>2877</v>
      </c>
      <c r="AT795" t="s">
        <v>430</v>
      </c>
      <c r="AU795">
        <v>2021</v>
      </c>
      <c r="AV795">
        <v>44</v>
      </c>
      <c r="AW795">
        <v>7</v>
      </c>
      <c r="AX795" t="s">
        <v>74</v>
      </c>
      <c r="AY795" t="s">
        <v>74</v>
      </c>
      <c r="AZ795" t="s">
        <v>74</v>
      </c>
      <c r="BA795" t="s">
        <v>74</v>
      </c>
      <c r="BB795">
        <v>1343</v>
      </c>
      <c r="BC795">
        <v>1352</v>
      </c>
      <c r="BD795" t="s">
        <v>74</v>
      </c>
      <c r="BE795" t="s">
        <v>15465</v>
      </c>
      <c r="BF795" t="str">
        <f>HYPERLINK("http://dx.doi.org/10.1007/s00300-021-02882-9","http://dx.doi.org/10.1007/s00300-021-02882-9")</f>
        <v>http://dx.doi.org/10.1007/s00300-021-02882-9</v>
      </c>
      <c r="BG795" t="s">
        <v>74</v>
      </c>
      <c r="BH795" t="s">
        <v>14415</v>
      </c>
      <c r="BI795">
        <v>10</v>
      </c>
      <c r="BJ795" t="s">
        <v>1883</v>
      </c>
      <c r="BK795" t="s">
        <v>128</v>
      </c>
      <c r="BL795" t="s">
        <v>207</v>
      </c>
      <c r="BM795" t="s">
        <v>10717</v>
      </c>
      <c r="BN795" t="s">
        <v>74</v>
      </c>
      <c r="BO795" t="s">
        <v>74</v>
      </c>
      <c r="BP795" t="s">
        <v>74</v>
      </c>
      <c r="BQ795" t="s">
        <v>74</v>
      </c>
      <c r="BR795" t="s">
        <v>102</v>
      </c>
      <c r="BS795" t="s">
        <v>15466</v>
      </c>
      <c r="BT795" t="str">
        <f>HYPERLINK("https%3A%2F%2Fwww.webofscience.com%2Fwos%2Fwoscc%2Ffull-record%2FWOS:000652939100001","View Full Record in Web of Science")</f>
        <v>View Full Record in Web of Science</v>
      </c>
    </row>
    <row r="796" spans="1:72" x14ac:dyDescent="0.15">
      <c r="A796" t="s">
        <v>72</v>
      </c>
      <c r="B796" t="s">
        <v>15467</v>
      </c>
      <c r="C796" t="s">
        <v>74</v>
      </c>
      <c r="D796" t="s">
        <v>74</v>
      </c>
      <c r="E796" t="s">
        <v>74</v>
      </c>
      <c r="F796" t="s">
        <v>15468</v>
      </c>
      <c r="G796" t="s">
        <v>74</v>
      </c>
      <c r="H796" t="s">
        <v>74</v>
      </c>
      <c r="I796" t="s">
        <v>15469</v>
      </c>
      <c r="J796" t="s">
        <v>3939</v>
      </c>
      <c r="K796" t="s">
        <v>74</v>
      </c>
      <c r="L796" t="s">
        <v>74</v>
      </c>
      <c r="M796" t="s">
        <v>78</v>
      </c>
      <c r="N796" t="s">
        <v>79</v>
      </c>
      <c r="O796" t="s">
        <v>74</v>
      </c>
      <c r="P796" t="s">
        <v>74</v>
      </c>
      <c r="Q796" t="s">
        <v>74</v>
      </c>
      <c r="R796" t="s">
        <v>74</v>
      </c>
      <c r="S796" t="s">
        <v>74</v>
      </c>
      <c r="T796" t="s">
        <v>15470</v>
      </c>
      <c r="U796" t="s">
        <v>15471</v>
      </c>
      <c r="V796" t="s">
        <v>15472</v>
      </c>
      <c r="W796" t="s">
        <v>15473</v>
      </c>
      <c r="X796" t="s">
        <v>15474</v>
      </c>
      <c r="Y796" t="s">
        <v>15475</v>
      </c>
      <c r="Z796" t="s">
        <v>4296</v>
      </c>
      <c r="AA796" t="s">
        <v>15476</v>
      </c>
      <c r="AB796" t="s">
        <v>15477</v>
      </c>
      <c r="AC796" t="s">
        <v>15478</v>
      </c>
      <c r="AD796" t="s">
        <v>15479</v>
      </c>
      <c r="AE796" t="s">
        <v>15480</v>
      </c>
      <c r="AF796" t="s">
        <v>74</v>
      </c>
      <c r="AG796">
        <v>48</v>
      </c>
      <c r="AH796">
        <v>3</v>
      </c>
      <c r="AI796">
        <v>4</v>
      </c>
      <c r="AJ796">
        <v>0</v>
      </c>
      <c r="AK796">
        <v>5</v>
      </c>
      <c r="AL796" t="s">
        <v>3951</v>
      </c>
      <c r="AM796" t="s">
        <v>3952</v>
      </c>
      <c r="AN796" t="s">
        <v>3953</v>
      </c>
      <c r="AO796" t="s">
        <v>3954</v>
      </c>
      <c r="AP796" t="s">
        <v>3955</v>
      </c>
      <c r="AQ796" t="s">
        <v>74</v>
      </c>
      <c r="AR796" t="s">
        <v>3956</v>
      </c>
      <c r="AS796" t="s">
        <v>3957</v>
      </c>
      <c r="AT796" t="s">
        <v>374</v>
      </c>
      <c r="AU796">
        <v>2021</v>
      </c>
      <c r="AV796">
        <v>66</v>
      </c>
      <c r="AW796">
        <v>4</v>
      </c>
      <c r="AX796" t="s">
        <v>74</v>
      </c>
      <c r="AY796" t="s">
        <v>74</v>
      </c>
      <c r="AZ796" t="s">
        <v>74</v>
      </c>
      <c r="BA796" t="s">
        <v>74</v>
      </c>
      <c r="BB796">
        <v>1424</v>
      </c>
      <c r="BC796">
        <v>1430</v>
      </c>
      <c r="BD796" t="s">
        <v>74</v>
      </c>
      <c r="BE796" t="s">
        <v>15481</v>
      </c>
      <c r="BF796" t="str">
        <f>HYPERLINK("http://dx.doi.org/10.1007/s11686-021-00417-0","http://dx.doi.org/10.1007/s11686-021-00417-0")</f>
        <v>http://dx.doi.org/10.1007/s11686-021-00417-0</v>
      </c>
      <c r="BG796" t="s">
        <v>74</v>
      </c>
      <c r="BH796" t="s">
        <v>14415</v>
      </c>
      <c r="BI796">
        <v>7</v>
      </c>
      <c r="BJ796" t="s">
        <v>3959</v>
      </c>
      <c r="BK796" t="s">
        <v>128</v>
      </c>
      <c r="BL796" t="s">
        <v>3959</v>
      </c>
      <c r="BM796" t="s">
        <v>15482</v>
      </c>
      <c r="BN796">
        <v>34021877</v>
      </c>
      <c r="BO796" t="s">
        <v>74</v>
      </c>
      <c r="BP796" t="s">
        <v>74</v>
      </c>
      <c r="BQ796" t="s">
        <v>74</v>
      </c>
      <c r="BR796" t="s">
        <v>102</v>
      </c>
      <c r="BS796" t="s">
        <v>15483</v>
      </c>
      <c r="BT796" t="str">
        <f>HYPERLINK("https%3A%2F%2Fwww.webofscience.com%2Fwos%2Fwoscc%2Ffull-record%2FWOS:000652976200001","View Full Record in Web of Science")</f>
        <v>View Full Record in Web of Science</v>
      </c>
    </row>
    <row r="797" spans="1:72" x14ac:dyDescent="0.15">
      <c r="A797" t="s">
        <v>72</v>
      </c>
      <c r="B797" t="s">
        <v>15484</v>
      </c>
      <c r="C797" t="s">
        <v>74</v>
      </c>
      <c r="D797" t="s">
        <v>74</v>
      </c>
      <c r="E797" t="s">
        <v>74</v>
      </c>
      <c r="F797" t="s">
        <v>15485</v>
      </c>
      <c r="G797" t="s">
        <v>74</v>
      </c>
      <c r="H797" t="s">
        <v>74</v>
      </c>
      <c r="I797" t="s">
        <v>15486</v>
      </c>
      <c r="J797" t="s">
        <v>15487</v>
      </c>
      <c r="K797" t="s">
        <v>74</v>
      </c>
      <c r="L797" t="s">
        <v>74</v>
      </c>
      <c r="M797" t="s">
        <v>78</v>
      </c>
      <c r="N797" t="s">
        <v>79</v>
      </c>
      <c r="O797" t="s">
        <v>74</v>
      </c>
      <c r="P797" t="s">
        <v>74</v>
      </c>
      <c r="Q797" t="s">
        <v>74</v>
      </c>
      <c r="R797" t="s">
        <v>74</v>
      </c>
      <c r="S797" t="s">
        <v>74</v>
      </c>
      <c r="T797" t="s">
        <v>15488</v>
      </c>
      <c r="U797" t="s">
        <v>15489</v>
      </c>
      <c r="V797" t="s">
        <v>15490</v>
      </c>
      <c r="W797" t="s">
        <v>15491</v>
      </c>
      <c r="X797" t="s">
        <v>15492</v>
      </c>
      <c r="Y797" t="s">
        <v>15493</v>
      </c>
      <c r="Z797" t="s">
        <v>15494</v>
      </c>
      <c r="AA797" t="s">
        <v>15495</v>
      </c>
      <c r="AB797" t="s">
        <v>15496</v>
      </c>
      <c r="AC797" t="s">
        <v>15497</v>
      </c>
      <c r="AD797" t="s">
        <v>15498</v>
      </c>
      <c r="AE797" t="s">
        <v>15499</v>
      </c>
      <c r="AF797" t="s">
        <v>74</v>
      </c>
      <c r="AG797">
        <v>80</v>
      </c>
      <c r="AH797">
        <v>4</v>
      </c>
      <c r="AI797">
        <v>4</v>
      </c>
      <c r="AJ797">
        <v>5</v>
      </c>
      <c r="AK797">
        <v>24</v>
      </c>
      <c r="AL797" t="s">
        <v>197</v>
      </c>
      <c r="AM797" t="s">
        <v>198</v>
      </c>
      <c r="AN797" t="s">
        <v>199</v>
      </c>
      <c r="AO797" t="s">
        <v>15500</v>
      </c>
      <c r="AP797" t="s">
        <v>15501</v>
      </c>
      <c r="AQ797" t="s">
        <v>74</v>
      </c>
      <c r="AR797" t="s">
        <v>15487</v>
      </c>
      <c r="AS797" t="s">
        <v>15502</v>
      </c>
      <c r="AT797" t="s">
        <v>430</v>
      </c>
      <c r="AU797">
        <v>2021</v>
      </c>
      <c r="AV797">
        <v>23</v>
      </c>
      <c r="AW797">
        <v>4</v>
      </c>
      <c r="AX797" t="s">
        <v>74</v>
      </c>
      <c r="AY797" t="s">
        <v>74</v>
      </c>
      <c r="AZ797" t="s">
        <v>74</v>
      </c>
      <c r="BA797" t="s">
        <v>74</v>
      </c>
      <c r="BB797">
        <v>653</v>
      </c>
      <c r="BC797">
        <v>663</v>
      </c>
      <c r="BD797" t="s">
        <v>74</v>
      </c>
      <c r="BE797" t="s">
        <v>15503</v>
      </c>
      <c r="BF797" t="str">
        <f>HYPERLINK("http://dx.doi.org/10.1111/plb.13270","http://dx.doi.org/10.1111/plb.13270")</f>
        <v>http://dx.doi.org/10.1111/plb.13270</v>
      </c>
      <c r="BG797" t="s">
        <v>74</v>
      </c>
      <c r="BH797" t="s">
        <v>14415</v>
      </c>
      <c r="BI797">
        <v>11</v>
      </c>
      <c r="BJ797" t="s">
        <v>1398</v>
      </c>
      <c r="BK797" t="s">
        <v>128</v>
      </c>
      <c r="BL797" t="s">
        <v>1398</v>
      </c>
      <c r="BM797" t="s">
        <v>15504</v>
      </c>
      <c r="BN797">
        <v>33866664</v>
      </c>
      <c r="BO797" t="s">
        <v>74</v>
      </c>
      <c r="BP797" t="s">
        <v>74</v>
      </c>
      <c r="BQ797" t="s">
        <v>74</v>
      </c>
      <c r="BR797" t="s">
        <v>102</v>
      </c>
      <c r="BS797" t="s">
        <v>15505</v>
      </c>
      <c r="BT797" t="str">
        <f>HYPERLINK("https%3A%2F%2Fwww.webofscience.com%2Fwos%2Fwoscc%2Ffull-record%2FWOS:000652849000001","View Full Record in Web of Science")</f>
        <v>View Full Record in Web of Science</v>
      </c>
    </row>
    <row r="798" spans="1:72" x14ac:dyDescent="0.15">
      <c r="A798" t="s">
        <v>72</v>
      </c>
      <c r="B798" t="s">
        <v>15506</v>
      </c>
      <c r="C798" t="s">
        <v>74</v>
      </c>
      <c r="D798" t="s">
        <v>74</v>
      </c>
      <c r="E798" t="s">
        <v>74</v>
      </c>
      <c r="F798" t="s">
        <v>15507</v>
      </c>
      <c r="G798" t="s">
        <v>74</v>
      </c>
      <c r="H798" t="s">
        <v>74</v>
      </c>
      <c r="I798" t="s">
        <v>15508</v>
      </c>
      <c r="J798" t="s">
        <v>243</v>
      </c>
      <c r="K798" t="s">
        <v>74</v>
      </c>
      <c r="L798" t="s">
        <v>74</v>
      </c>
      <c r="M798" t="s">
        <v>78</v>
      </c>
      <c r="N798" t="s">
        <v>79</v>
      </c>
      <c r="O798" t="s">
        <v>74</v>
      </c>
      <c r="P798" t="s">
        <v>74</v>
      </c>
      <c r="Q798" t="s">
        <v>74</v>
      </c>
      <c r="R798" t="s">
        <v>74</v>
      </c>
      <c r="S798" t="s">
        <v>74</v>
      </c>
      <c r="T798" t="s">
        <v>15509</v>
      </c>
      <c r="U798" t="s">
        <v>15510</v>
      </c>
      <c r="V798" t="s">
        <v>15511</v>
      </c>
      <c r="W798" t="s">
        <v>15512</v>
      </c>
      <c r="X798" t="s">
        <v>15513</v>
      </c>
      <c r="Y798" t="s">
        <v>15514</v>
      </c>
      <c r="Z798" t="s">
        <v>15515</v>
      </c>
      <c r="AA798" t="s">
        <v>15516</v>
      </c>
      <c r="AB798" t="s">
        <v>15517</v>
      </c>
      <c r="AC798" t="s">
        <v>15518</v>
      </c>
      <c r="AD798" t="s">
        <v>15519</v>
      </c>
      <c r="AE798" t="s">
        <v>15520</v>
      </c>
      <c r="AF798" t="s">
        <v>74</v>
      </c>
      <c r="AG798">
        <v>114</v>
      </c>
      <c r="AH798">
        <v>11</v>
      </c>
      <c r="AI798">
        <v>11</v>
      </c>
      <c r="AJ798">
        <v>8</v>
      </c>
      <c r="AK798">
        <v>117</v>
      </c>
      <c r="AL798" t="s">
        <v>89</v>
      </c>
      <c r="AM798" t="s">
        <v>90</v>
      </c>
      <c r="AN798" t="s">
        <v>91</v>
      </c>
      <c r="AO798" t="s">
        <v>256</v>
      </c>
      <c r="AP798" t="s">
        <v>257</v>
      </c>
      <c r="AQ798" t="s">
        <v>74</v>
      </c>
      <c r="AR798" t="s">
        <v>258</v>
      </c>
      <c r="AS798" t="s">
        <v>259</v>
      </c>
      <c r="AT798" t="s">
        <v>4173</v>
      </c>
      <c r="AU798">
        <v>2021</v>
      </c>
      <c r="AV798">
        <v>788</v>
      </c>
      <c r="AW798" t="s">
        <v>74</v>
      </c>
      <c r="AX798" t="s">
        <v>74</v>
      </c>
      <c r="AY798" t="s">
        <v>74</v>
      </c>
      <c r="AZ798" t="s">
        <v>74</v>
      </c>
      <c r="BA798" t="s">
        <v>74</v>
      </c>
      <c r="BB798" t="s">
        <v>74</v>
      </c>
      <c r="BC798" t="s">
        <v>74</v>
      </c>
      <c r="BD798">
        <v>147693</v>
      </c>
      <c r="BE798" t="s">
        <v>15521</v>
      </c>
      <c r="BF798" t="str">
        <f>HYPERLINK("http://dx.doi.org/10.1016/j.scitotenv.2021.147693","http://dx.doi.org/10.1016/j.scitotenv.2021.147693")</f>
        <v>http://dx.doi.org/10.1016/j.scitotenv.2021.147693</v>
      </c>
      <c r="BG798" t="s">
        <v>74</v>
      </c>
      <c r="BH798" t="s">
        <v>14415</v>
      </c>
      <c r="BI798">
        <v>13</v>
      </c>
      <c r="BJ798" t="s">
        <v>262</v>
      </c>
      <c r="BK798" t="s">
        <v>128</v>
      </c>
      <c r="BL798" t="s">
        <v>263</v>
      </c>
      <c r="BM798" t="s">
        <v>15522</v>
      </c>
      <c r="BN798">
        <v>34029816</v>
      </c>
      <c r="BO798" t="s">
        <v>291</v>
      </c>
      <c r="BP798" t="s">
        <v>74</v>
      </c>
      <c r="BQ798" t="s">
        <v>74</v>
      </c>
      <c r="BR798" t="s">
        <v>102</v>
      </c>
      <c r="BS798" t="s">
        <v>15523</v>
      </c>
      <c r="BT798" t="str">
        <f>HYPERLINK("https%3A%2F%2Fwww.webofscience.com%2Fwos%2Fwoscc%2Ffull-record%2FWOS:000662648200001","View Full Record in Web of Science")</f>
        <v>View Full Record in Web of Science</v>
      </c>
    </row>
    <row r="799" spans="1:72" x14ac:dyDescent="0.15">
      <c r="A799" t="s">
        <v>72</v>
      </c>
      <c r="B799" t="s">
        <v>15524</v>
      </c>
      <c r="C799" t="s">
        <v>74</v>
      </c>
      <c r="D799" t="s">
        <v>74</v>
      </c>
      <c r="E799" t="s">
        <v>74</v>
      </c>
      <c r="F799" t="s">
        <v>15525</v>
      </c>
      <c r="G799" t="s">
        <v>74</v>
      </c>
      <c r="H799" t="s">
        <v>74</v>
      </c>
      <c r="I799" t="s">
        <v>15526</v>
      </c>
      <c r="J799" t="s">
        <v>15527</v>
      </c>
      <c r="K799" t="s">
        <v>74</v>
      </c>
      <c r="L799" t="s">
        <v>74</v>
      </c>
      <c r="M799" t="s">
        <v>78</v>
      </c>
      <c r="N799" t="s">
        <v>79</v>
      </c>
      <c r="O799" t="s">
        <v>74</v>
      </c>
      <c r="P799" t="s">
        <v>74</v>
      </c>
      <c r="Q799" t="s">
        <v>74</v>
      </c>
      <c r="R799" t="s">
        <v>74</v>
      </c>
      <c r="S799" t="s">
        <v>74</v>
      </c>
      <c r="T799" t="s">
        <v>15528</v>
      </c>
      <c r="U799" t="s">
        <v>15529</v>
      </c>
      <c r="V799" t="s">
        <v>15530</v>
      </c>
      <c r="W799" t="s">
        <v>15531</v>
      </c>
      <c r="X799" t="s">
        <v>3355</v>
      </c>
      <c r="Y799" t="s">
        <v>15532</v>
      </c>
      <c r="Z799" t="s">
        <v>15533</v>
      </c>
      <c r="AA799" t="s">
        <v>15534</v>
      </c>
      <c r="AB799" t="s">
        <v>15535</v>
      </c>
      <c r="AC799" t="s">
        <v>15536</v>
      </c>
      <c r="AD799" t="s">
        <v>15537</v>
      </c>
      <c r="AE799" t="s">
        <v>15538</v>
      </c>
      <c r="AF799" t="s">
        <v>74</v>
      </c>
      <c r="AG799">
        <v>30</v>
      </c>
      <c r="AH799">
        <v>3</v>
      </c>
      <c r="AI799">
        <v>3</v>
      </c>
      <c r="AJ799">
        <v>3</v>
      </c>
      <c r="AK799">
        <v>21</v>
      </c>
      <c r="AL799" t="s">
        <v>367</v>
      </c>
      <c r="AM799" t="s">
        <v>368</v>
      </c>
      <c r="AN799" t="s">
        <v>369</v>
      </c>
      <c r="AO799" t="s">
        <v>15539</v>
      </c>
      <c r="AP799" t="s">
        <v>15540</v>
      </c>
      <c r="AQ799" t="s">
        <v>74</v>
      </c>
      <c r="AR799" t="s">
        <v>15541</v>
      </c>
      <c r="AS799" t="s">
        <v>15542</v>
      </c>
      <c r="AT799" t="s">
        <v>10878</v>
      </c>
      <c r="AU799">
        <v>2021</v>
      </c>
      <c r="AV799">
        <v>54</v>
      </c>
      <c r="AW799" t="s">
        <v>15543</v>
      </c>
      <c r="AX799" t="s">
        <v>74</v>
      </c>
      <c r="AY799" t="s">
        <v>74</v>
      </c>
      <c r="AZ799" t="s">
        <v>74</v>
      </c>
      <c r="BA799" t="s">
        <v>74</v>
      </c>
      <c r="BB799">
        <v>618</v>
      </c>
      <c r="BC799">
        <v>626</v>
      </c>
      <c r="BD799">
        <v>202940211013063</v>
      </c>
      <c r="BE799" t="s">
        <v>15544</v>
      </c>
      <c r="BF799" t="str">
        <f>HYPERLINK("http://dx.doi.org/10.1177/00202940211013063","http://dx.doi.org/10.1177/00202940211013063")</f>
        <v>http://dx.doi.org/10.1177/00202940211013063</v>
      </c>
      <c r="BG799" t="s">
        <v>74</v>
      </c>
      <c r="BH799" t="s">
        <v>14415</v>
      </c>
      <c r="BI799">
        <v>9</v>
      </c>
      <c r="BJ799" t="s">
        <v>15545</v>
      </c>
      <c r="BK799" t="s">
        <v>128</v>
      </c>
      <c r="BL799" t="s">
        <v>15545</v>
      </c>
      <c r="BM799" t="s">
        <v>15546</v>
      </c>
      <c r="BN799" t="s">
        <v>74</v>
      </c>
      <c r="BO799" t="s">
        <v>638</v>
      </c>
      <c r="BP799" t="s">
        <v>74</v>
      </c>
      <c r="BQ799" t="s">
        <v>74</v>
      </c>
      <c r="BR799" t="s">
        <v>102</v>
      </c>
      <c r="BS799" t="s">
        <v>15547</v>
      </c>
      <c r="BT799" t="str">
        <f>HYPERLINK("https%3A%2F%2Fwww.webofscience.com%2Fwos%2Fwoscc%2Ffull-record%2FWOS:000653323300001","View Full Record in Web of Science")</f>
        <v>View Full Record in Web of Science</v>
      </c>
    </row>
    <row r="800" spans="1:72" x14ac:dyDescent="0.15">
      <c r="A800" t="s">
        <v>72</v>
      </c>
      <c r="B800" t="s">
        <v>15548</v>
      </c>
      <c r="C800" t="s">
        <v>74</v>
      </c>
      <c r="D800" t="s">
        <v>74</v>
      </c>
      <c r="E800" t="s">
        <v>74</v>
      </c>
      <c r="F800" t="s">
        <v>15549</v>
      </c>
      <c r="G800" t="s">
        <v>74</v>
      </c>
      <c r="H800" t="s">
        <v>74</v>
      </c>
      <c r="I800" t="s">
        <v>15550</v>
      </c>
      <c r="J800" t="s">
        <v>15551</v>
      </c>
      <c r="K800" t="s">
        <v>74</v>
      </c>
      <c r="L800" t="s">
        <v>74</v>
      </c>
      <c r="M800" t="s">
        <v>78</v>
      </c>
      <c r="N800" t="s">
        <v>79</v>
      </c>
      <c r="O800" t="s">
        <v>74</v>
      </c>
      <c r="P800" t="s">
        <v>74</v>
      </c>
      <c r="Q800" t="s">
        <v>74</v>
      </c>
      <c r="R800" t="s">
        <v>74</v>
      </c>
      <c r="S800" t="s">
        <v>74</v>
      </c>
      <c r="T800" t="s">
        <v>15552</v>
      </c>
      <c r="U800" t="s">
        <v>15553</v>
      </c>
      <c r="V800" t="s">
        <v>15554</v>
      </c>
      <c r="W800" t="s">
        <v>15555</v>
      </c>
      <c r="X800" t="s">
        <v>15556</v>
      </c>
      <c r="Y800" t="s">
        <v>15557</v>
      </c>
      <c r="Z800" t="s">
        <v>6098</v>
      </c>
      <c r="AA800" t="s">
        <v>15558</v>
      </c>
      <c r="AB800" t="s">
        <v>74</v>
      </c>
      <c r="AC800" t="s">
        <v>15559</v>
      </c>
      <c r="AD800" t="s">
        <v>15560</v>
      </c>
      <c r="AE800" t="s">
        <v>15561</v>
      </c>
      <c r="AF800" t="s">
        <v>74</v>
      </c>
      <c r="AG800">
        <v>84</v>
      </c>
      <c r="AH800">
        <v>25</v>
      </c>
      <c r="AI800">
        <v>28</v>
      </c>
      <c r="AJ800">
        <v>12</v>
      </c>
      <c r="AK800">
        <v>53</v>
      </c>
      <c r="AL800" t="s">
        <v>2190</v>
      </c>
      <c r="AM800" t="s">
        <v>228</v>
      </c>
      <c r="AN800" t="s">
        <v>2191</v>
      </c>
      <c r="AO800" t="s">
        <v>15562</v>
      </c>
      <c r="AP800" t="s">
        <v>15563</v>
      </c>
      <c r="AQ800" t="s">
        <v>74</v>
      </c>
      <c r="AR800" t="s">
        <v>15564</v>
      </c>
      <c r="AS800" t="s">
        <v>15565</v>
      </c>
      <c r="AT800" t="s">
        <v>402</v>
      </c>
      <c r="AU800">
        <v>2021</v>
      </c>
      <c r="AV800">
        <v>38</v>
      </c>
      <c r="AW800">
        <v>9</v>
      </c>
      <c r="AX800" t="s">
        <v>74</v>
      </c>
      <c r="AY800" t="s">
        <v>74</v>
      </c>
      <c r="AZ800" t="s">
        <v>74</v>
      </c>
      <c r="BA800" t="s">
        <v>74</v>
      </c>
      <c r="BB800">
        <v>4043</v>
      </c>
      <c r="BC800">
        <v>4055</v>
      </c>
      <c r="BD800" t="s">
        <v>74</v>
      </c>
      <c r="BE800" t="s">
        <v>15566</v>
      </c>
      <c r="BF800" t="str">
        <f>HYPERLINK("http://dx.doi.org/10.1093/molbev/msab153","http://dx.doi.org/10.1093/molbev/msab153")</f>
        <v>http://dx.doi.org/10.1093/molbev/msab153</v>
      </c>
      <c r="BG800" t="s">
        <v>74</v>
      </c>
      <c r="BH800" t="s">
        <v>14415</v>
      </c>
      <c r="BI800">
        <v>13</v>
      </c>
      <c r="BJ800" t="s">
        <v>4811</v>
      </c>
      <c r="BK800" t="s">
        <v>128</v>
      </c>
      <c r="BL800" t="s">
        <v>4811</v>
      </c>
      <c r="BM800" t="s">
        <v>15567</v>
      </c>
      <c r="BN800">
        <v>34014311</v>
      </c>
      <c r="BO800" t="s">
        <v>2749</v>
      </c>
      <c r="BP800" t="s">
        <v>74</v>
      </c>
      <c r="BQ800" t="s">
        <v>74</v>
      </c>
      <c r="BR800" t="s">
        <v>102</v>
      </c>
      <c r="BS800" t="s">
        <v>15568</v>
      </c>
      <c r="BT800" t="str">
        <f>HYPERLINK("https%3A%2F%2Fwww.webofscience.com%2Fwos%2Fwoscc%2Ffull-record%2FWOS:000693664800040","View Full Record in Web of Science")</f>
        <v>View Full Record in Web of Science</v>
      </c>
    </row>
    <row r="801" spans="1:72" x14ac:dyDescent="0.15">
      <c r="A801" t="s">
        <v>72</v>
      </c>
      <c r="B801" t="s">
        <v>15569</v>
      </c>
      <c r="C801" t="s">
        <v>74</v>
      </c>
      <c r="D801" t="s">
        <v>74</v>
      </c>
      <c r="E801" t="s">
        <v>74</v>
      </c>
      <c r="F801" t="s">
        <v>15570</v>
      </c>
      <c r="G801" t="s">
        <v>74</v>
      </c>
      <c r="H801" t="s">
        <v>74</v>
      </c>
      <c r="I801" t="s">
        <v>15571</v>
      </c>
      <c r="J801" t="s">
        <v>15572</v>
      </c>
      <c r="K801" t="s">
        <v>74</v>
      </c>
      <c r="L801" t="s">
        <v>74</v>
      </c>
      <c r="M801" t="s">
        <v>78</v>
      </c>
      <c r="N801" t="s">
        <v>79</v>
      </c>
      <c r="O801" t="s">
        <v>74</v>
      </c>
      <c r="P801" t="s">
        <v>74</v>
      </c>
      <c r="Q801" t="s">
        <v>74</v>
      </c>
      <c r="R801" t="s">
        <v>74</v>
      </c>
      <c r="S801" t="s">
        <v>74</v>
      </c>
      <c r="T801" t="s">
        <v>15573</v>
      </c>
      <c r="U801" t="s">
        <v>15574</v>
      </c>
      <c r="V801" t="s">
        <v>15575</v>
      </c>
      <c r="W801" t="s">
        <v>15576</v>
      </c>
      <c r="X801" t="s">
        <v>15577</v>
      </c>
      <c r="Y801" t="s">
        <v>15578</v>
      </c>
      <c r="Z801" t="s">
        <v>15579</v>
      </c>
      <c r="AA801" t="s">
        <v>15580</v>
      </c>
      <c r="AB801" t="s">
        <v>15581</v>
      </c>
      <c r="AC801" t="s">
        <v>15582</v>
      </c>
      <c r="AD801" t="s">
        <v>15582</v>
      </c>
      <c r="AE801" t="s">
        <v>15583</v>
      </c>
      <c r="AF801" t="s">
        <v>74</v>
      </c>
      <c r="AG801">
        <v>64</v>
      </c>
      <c r="AH801">
        <v>27</v>
      </c>
      <c r="AI801">
        <v>27</v>
      </c>
      <c r="AJ801">
        <v>0</v>
      </c>
      <c r="AK801">
        <v>15</v>
      </c>
      <c r="AL801" t="s">
        <v>89</v>
      </c>
      <c r="AM801" t="s">
        <v>90</v>
      </c>
      <c r="AN801" t="s">
        <v>91</v>
      </c>
      <c r="AO801" t="s">
        <v>15584</v>
      </c>
      <c r="AP801" t="s">
        <v>15585</v>
      </c>
      <c r="AQ801" t="s">
        <v>74</v>
      </c>
      <c r="AR801" t="s">
        <v>15586</v>
      </c>
      <c r="AS801" t="s">
        <v>15587</v>
      </c>
      <c r="AT801" t="s">
        <v>3746</v>
      </c>
      <c r="AU801">
        <v>2021</v>
      </c>
      <c r="AV801">
        <v>416</v>
      </c>
      <c r="AW801" t="s">
        <v>74</v>
      </c>
      <c r="AX801" t="s">
        <v>74</v>
      </c>
      <c r="AY801" t="s">
        <v>74</v>
      </c>
      <c r="AZ801" t="s">
        <v>74</v>
      </c>
      <c r="BA801" t="s">
        <v>74</v>
      </c>
      <c r="BB801" t="s">
        <v>74</v>
      </c>
      <c r="BC801" t="s">
        <v>74</v>
      </c>
      <c r="BD801">
        <v>126140</v>
      </c>
      <c r="BE801" t="s">
        <v>15588</v>
      </c>
      <c r="BF801" t="str">
        <f>HYPERLINK("http://dx.doi.org/10.1016/j.jhazmat.2021.126140","http://dx.doi.org/10.1016/j.jhazmat.2021.126140")</f>
        <v>http://dx.doi.org/10.1016/j.jhazmat.2021.126140</v>
      </c>
      <c r="BG801" t="s">
        <v>74</v>
      </c>
      <c r="BH801" t="s">
        <v>14415</v>
      </c>
      <c r="BI801">
        <v>7</v>
      </c>
      <c r="BJ801" t="s">
        <v>335</v>
      </c>
      <c r="BK801" t="s">
        <v>100</v>
      </c>
      <c r="BL801" t="s">
        <v>336</v>
      </c>
      <c r="BM801" t="s">
        <v>15589</v>
      </c>
      <c r="BN801">
        <v>34492929</v>
      </c>
      <c r="BO801" t="s">
        <v>2125</v>
      </c>
      <c r="BP801" t="s">
        <v>74</v>
      </c>
      <c r="BQ801" t="s">
        <v>74</v>
      </c>
      <c r="BR801" t="s">
        <v>102</v>
      </c>
      <c r="BS801" t="s">
        <v>15590</v>
      </c>
      <c r="BT801" t="str">
        <f>HYPERLINK("https%3A%2F%2Fwww.webofscience.com%2Fwos%2Fwoscc%2Ffull-record%2FWOS:000664771400006","View Full Record in Web of Science")</f>
        <v>View Full Record in Web of Science</v>
      </c>
    </row>
    <row r="802" spans="1:72" x14ac:dyDescent="0.15">
      <c r="A802" t="s">
        <v>72</v>
      </c>
      <c r="B802" t="s">
        <v>15591</v>
      </c>
      <c r="C802" t="s">
        <v>74</v>
      </c>
      <c r="D802" t="s">
        <v>74</v>
      </c>
      <c r="E802" t="s">
        <v>74</v>
      </c>
      <c r="F802" t="s">
        <v>15592</v>
      </c>
      <c r="G802" t="s">
        <v>74</v>
      </c>
      <c r="H802" t="s">
        <v>74</v>
      </c>
      <c r="I802" t="s">
        <v>15593</v>
      </c>
      <c r="J802" t="s">
        <v>5154</v>
      </c>
      <c r="K802" t="s">
        <v>74</v>
      </c>
      <c r="L802" t="s">
        <v>74</v>
      </c>
      <c r="M802" t="s">
        <v>78</v>
      </c>
      <c r="N802" t="s">
        <v>79</v>
      </c>
      <c r="O802" t="s">
        <v>74</v>
      </c>
      <c r="P802" t="s">
        <v>74</v>
      </c>
      <c r="Q802" t="s">
        <v>74</v>
      </c>
      <c r="R802" t="s">
        <v>74</v>
      </c>
      <c r="S802" t="s">
        <v>74</v>
      </c>
      <c r="T802" t="s">
        <v>15594</v>
      </c>
      <c r="U802" t="s">
        <v>15595</v>
      </c>
      <c r="V802" t="s">
        <v>15596</v>
      </c>
      <c r="W802" t="s">
        <v>15597</v>
      </c>
      <c r="X802" t="s">
        <v>15598</v>
      </c>
      <c r="Y802" t="s">
        <v>15599</v>
      </c>
      <c r="Z802" t="s">
        <v>15600</v>
      </c>
      <c r="AA802" t="s">
        <v>15601</v>
      </c>
      <c r="AB802" t="s">
        <v>15602</v>
      </c>
      <c r="AC802" t="s">
        <v>15603</v>
      </c>
      <c r="AD802" t="s">
        <v>15604</v>
      </c>
      <c r="AE802" t="s">
        <v>15605</v>
      </c>
      <c r="AF802" t="s">
        <v>74</v>
      </c>
      <c r="AG802">
        <v>123</v>
      </c>
      <c r="AH802">
        <v>4</v>
      </c>
      <c r="AI802">
        <v>4</v>
      </c>
      <c r="AJ802">
        <v>1</v>
      </c>
      <c r="AK802">
        <v>23</v>
      </c>
      <c r="AL802" t="s">
        <v>5166</v>
      </c>
      <c r="AM802" t="s">
        <v>5167</v>
      </c>
      <c r="AN802" t="s">
        <v>5168</v>
      </c>
      <c r="AO802" t="s">
        <v>5169</v>
      </c>
      <c r="AP802" t="s">
        <v>5170</v>
      </c>
      <c r="AQ802" t="s">
        <v>74</v>
      </c>
      <c r="AR802" t="s">
        <v>5171</v>
      </c>
      <c r="AS802" t="s">
        <v>5172</v>
      </c>
      <c r="AT802" t="s">
        <v>15606</v>
      </c>
      <c r="AU802">
        <v>2021</v>
      </c>
      <c r="AV802">
        <v>666</v>
      </c>
      <c r="AW802" t="s">
        <v>74</v>
      </c>
      <c r="AX802" t="s">
        <v>74</v>
      </c>
      <c r="AY802" t="s">
        <v>74</v>
      </c>
      <c r="AZ802" t="s">
        <v>74</v>
      </c>
      <c r="BA802" t="s">
        <v>74</v>
      </c>
      <c r="BB802">
        <v>31</v>
      </c>
      <c r="BC802">
        <v>55</v>
      </c>
      <c r="BD802" t="s">
        <v>74</v>
      </c>
      <c r="BE802" t="s">
        <v>15607</v>
      </c>
      <c r="BF802" t="str">
        <f>HYPERLINK("http://dx.doi.org/10.3354/meps13675","http://dx.doi.org/10.3354/meps13675")</f>
        <v>http://dx.doi.org/10.3354/meps13675</v>
      </c>
      <c r="BG802" t="s">
        <v>74</v>
      </c>
      <c r="BH802" t="s">
        <v>74</v>
      </c>
      <c r="BI802">
        <v>25</v>
      </c>
      <c r="BJ802" t="s">
        <v>5174</v>
      </c>
      <c r="BK802" t="s">
        <v>128</v>
      </c>
      <c r="BL802" t="s">
        <v>5175</v>
      </c>
      <c r="BM802" t="s">
        <v>15608</v>
      </c>
      <c r="BN802" t="s">
        <v>74</v>
      </c>
      <c r="BO802" t="s">
        <v>238</v>
      </c>
      <c r="BP802" t="s">
        <v>74</v>
      </c>
      <c r="BQ802" t="s">
        <v>74</v>
      </c>
      <c r="BR802" t="s">
        <v>102</v>
      </c>
      <c r="BS802" t="s">
        <v>15609</v>
      </c>
      <c r="BT802" t="str">
        <f>HYPERLINK("https%3A%2F%2Fwww.webofscience.com%2Fwos%2Fwoscc%2Ffull-record%2FWOS:000662094200003","View Full Record in Web of Science")</f>
        <v>View Full Record in Web of Science</v>
      </c>
    </row>
    <row r="803" spans="1:72" x14ac:dyDescent="0.15">
      <c r="A803" t="s">
        <v>72</v>
      </c>
      <c r="B803" t="s">
        <v>15610</v>
      </c>
      <c r="C803" t="s">
        <v>74</v>
      </c>
      <c r="D803" t="s">
        <v>74</v>
      </c>
      <c r="E803" t="s">
        <v>74</v>
      </c>
      <c r="F803" t="s">
        <v>15611</v>
      </c>
      <c r="G803" t="s">
        <v>74</v>
      </c>
      <c r="H803" t="s">
        <v>74</v>
      </c>
      <c r="I803" t="s">
        <v>15612</v>
      </c>
      <c r="J803" t="s">
        <v>4055</v>
      </c>
      <c r="K803" t="s">
        <v>74</v>
      </c>
      <c r="L803" t="s">
        <v>74</v>
      </c>
      <c r="M803" t="s">
        <v>78</v>
      </c>
      <c r="N803" t="s">
        <v>79</v>
      </c>
      <c r="O803" t="s">
        <v>74</v>
      </c>
      <c r="P803" t="s">
        <v>74</v>
      </c>
      <c r="Q803" t="s">
        <v>74</v>
      </c>
      <c r="R803" t="s">
        <v>74</v>
      </c>
      <c r="S803" t="s">
        <v>74</v>
      </c>
      <c r="T803" t="s">
        <v>74</v>
      </c>
      <c r="U803" t="s">
        <v>15613</v>
      </c>
      <c r="V803" t="s">
        <v>15614</v>
      </c>
      <c r="W803" t="s">
        <v>15615</v>
      </c>
      <c r="X803" t="s">
        <v>15616</v>
      </c>
      <c r="Y803" t="s">
        <v>15617</v>
      </c>
      <c r="Z803" t="s">
        <v>15618</v>
      </c>
      <c r="AA803" t="s">
        <v>74</v>
      </c>
      <c r="AB803" t="s">
        <v>15619</v>
      </c>
      <c r="AC803" t="s">
        <v>15620</v>
      </c>
      <c r="AD803" t="s">
        <v>15621</v>
      </c>
      <c r="AE803" t="s">
        <v>15622</v>
      </c>
      <c r="AF803" t="s">
        <v>74</v>
      </c>
      <c r="AG803">
        <v>52</v>
      </c>
      <c r="AH803">
        <v>21</v>
      </c>
      <c r="AI803">
        <v>22</v>
      </c>
      <c r="AJ803">
        <v>1</v>
      </c>
      <c r="AK803">
        <v>9</v>
      </c>
      <c r="AL803" t="s">
        <v>4067</v>
      </c>
      <c r="AM803" t="s">
        <v>396</v>
      </c>
      <c r="AN803" t="s">
        <v>397</v>
      </c>
      <c r="AO803" t="s">
        <v>4068</v>
      </c>
      <c r="AP803" t="s">
        <v>74</v>
      </c>
      <c r="AQ803" t="s">
        <v>74</v>
      </c>
      <c r="AR803" t="s">
        <v>4069</v>
      </c>
      <c r="AS803" t="s">
        <v>4070</v>
      </c>
      <c r="AT803" t="s">
        <v>15606</v>
      </c>
      <c r="AU803">
        <v>2021</v>
      </c>
      <c r="AV803">
        <v>12</v>
      </c>
      <c r="AW803">
        <v>1</v>
      </c>
      <c r="AX803" t="s">
        <v>74</v>
      </c>
      <c r="AY803" t="s">
        <v>74</v>
      </c>
      <c r="AZ803" t="s">
        <v>74</v>
      </c>
      <c r="BA803" t="s">
        <v>74</v>
      </c>
      <c r="BB803" t="s">
        <v>74</v>
      </c>
      <c r="BC803" t="s">
        <v>74</v>
      </c>
      <c r="BD803">
        <v>2961</v>
      </c>
      <c r="BE803" t="s">
        <v>15623</v>
      </c>
      <c r="BF803" t="str">
        <f>HYPERLINK("http://dx.doi.org/10.1038/s41467-021-23131-x","http://dx.doi.org/10.1038/s41467-021-23131-x")</f>
        <v>http://dx.doi.org/10.1038/s41467-021-23131-x</v>
      </c>
      <c r="BG803" t="s">
        <v>74</v>
      </c>
      <c r="BH803" t="s">
        <v>74</v>
      </c>
      <c r="BI803">
        <v>11</v>
      </c>
      <c r="BJ803" t="s">
        <v>2609</v>
      </c>
      <c r="BK803" t="s">
        <v>128</v>
      </c>
      <c r="BL803" t="s">
        <v>2610</v>
      </c>
      <c r="BM803" t="s">
        <v>15624</v>
      </c>
      <c r="BN803">
        <v>34016971</v>
      </c>
      <c r="BO803" t="s">
        <v>7792</v>
      </c>
      <c r="BP803" t="s">
        <v>74</v>
      </c>
      <c r="BQ803" t="s">
        <v>74</v>
      </c>
      <c r="BR803" t="s">
        <v>102</v>
      </c>
      <c r="BS803" t="s">
        <v>15625</v>
      </c>
      <c r="BT803" t="str">
        <f>HYPERLINK("https%3A%2F%2Fwww.webofscience.com%2Fwos%2Fwoscc%2Ffull-record%2FWOS:000658760100002","View Full Record in Web of Science")</f>
        <v>View Full Record in Web of Science</v>
      </c>
    </row>
    <row r="804" spans="1:72" x14ac:dyDescent="0.15">
      <c r="A804" t="s">
        <v>72</v>
      </c>
      <c r="B804" t="s">
        <v>15626</v>
      </c>
      <c r="C804" t="s">
        <v>74</v>
      </c>
      <c r="D804" t="s">
        <v>74</v>
      </c>
      <c r="E804" t="s">
        <v>74</v>
      </c>
      <c r="F804" t="s">
        <v>15627</v>
      </c>
      <c r="G804" t="s">
        <v>74</v>
      </c>
      <c r="H804" t="s">
        <v>74</v>
      </c>
      <c r="I804" t="s">
        <v>15628</v>
      </c>
      <c r="J804" t="s">
        <v>2594</v>
      </c>
      <c r="K804" t="s">
        <v>74</v>
      </c>
      <c r="L804" t="s">
        <v>74</v>
      </c>
      <c r="M804" t="s">
        <v>78</v>
      </c>
      <c r="N804" t="s">
        <v>79</v>
      </c>
      <c r="O804" t="s">
        <v>74</v>
      </c>
      <c r="P804" t="s">
        <v>74</v>
      </c>
      <c r="Q804" t="s">
        <v>74</v>
      </c>
      <c r="R804" t="s">
        <v>74</v>
      </c>
      <c r="S804" t="s">
        <v>74</v>
      </c>
      <c r="T804" t="s">
        <v>74</v>
      </c>
      <c r="U804" t="s">
        <v>15629</v>
      </c>
      <c r="V804" t="s">
        <v>15630</v>
      </c>
      <c r="W804" t="s">
        <v>15631</v>
      </c>
      <c r="X804" t="s">
        <v>15632</v>
      </c>
      <c r="Y804" t="s">
        <v>15633</v>
      </c>
      <c r="Z804" t="s">
        <v>15634</v>
      </c>
      <c r="AA804" t="s">
        <v>15635</v>
      </c>
      <c r="AB804" t="s">
        <v>15636</v>
      </c>
      <c r="AC804" t="s">
        <v>15637</v>
      </c>
      <c r="AD804" t="s">
        <v>15638</v>
      </c>
      <c r="AE804" t="s">
        <v>15639</v>
      </c>
      <c r="AF804" t="s">
        <v>74</v>
      </c>
      <c r="AG804">
        <v>77</v>
      </c>
      <c r="AH804">
        <v>22</v>
      </c>
      <c r="AI804">
        <v>24</v>
      </c>
      <c r="AJ804">
        <v>1</v>
      </c>
      <c r="AK804">
        <v>11</v>
      </c>
      <c r="AL804" t="s">
        <v>395</v>
      </c>
      <c r="AM804" t="s">
        <v>396</v>
      </c>
      <c r="AN804" t="s">
        <v>397</v>
      </c>
      <c r="AO804" t="s">
        <v>2605</v>
      </c>
      <c r="AP804" t="s">
        <v>74</v>
      </c>
      <c r="AQ804" t="s">
        <v>74</v>
      </c>
      <c r="AR804" t="s">
        <v>2606</v>
      </c>
      <c r="AS804" t="s">
        <v>2607</v>
      </c>
      <c r="AT804" t="s">
        <v>15606</v>
      </c>
      <c r="AU804">
        <v>2021</v>
      </c>
      <c r="AV804">
        <v>11</v>
      </c>
      <c r="AW804">
        <v>1</v>
      </c>
      <c r="AX804" t="s">
        <v>74</v>
      </c>
      <c r="AY804" t="s">
        <v>74</v>
      </c>
      <c r="AZ804" t="s">
        <v>74</v>
      </c>
      <c r="BA804" t="s">
        <v>74</v>
      </c>
      <c r="BB804" t="s">
        <v>74</v>
      </c>
      <c r="BC804" t="s">
        <v>74</v>
      </c>
      <c r="BD804">
        <v>10648</v>
      </c>
      <c r="BE804" t="s">
        <v>15640</v>
      </c>
      <c r="BF804" t="str">
        <f>HYPERLINK("http://dx.doi.org/10.1038/s41598-021-89985-9","http://dx.doi.org/10.1038/s41598-021-89985-9")</f>
        <v>http://dx.doi.org/10.1038/s41598-021-89985-9</v>
      </c>
      <c r="BG804" t="s">
        <v>74</v>
      </c>
      <c r="BH804" t="s">
        <v>74</v>
      </c>
      <c r="BI804">
        <v>15</v>
      </c>
      <c r="BJ804" t="s">
        <v>2609</v>
      </c>
      <c r="BK804" t="s">
        <v>128</v>
      </c>
      <c r="BL804" t="s">
        <v>2610</v>
      </c>
      <c r="BM804" t="s">
        <v>15641</v>
      </c>
      <c r="BN804">
        <v>34017014</v>
      </c>
      <c r="BO804" t="s">
        <v>1377</v>
      </c>
      <c r="BP804" t="s">
        <v>74</v>
      </c>
      <c r="BQ804" t="s">
        <v>74</v>
      </c>
      <c r="BR804" t="s">
        <v>102</v>
      </c>
      <c r="BS804" t="s">
        <v>15642</v>
      </c>
      <c r="BT804" t="str">
        <f>HYPERLINK("https%3A%2F%2Fwww.webofscience.com%2Fwos%2Fwoscc%2Ffull-record%2FWOS:000657522700022","View Full Record in Web of Science")</f>
        <v>View Full Record in Web of Science</v>
      </c>
    </row>
    <row r="805" spans="1:72" x14ac:dyDescent="0.15">
      <c r="A805" t="s">
        <v>72</v>
      </c>
      <c r="B805" t="s">
        <v>15643</v>
      </c>
      <c r="C805" t="s">
        <v>74</v>
      </c>
      <c r="D805" t="s">
        <v>74</v>
      </c>
      <c r="E805" t="s">
        <v>74</v>
      </c>
      <c r="F805" t="s">
        <v>15644</v>
      </c>
      <c r="G805" t="s">
        <v>74</v>
      </c>
      <c r="H805" t="s">
        <v>74</v>
      </c>
      <c r="I805" t="s">
        <v>15645</v>
      </c>
      <c r="J805" t="s">
        <v>3776</v>
      </c>
      <c r="K805" t="s">
        <v>74</v>
      </c>
      <c r="L805" t="s">
        <v>74</v>
      </c>
      <c r="M805" t="s">
        <v>78</v>
      </c>
      <c r="N805" t="s">
        <v>79</v>
      </c>
      <c r="O805" t="s">
        <v>74</v>
      </c>
      <c r="P805" t="s">
        <v>74</v>
      </c>
      <c r="Q805" t="s">
        <v>74</v>
      </c>
      <c r="R805" t="s">
        <v>74</v>
      </c>
      <c r="S805" t="s">
        <v>74</v>
      </c>
      <c r="T805" t="s">
        <v>74</v>
      </c>
      <c r="U805" t="s">
        <v>15646</v>
      </c>
      <c r="V805" t="s">
        <v>15647</v>
      </c>
      <c r="W805" t="s">
        <v>15648</v>
      </c>
      <c r="X805" t="s">
        <v>15649</v>
      </c>
      <c r="Y805" t="s">
        <v>15650</v>
      </c>
      <c r="Z805" t="s">
        <v>15651</v>
      </c>
      <c r="AA805" t="s">
        <v>15652</v>
      </c>
      <c r="AB805" t="s">
        <v>15653</v>
      </c>
      <c r="AC805" t="s">
        <v>15654</v>
      </c>
      <c r="AD805" t="s">
        <v>15655</v>
      </c>
      <c r="AE805" t="s">
        <v>15656</v>
      </c>
      <c r="AF805" t="s">
        <v>74</v>
      </c>
      <c r="AG805">
        <v>96</v>
      </c>
      <c r="AH805">
        <v>9</v>
      </c>
      <c r="AI805">
        <v>10</v>
      </c>
      <c r="AJ805">
        <v>2</v>
      </c>
      <c r="AK805">
        <v>6</v>
      </c>
      <c r="AL805" t="s">
        <v>143</v>
      </c>
      <c r="AM805" t="s">
        <v>144</v>
      </c>
      <c r="AN805" t="s">
        <v>145</v>
      </c>
      <c r="AO805" t="s">
        <v>3788</v>
      </c>
      <c r="AP805" t="s">
        <v>3789</v>
      </c>
      <c r="AQ805" t="s">
        <v>74</v>
      </c>
      <c r="AR805" t="s">
        <v>3790</v>
      </c>
      <c r="AS805" t="s">
        <v>3791</v>
      </c>
      <c r="AT805" t="s">
        <v>15606</v>
      </c>
      <c r="AU805">
        <v>2021</v>
      </c>
      <c r="AV805">
        <v>21</v>
      </c>
      <c r="AW805">
        <v>10</v>
      </c>
      <c r="AX805" t="s">
        <v>74</v>
      </c>
      <c r="AY805" t="s">
        <v>74</v>
      </c>
      <c r="AZ805" t="s">
        <v>74</v>
      </c>
      <c r="BA805" t="s">
        <v>74</v>
      </c>
      <c r="BB805">
        <v>7695</v>
      </c>
      <c r="BC805">
        <v>7722</v>
      </c>
      <c r="BD805" t="s">
        <v>74</v>
      </c>
      <c r="BE805" t="s">
        <v>15657</v>
      </c>
      <c r="BF805" t="str">
        <f>HYPERLINK("http://dx.doi.org/10.5194/acp-21-7695-2021","http://dx.doi.org/10.5194/acp-21-7695-2021")</f>
        <v>http://dx.doi.org/10.5194/acp-21-7695-2021</v>
      </c>
      <c r="BG805" t="s">
        <v>74</v>
      </c>
      <c r="BH805" t="s">
        <v>74</v>
      </c>
      <c r="BI805">
        <v>28</v>
      </c>
      <c r="BJ805" t="s">
        <v>635</v>
      </c>
      <c r="BK805" t="s">
        <v>128</v>
      </c>
      <c r="BL805" t="s">
        <v>636</v>
      </c>
      <c r="BM805" t="s">
        <v>15658</v>
      </c>
      <c r="BN805" t="s">
        <v>74</v>
      </c>
      <c r="BO805" t="s">
        <v>2266</v>
      </c>
      <c r="BP805" t="s">
        <v>74</v>
      </c>
      <c r="BQ805" t="s">
        <v>74</v>
      </c>
      <c r="BR805" t="s">
        <v>102</v>
      </c>
      <c r="BS805" t="s">
        <v>15659</v>
      </c>
      <c r="BT805" t="str">
        <f>HYPERLINK("https%3A%2F%2Fwww.webofscience.com%2Fwos%2Fwoscc%2Ffull-record%2FWOS:000655294100001","View Full Record in Web of Science")</f>
        <v>View Full Record in Web of Science</v>
      </c>
    </row>
    <row r="806" spans="1:72" x14ac:dyDescent="0.15">
      <c r="A806" t="s">
        <v>72</v>
      </c>
      <c r="B806" t="s">
        <v>15660</v>
      </c>
      <c r="C806" t="s">
        <v>74</v>
      </c>
      <c r="D806" t="s">
        <v>74</v>
      </c>
      <c r="E806" t="s">
        <v>74</v>
      </c>
      <c r="F806" t="s">
        <v>15661</v>
      </c>
      <c r="G806" t="s">
        <v>74</v>
      </c>
      <c r="H806" t="s">
        <v>74</v>
      </c>
      <c r="I806" t="s">
        <v>15662</v>
      </c>
      <c r="J806" t="s">
        <v>2396</v>
      </c>
      <c r="K806" t="s">
        <v>74</v>
      </c>
      <c r="L806" t="s">
        <v>74</v>
      </c>
      <c r="M806" t="s">
        <v>78</v>
      </c>
      <c r="N806" t="s">
        <v>79</v>
      </c>
      <c r="O806" t="s">
        <v>74</v>
      </c>
      <c r="P806" t="s">
        <v>74</v>
      </c>
      <c r="Q806" t="s">
        <v>74</v>
      </c>
      <c r="R806" t="s">
        <v>74</v>
      </c>
      <c r="S806" t="s">
        <v>74</v>
      </c>
      <c r="T806" t="s">
        <v>74</v>
      </c>
      <c r="U806" t="s">
        <v>15663</v>
      </c>
      <c r="V806" t="s">
        <v>15664</v>
      </c>
      <c r="W806" t="s">
        <v>15665</v>
      </c>
      <c r="X806" t="s">
        <v>15666</v>
      </c>
      <c r="Y806" t="s">
        <v>15667</v>
      </c>
      <c r="Z806" t="s">
        <v>15668</v>
      </c>
      <c r="AA806" t="s">
        <v>15669</v>
      </c>
      <c r="AB806" t="s">
        <v>15670</v>
      </c>
      <c r="AC806" t="s">
        <v>74</v>
      </c>
      <c r="AD806" t="s">
        <v>74</v>
      </c>
      <c r="AE806" t="s">
        <v>74</v>
      </c>
      <c r="AF806" t="s">
        <v>74</v>
      </c>
      <c r="AG806">
        <v>135</v>
      </c>
      <c r="AH806">
        <v>20</v>
      </c>
      <c r="AI806">
        <v>21</v>
      </c>
      <c r="AJ806">
        <v>3</v>
      </c>
      <c r="AK806">
        <v>15</v>
      </c>
      <c r="AL806" t="s">
        <v>143</v>
      </c>
      <c r="AM806" t="s">
        <v>144</v>
      </c>
      <c r="AN806" t="s">
        <v>145</v>
      </c>
      <c r="AO806" t="s">
        <v>2408</v>
      </c>
      <c r="AP806" t="s">
        <v>2409</v>
      </c>
      <c r="AQ806" t="s">
        <v>74</v>
      </c>
      <c r="AR806" t="s">
        <v>2396</v>
      </c>
      <c r="AS806" t="s">
        <v>2410</v>
      </c>
      <c r="AT806" t="s">
        <v>15606</v>
      </c>
      <c r="AU806">
        <v>2021</v>
      </c>
      <c r="AV806">
        <v>15</v>
      </c>
      <c r="AW806">
        <v>5</v>
      </c>
      <c r="AX806" t="s">
        <v>74</v>
      </c>
      <c r="AY806" t="s">
        <v>74</v>
      </c>
      <c r="AZ806" t="s">
        <v>74</v>
      </c>
      <c r="BA806" t="s">
        <v>74</v>
      </c>
      <c r="BB806">
        <v>2357</v>
      </c>
      <c r="BC806">
        <v>2381</v>
      </c>
      <c r="BD806" t="s">
        <v>74</v>
      </c>
      <c r="BE806" t="s">
        <v>15671</v>
      </c>
      <c r="BF806" t="str">
        <f>HYPERLINK("http://dx.doi.org/10.5194/tc-15-2357-2021","http://dx.doi.org/10.5194/tc-15-2357-2021")</f>
        <v>http://dx.doi.org/10.5194/tc-15-2357-2021</v>
      </c>
      <c r="BG806" t="s">
        <v>74</v>
      </c>
      <c r="BH806" t="s">
        <v>74</v>
      </c>
      <c r="BI806">
        <v>25</v>
      </c>
      <c r="BJ806" t="s">
        <v>151</v>
      </c>
      <c r="BK806" t="s">
        <v>128</v>
      </c>
      <c r="BL806" t="s">
        <v>152</v>
      </c>
      <c r="BM806" t="s">
        <v>15672</v>
      </c>
      <c r="BN806" t="s">
        <v>74</v>
      </c>
      <c r="BO806" t="s">
        <v>8885</v>
      </c>
      <c r="BP806" t="s">
        <v>74</v>
      </c>
      <c r="BQ806" t="s">
        <v>74</v>
      </c>
      <c r="BR806" t="s">
        <v>102</v>
      </c>
      <c r="BS806" t="s">
        <v>15673</v>
      </c>
      <c r="BT806" t="str">
        <f>HYPERLINK("https%3A%2F%2Fwww.webofscience.com%2Fwos%2Fwoscc%2Ffull-record%2FWOS:000654921000002","View Full Record in Web of Science")</f>
        <v>View Full Record in Web of Science</v>
      </c>
    </row>
    <row r="807" spans="1:72" x14ac:dyDescent="0.15">
      <c r="A807" t="s">
        <v>72</v>
      </c>
      <c r="B807" t="s">
        <v>15674</v>
      </c>
      <c r="C807" t="s">
        <v>74</v>
      </c>
      <c r="D807" t="s">
        <v>74</v>
      </c>
      <c r="E807" t="s">
        <v>74</v>
      </c>
      <c r="F807" t="s">
        <v>15675</v>
      </c>
      <c r="G807" t="s">
        <v>74</v>
      </c>
      <c r="H807" t="s">
        <v>74</v>
      </c>
      <c r="I807" t="s">
        <v>15676</v>
      </c>
      <c r="J807" t="s">
        <v>107</v>
      </c>
      <c r="K807" t="s">
        <v>74</v>
      </c>
      <c r="L807" t="s">
        <v>74</v>
      </c>
      <c r="M807" t="s">
        <v>78</v>
      </c>
      <c r="N807" t="s">
        <v>79</v>
      </c>
      <c r="O807" t="s">
        <v>74</v>
      </c>
      <c r="P807" t="s">
        <v>74</v>
      </c>
      <c r="Q807" t="s">
        <v>74</v>
      </c>
      <c r="R807" t="s">
        <v>74</v>
      </c>
      <c r="S807" t="s">
        <v>74</v>
      </c>
      <c r="T807" t="s">
        <v>15677</v>
      </c>
      <c r="U807" t="s">
        <v>15678</v>
      </c>
      <c r="V807" t="s">
        <v>15679</v>
      </c>
      <c r="W807" t="s">
        <v>15680</v>
      </c>
      <c r="X807" t="s">
        <v>1693</v>
      </c>
      <c r="Y807" t="s">
        <v>15681</v>
      </c>
      <c r="Z807" t="s">
        <v>15682</v>
      </c>
      <c r="AA807" t="s">
        <v>15683</v>
      </c>
      <c r="AB807" t="s">
        <v>15684</v>
      </c>
      <c r="AC807" t="s">
        <v>15685</v>
      </c>
      <c r="AD807" t="s">
        <v>15686</v>
      </c>
      <c r="AE807" t="s">
        <v>15687</v>
      </c>
      <c r="AF807" t="s">
        <v>74</v>
      </c>
      <c r="AG807">
        <v>95</v>
      </c>
      <c r="AH807">
        <v>14</v>
      </c>
      <c r="AI807">
        <v>16</v>
      </c>
      <c r="AJ807">
        <v>4</v>
      </c>
      <c r="AK807">
        <v>27</v>
      </c>
      <c r="AL807" t="s">
        <v>119</v>
      </c>
      <c r="AM807" t="s">
        <v>120</v>
      </c>
      <c r="AN807" t="s">
        <v>121</v>
      </c>
      <c r="AO807" t="s">
        <v>74</v>
      </c>
      <c r="AP807" t="s">
        <v>122</v>
      </c>
      <c r="AQ807" t="s">
        <v>74</v>
      </c>
      <c r="AR807" t="s">
        <v>123</v>
      </c>
      <c r="AS807" t="s">
        <v>124</v>
      </c>
      <c r="AT807" t="s">
        <v>15606</v>
      </c>
      <c r="AU807">
        <v>2021</v>
      </c>
      <c r="AV807">
        <v>8</v>
      </c>
      <c r="AW807" t="s">
        <v>74</v>
      </c>
      <c r="AX807" t="s">
        <v>74</v>
      </c>
      <c r="AY807" t="s">
        <v>74</v>
      </c>
      <c r="AZ807" t="s">
        <v>74</v>
      </c>
      <c r="BA807" t="s">
        <v>74</v>
      </c>
      <c r="BB807" t="s">
        <v>74</v>
      </c>
      <c r="BC807" t="s">
        <v>74</v>
      </c>
      <c r="BD807">
        <v>636226</v>
      </c>
      <c r="BE807" t="s">
        <v>15688</v>
      </c>
      <c r="BF807" t="str">
        <f>HYPERLINK("http://dx.doi.org/10.3389/fmars.2021.636226","http://dx.doi.org/10.3389/fmars.2021.636226")</f>
        <v>http://dx.doi.org/10.3389/fmars.2021.636226</v>
      </c>
      <c r="BG807" t="s">
        <v>74</v>
      </c>
      <c r="BH807" t="s">
        <v>74</v>
      </c>
      <c r="BI807">
        <v>11</v>
      </c>
      <c r="BJ807" t="s">
        <v>127</v>
      </c>
      <c r="BK807" t="s">
        <v>128</v>
      </c>
      <c r="BL807" t="s">
        <v>129</v>
      </c>
      <c r="BM807" t="s">
        <v>15689</v>
      </c>
      <c r="BN807" t="s">
        <v>74</v>
      </c>
      <c r="BO807" t="s">
        <v>638</v>
      </c>
      <c r="BP807" t="s">
        <v>74</v>
      </c>
      <c r="BQ807" t="s">
        <v>74</v>
      </c>
      <c r="BR807" t="s">
        <v>102</v>
      </c>
      <c r="BS807" t="s">
        <v>15690</v>
      </c>
      <c r="BT807" t="str">
        <f>HYPERLINK("https%3A%2F%2Fwww.webofscience.com%2Fwos%2Fwoscc%2Ffull-record%2FWOS:000657099500001","View Full Record in Web of Science")</f>
        <v>View Full Record in Web of Science</v>
      </c>
    </row>
    <row r="808" spans="1:72" x14ac:dyDescent="0.15">
      <c r="A808" t="s">
        <v>72</v>
      </c>
      <c r="B808" t="s">
        <v>15691</v>
      </c>
      <c r="C808" t="s">
        <v>74</v>
      </c>
      <c r="D808" t="s">
        <v>74</v>
      </c>
      <c r="E808" t="s">
        <v>74</v>
      </c>
      <c r="F808" t="s">
        <v>15692</v>
      </c>
      <c r="G808" t="s">
        <v>74</v>
      </c>
      <c r="H808" t="s">
        <v>74</v>
      </c>
      <c r="I808" t="s">
        <v>15693</v>
      </c>
      <c r="J808" t="s">
        <v>15694</v>
      </c>
      <c r="K808" t="s">
        <v>74</v>
      </c>
      <c r="L808" t="s">
        <v>74</v>
      </c>
      <c r="M808" t="s">
        <v>78</v>
      </c>
      <c r="N808" t="s">
        <v>79</v>
      </c>
      <c r="O808" t="s">
        <v>74</v>
      </c>
      <c r="P808" t="s">
        <v>74</v>
      </c>
      <c r="Q808" t="s">
        <v>74</v>
      </c>
      <c r="R808" t="s">
        <v>74</v>
      </c>
      <c r="S808" t="s">
        <v>74</v>
      </c>
      <c r="T808" t="s">
        <v>15695</v>
      </c>
      <c r="U808" t="s">
        <v>15696</v>
      </c>
      <c r="V808" t="s">
        <v>15697</v>
      </c>
      <c r="W808" t="s">
        <v>15698</v>
      </c>
      <c r="X808" t="s">
        <v>15699</v>
      </c>
      <c r="Y808" t="s">
        <v>15700</v>
      </c>
      <c r="Z808" t="s">
        <v>15701</v>
      </c>
      <c r="AA808" t="s">
        <v>15702</v>
      </c>
      <c r="AB808" t="s">
        <v>15703</v>
      </c>
      <c r="AC808" t="s">
        <v>15704</v>
      </c>
      <c r="AD808" t="s">
        <v>15705</v>
      </c>
      <c r="AE808" t="s">
        <v>15706</v>
      </c>
      <c r="AF808" t="s">
        <v>74</v>
      </c>
      <c r="AG808">
        <v>69</v>
      </c>
      <c r="AH808">
        <v>1</v>
      </c>
      <c r="AI808">
        <v>1</v>
      </c>
      <c r="AJ808">
        <v>0</v>
      </c>
      <c r="AK808">
        <v>4</v>
      </c>
      <c r="AL808" t="s">
        <v>3453</v>
      </c>
      <c r="AM808" t="s">
        <v>368</v>
      </c>
      <c r="AN808" t="s">
        <v>3454</v>
      </c>
      <c r="AO808" t="s">
        <v>74</v>
      </c>
      <c r="AP808" t="s">
        <v>15707</v>
      </c>
      <c r="AQ808" t="s">
        <v>74</v>
      </c>
      <c r="AR808" t="s">
        <v>15708</v>
      </c>
      <c r="AS808" t="s">
        <v>15709</v>
      </c>
      <c r="AT808" t="s">
        <v>15606</v>
      </c>
      <c r="AU808">
        <v>2021</v>
      </c>
      <c r="AV808">
        <v>9</v>
      </c>
      <c r="AW808">
        <v>1</v>
      </c>
      <c r="AX808" t="s">
        <v>74</v>
      </c>
      <c r="AY808" t="s">
        <v>74</v>
      </c>
      <c r="AZ808" t="s">
        <v>74</v>
      </c>
      <c r="BA808" t="s">
        <v>74</v>
      </c>
      <c r="BB808" t="s">
        <v>74</v>
      </c>
      <c r="BC808" t="s">
        <v>74</v>
      </c>
      <c r="BD808">
        <v>17</v>
      </c>
      <c r="BE808" t="s">
        <v>15710</v>
      </c>
      <c r="BF808" t="str">
        <f>HYPERLINK("http://dx.doi.org/10.1186/s40317-021-00240-4","http://dx.doi.org/10.1186/s40317-021-00240-4")</f>
        <v>http://dx.doi.org/10.1186/s40317-021-00240-4</v>
      </c>
      <c r="BG808" t="s">
        <v>74</v>
      </c>
      <c r="BH808" t="s">
        <v>74</v>
      </c>
      <c r="BI808">
        <v>11</v>
      </c>
      <c r="BJ808" t="s">
        <v>15711</v>
      </c>
      <c r="BK808" t="s">
        <v>128</v>
      </c>
      <c r="BL808" t="s">
        <v>15712</v>
      </c>
      <c r="BM808" t="s">
        <v>15713</v>
      </c>
      <c r="BN808" t="s">
        <v>74</v>
      </c>
      <c r="BO808" t="s">
        <v>1377</v>
      </c>
      <c r="BP808" t="s">
        <v>74</v>
      </c>
      <c r="BQ808" t="s">
        <v>74</v>
      </c>
      <c r="BR808" t="s">
        <v>102</v>
      </c>
      <c r="BS808" t="s">
        <v>15714</v>
      </c>
      <c r="BT808" t="str">
        <f>HYPERLINK("https%3A%2F%2Fwww.webofscience.com%2Fwos%2Fwoscc%2Ffull-record%2FWOS:000655024500001","View Full Record in Web of Science")</f>
        <v>View Full Record in Web of Science</v>
      </c>
    </row>
    <row r="809" spans="1:72" x14ac:dyDescent="0.15">
      <c r="A809" t="s">
        <v>72</v>
      </c>
      <c r="B809" t="s">
        <v>15715</v>
      </c>
      <c r="C809" t="s">
        <v>74</v>
      </c>
      <c r="D809" t="s">
        <v>74</v>
      </c>
      <c r="E809" t="s">
        <v>74</v>
      </c>
      <c r="F809" t="s">
        <v>15716</v>
      </c>
      <c r="G809" t="s">
        <v>74</v>
      </c>
      <c r="H809" t="s">
        <v>74</v>
      </c>
      <c r="I809" t="s">
        <v>15717</v>
      </c>
      <c r="J809" t="s">
        <v>15718</v>
      </c>
      <c r="K809" t="s">
        <v>74</v>
      </c>
      <c r="L809" t="s">
        <v>74</v>
      </c>
      <c r="M809" t="s">
        <v>78</v>
      </c>
      <c r="N809" t="s">
        <v>79</v>
      </c>
      <c r="O809" t="s">
        <v>74</v>
      </c>
      <c r="P809" t="s">
        <v>74</v>
      </c>
      <c r="Q809" t="s">
        <v>74</v>
      </c>
      <c r="R809" t="s">
        <v>74</v>
      </c>
      <c r="S809" t="s">
        <v>74</v>
      </c>
      <c r="T809" t="s">
        <v>15719</v>
      </c>
      <c r="U809" t="s">
        <v>15720</v>
      </c>
      <c r="V809" t="s">
        <v>15721</v>
      </c>
      <c r="W809" t="s">
        <v>15722</v>
      </c>
      <c r="X809" t="s">
        <v>15723</v>
      </c>
      <c r="Y809" t="s">
        <v>15724</v>
      </c>
      <c r="Z809" t="s">
        <v>15725</v>
      </c>
      <c r="AA809" t="s">
        <v>74</v>
      </c>
      <c r="AB809" t="s">
        <v>74</v>
      </c>
      <c r="AC809" t="s">
        <v>15726</v>
      </c>
      <c r="AD809" t="s">
        <v>15727</v>
      </c>
      <c r="AE809" t="s">
        <v>15728</v>
      </c>
      <c r="AF809" t="s">
        <v>74</v>
      </c>
      <c r="AG809">
        <v>39</v>
      </c>
      <c r="AH809">
        <v>4</v>
      </c>
      <c r="AI809">
        <v>4</v>
      </c>
      <c r="AJ809">
        <v>3</v>
      </c>
      <c r="AK809">
        <v>17</v>
      </c>
      <c r="AL809" t="s">
        <v>15729</v>
      </c>
      <c r="AM809" t="s">
        <v>12169</v>
      </c>
      <c r="AN809" t="s">
        <v>15730</v>
      </c>
      <c r="AO809" t="s">
        <v>15731</v>
      </c>
      <c r="AP809" t="s">
        <v>15732</v>
      </c>
      <c r="AQ809" t="s">
        <v>74</v>
      </c>
      <c r="AR809" t="s">
        <v>15733</v>
      </c>
      <c r="AS809" t="s">
        <v>15734</v>
      </c>
      <c r="AT809" t="s">
        <v>204</v>
      </c>
      <c r="AU809">
        <v>2021</v>
      </c>
      <c r="AV809">
        <v>22</v>
      </c>
      <c r="AW809">
        <v>10</v>
      </c>
      <c r="AX809" t="s">
        <v>74</v>
      </c>
      <c r="AY809" t="s">
        <v>74</v>
      </c>
      <c r="AZ809" t="s">
        <v>74</v>
      </c>
      <c r="BA809" t="s">
        <v>74</v>
      </c>
      <c r="BB809">
        <v>2680</v>
      </c>
      <c r="BC809">
        <v>2688</v>
      </c>
      <c r="BD809" t="s">
        <v>74</v>
      </c>
      <c r="BE809" t="s">
        <v>15735</v>
      </c>
      <c r="BF809" t="str">
        <f>HYPERLINK("http://dx.doi.org/10.1007/s12221-021-0369-3","http://dx.doi.org/10.1007/s12221-021-0369-3")</f>
        <v>http://dx.doi.org/10.1007/s12221-021-0369-3</v>
      </c>
      <c r="BG809" t="s">
        <v>74</v>
      </c>
      <c r="BH809" t="s">
        <v>14415</v>
      </c>
      <c r="BI809">
        <v>9</v>
      </c>
      <c r="BJ809" t="s">
        <v>15736</v>
      </c>
      <c r="BK809" t="s">
        <v>128</v>
      </c>
      <c r="BL809" t="s">
        <v>15737</v>
      </c>
      <c r="BM809" t="s">
        <v>15738</v>
      </c>
      <c r="BN809" t="s">
        <v>74</v>
      </c>
      <c r="BO809" t="s">
        <v>74</v>
      </c>
      <c r="BP809" t="s">
        <v>74</v>
      </c>
      <c r="BQ809" t="s">
        <v>74</v>
      </c>
      <c r="BR809" t="s">
        <v>102</v>
      </c>
      <c r="BS809" t="s">
        <v>15739</v>
      </c>
      <c r="BT809" t="str">
        <f>HYPERLINK("https%3A%2F%2Fwww.webofscience.com%2Fwos%2Fwoscc%2Ffull-record%2FWOS:000652942000001","View Full Record in Web of Science")</f>
        <v>View Full Record in Web of Science</v>
      </c>
    </row>
    <row r="810" spans="1:72" x14ac:dyDescent="0.15">
      <c r="A810" t="s">
        <v>72</v>
      </c>
      <c r="B810" t="s">
        <v>15740</v>
      </c>
      <c r="C810" t="s">
        <v>74</v>
      </c>
      <c r="D810" t="s">
        <v>74</v>
      </c>
      <c r="E810" t="s">
        <v>74</v>
      </c>
      <c r="F810" t="s">
        <v>15741</v>
      </c>
      <c r="G810" t="s">
        <v>74</v>
      </c>
      <c r="H810" t="s">
        <v>74</v>
      </c>
      <c r="I810" t="s">
        <v>15742</v>
      </c>
      <c r="J810" t="s">
        <v>15743</v>
      </c>
      <c r="K810" t="s">
        <v>74</v>
      </c>
      <c r="L810" t="s">
        <v>74</v>
      </c>
      <c r="M810" t="s">
        <v>78</v>
      </c>
      <c r="N810" t="s">
        <v>79</v>
      </c>
      <c r="O810" t="s">
        <v>74</v>
      </c>
      <c r="P810" t="s">
        <v>74</v>
      </c>
      <c r="Q810" t="s">
        <v>74</v>
      </c>
      <c r="R810" t="s">
        <v>74</v>
      </c>
      <c r="S810" t="s">
        <v>74</v>
      </c>
      <c r="T810" t="s">
        <v>15744</v>
      </c>
      <c r="U810" t="s">
        <v>15745</v>
      </c>
      <c r="V810" t="s">
        <v>15746</v>
      </c>
      <c r="W810" t="s">
        <v>15747</v>
      </c>
      <c r="X810" t="s">
        <v>5481</v>
      </c>
      <c r="Y810" t="s">
        <v>15748</v>
      </c>
      <c r="Z810" t="s">
        <v>15749</v>
      </c>
      <c r="AA810" t="s">
        <v>15750</v>
      </c>
      <c r="AB810" t="s">
        <v>15751</v>
      </c>
      <c r="AC810" t="s">
        <v>15752</v>
      </c>
      <c r="AD810" t="s">
        <v>15753</v>
      </c>
      <c r="AE810" t="s">
        <v>15754</v>
      </c>
      <c r="AF810" t="s">
        <v>74</v>
      </c>
      <c r="AG810">
        <v>118</v>
      </c>
      <c r="AH810">
        <v>9</v>
      </c>
      <c r="AI810">
        <v>10</v>
      </c>
      <c r="AJ810">
        <v>3</v>
      </c>
      <c r="AK810">
        <v>21</v>
      </c>
      <c r="AL810" t="s">
        <v>197</v>
      </c>
      <c r="AM810" t="s">
        <v>198</v>
      </c>
      <c r="AN810" t="s">
        <v>199</v>
      </c>
      <c r="AO810" t="s">
        <v>15755</v>
      </c>
      <c r="AP810" t="s">
        <v>15756</v>
      </c>
      <c r="AQ810" t="s">
        <v>74</v>
      </c>
      <c r="AR810" t="s">
        <v>15757</v>
      </c>
      <c r="AS810" t="s">
        <v>15758</v>
      </c>
      <c r="AT810" t="s">
        <v>430</v>
      </c>
      <c r="AU810">
        <v>2021</v>
      </c>
      <c r="AV810">
        <v>31</v>
      </c>
      <c r="AW810">
        <v>5</v>
      </c>
      <c r="AX810" t="s">
        <v>74</v>
      </c>
      <c r="AY810" t="s">
        <v>74</v>
      </c>
      <c r="AZ810" t="s">
        <v>74</v>
      </c>
      <c r="BA810" t="s">
        <v>74</v>
      </c>
      <c r="BB810" t="s">
        <v>74</v>
      </c>
      <c r="BC810" t="s">
        <v>74</v>
      </c>
      <c r="BD810" t="s">
        <v>15759</v>
      </c>
      <c r="BE810" t="s">
        <v>15760</v>
      </c>
      <c r="BF810" t="str">
        <f>HYPERLINK("http://dx.doi.org/10.1002/eap.2343","http://dx.doi.org/10.1002/eap.2343")</f>
        <v>http://dx.doi.org/10.1002/eap.2343</v>
      </c>
      <c r="BG810" t="s">
        <v>74</v>
      </c>
      <c r="BH810" t="s">
        <v>14415</v>
      </c>
      <c r="BI810">
        <v>20</v>
      </c>
      <c r="BJ810" t="s">
        <v>8407</v>
      </c>
      <c r="BK810" t="s">
        <v>128</v>
      </c>
      <c r="BL810" t="s">
        <v>263</v>
      </c>
      <c r="BM810" t="s">
        <v>15761</v>
      </c>
      <c r="BN810">
        <v>33817895</v>
      </c>
      <c r="BO810" t="s">
        <v>74</v>
      </c>
      <c r="BP810" t="s">
        <v>74</v>
      </c>
      <c r="BQ810" t="s">
        <v>74</v>
      </c>
      <c r="BR810" t="s">
        <v>102</v>
      </c>
      <c r="BS810" t="s">
        <v>15762</v>
      </c>
      <c r="BT810" t="str">
        <f>HYPERLINK("https%3A%2F%2Fwww.webofscience.com%2Fwos%2Fwoscc%2Ffull-record%2FWOS:000652384100001","View Full Record in Web of Science")</f>
        <v>View Full Record in Web of Science</v>
      </c>
    </row>
    <row r="811" spans="1:72" x14ac:dyDescent="0.15">
      <c r="A811" t="s">
        <v>72</v>
      </c>
      <c r="B811" t="s">
        <v>15763</v>
      </c>
      <c r="C811" t="s">
        <v>74</v>
      </c>
      <c r="D811" t="s">
        <v>74</v>
      </c>
      <c r="E811" t="s">
        <v>74</v>
      </c>
      <c r="F811" t="s">
        <v>15764</v>
      </c>
      <c r="G811" t="s">
        <v>74</v>
      </c>
      <c r="H811" t="s">
        <v>74</v>
      </c>
      <c r="I811" t="s">
        <v>15765</v>
      </c>
      <c r="J811" t="s">
        <v>184</v>
      </c>
      <c r="K811" t="s">
        <v>74</v>
      </c>
      <c r="L811" t="s">
        <v>74</v>
      </c>
      <c r="M811" t="s">
        <v>78</v>
      </c>
      <c r="N811" t="s">
        <v>79</v>
      </c>
      <c r="O811" t="s">
        <v>74</v>
      </c>
      <c r="P811" t="s">
        <v>74</v>
      </c>
      <c r="Q811" t="s">
        <v>74</v>
      </c>
      <c r="R811" t="s">
        <v>74</v>
      </c>
      <c r="S811" t="s">
        <v>74</v>
      </c>
      <c r="T811" t="s">
        <v>15766</v>
      </c>
      <c r="U811" t="s">
        <v>15767</v>
      </c>
      <c r="V811" t="s">
        <v>15768</v>
      </c>
      <c r="W811" t="s">
        <v>15769</v>
      </c>
      <c r="X811" t="s">
        <v>15770</v>
      </c>
      <c r="Y811" t="s">
        <v>15771</v>
      </c>
      <c r="Z811" t="s">
        <v>15772</v>
      </c>
      <c r="AA811" t="s">
        <v>15773</v>
      </c>
      <c r="AB811" t="s">
        <v>15774</v>
      </c>
      <c r="AC811" t="s">
        <v>15775</v>
      </c>
      <c r="AD811" t="s">
        <v>15775</v>
      </c>
      <c r="AE811" t="s">
        <v>15776</v>
      </c>
      <c r="AF811" t="s">
        <v>74</v>
      </c>
      <c r="AG811">
        <v>97</v>
      </c>
      <c r="AH811">
        <v>25</v>
      </c>
      <c r="AI811">
        <v>27</v>
      </c>
      <c r="AJ811">
        <v>8</v>
      </c>
      <c r="AK811">
        <v>78</v>
      </c>
      <c r="AL811" t="s">
        <v>197</v>
      </c>
      <c r="AM811" t="s">
        <v>198</v>
      </c>
      <c r="AN811" t="s">
        <v>199</v>
      </c>
      <c r="AO811" t="s">
        <v>200</v>
      </c>
      <c r="AP811" t="s">
        <v>201</v>
      </c>
      <c r="AQ811" t="s">
        <v>74</v>
      </c>
      <c r="AR811" t="s">
        <v>202</v>
      </c>
      <c r="AS811" t="s">
        <v>203</v>
      </c>
      <c r="AT811" t="s">
        <v>535</v>
      </c>
      <c r="AU811">
        <v>2021</v>
      </c>
      <c r="AV811">
        <v>27</v>
      </c>
      <c r="AW811">
        <v>15</v>
      </c>
      <c r="AX811" t="s">
        <v>74</v>
      </c>
      <c r="AY811" t="s">
        <v>74</v>
      </c>
      <c r="AZ811" t="s">
        <v>74</v>
      </c>
      <c r="BA811" t="s">
        <v>74</v>
      </c>
      <c r="BB811">
        <v>3432</v>
      </c>
      <c r="BC811">
        <v>3447</v>
      </c>
      <c r="BD811" t="s">
        <v>74</v>
      </c>
      <c r="BE811" t="s">
        <v>15777</v>
      </c>
      <c r="BF811" t="str">
        <f>HYPERLINK("http://dx.doi.org/10.1111/gcb.15635","http://dx.doi.org/10.1111/gcb.15635")</f>
        <v>http://dx.doi.org/10.1111/gcb.15635</v>
      </c>
      <c r="BG811" t="s">
        <v>74</v>
      </c>
      <c r="BH811" t="s">
        <v>14415</v>
      </c>
      <c r="BI811">
        <v>16</v>
      </c>
      <c r="BJ811" t="s">
        <v>206</v>
      </c>
      <c r="BK811" t="s">
        <v>100</v>
      </c>
      <c r="BL811" t="s">
        <v>207</v>
      </c>
      <c r="BM811" t="s">
        <v>15390</v>
      </c>
      <c r="BN811">
        <v>34015863</v>
      </c>
      <c r="BO811" t="s">
        <v>15778</v>
      </c>
      <c r="BP811" t="s">
        <v>74</v>
      </c>
      <c r="BQ811" t="s">
        <v>74</v>
      </c>
      <c r="BR811" t="s">
        <v>102</v>
      </c>
      <c r="BS811" t="s">
        <v>15779</v>
      </c>
      <c r="BT811" t="str">
        <f>HYPERLINK("https%3A%2F%2Fwww.webofscience.com%2Fwos%2Fwoscc%2Ffull-record%2FWOS:000652323600001","View Full Record in Web of Science")</f>
        <v>View Full Record in Web of Science</v>
      </c>
    </row>
    <row r="812" spans="1:72" x14ac:dyDescent="0.15">
      <c r="A812" t="s">
        <v>72</v>
      </c>
      <c r="B812" t="s">
        <v>15780</v>
      </c>
      <c r="C812" t="s">
        <v>74</v>
      </c>
      <c r="D812" t="s">
        <v>74</v>
      </c>
      <c r="E812" t="s">
        <v>74</v>
      </c>
      <c r="F812" t="s">
        <v>15781</v>
      </c>
      <c r="G812" t="s">
        <v>74</v>
      </c>
      <c r="H812" t="s">
        <v>74</v>
      </c>
      <c r="I812" t="s">
        <v>15782</v>
      </c>
      <c r="J812" t="s">
        <v>15783</v>
      </c>
      <c r="K812" t="s">
        <v>74</v>
      </c>
      <c r="L812" t="s">
        <v>74</v>
      </c>
      <c r="M812" t="s">
        <v>78</v>
      </c>
      <c r="N812" t="s">
        <v>79</v>
      </c>
      <c r="O812" t="s">
        <v>74</v>
      </c>
      <c r="P812" t="s">
        <v>74</v>
      </c>
      <c r="Q812" t="s">
        <v>74</v>
      </c>
      <c r="R812" t="s">
        <v>74</v>
      </c>
      <c r="S812" t="s">
        <v>74</v>
      </c>
      <c r="T812" t="s">
        <v>15784</v>
      </c>
      <c r="U812" t="s">
        <v>74</v>
      </c>
      <c r="V812" t="s">
        <v>15785</v>
      </c>
      <c r="W812" t="s">
        <v>15786</v>
      </c>
      <c r="X812" t="s">
        <v>15787</v>
      </c>
      <c r="Y812" t="s">
        <v>15788</v>
      </c>
      <c r="Z812" t="s">
        <v>15789</v>
      </c>
      <c r="AA812" t="s">
        <v>15790</v>
      </c>
      <c r="AB812" t="s">
        <v>15791</v>
      </c>
      <c r="AC812" t="s">
        <v>15792</v>
      </c>
      <c r="AD812" t="s">
        <v>15792</v>
      </c>
      <c r="AE812" t="s">
        <v>15793</v>
      </c>
      <c r="AF812" t="s">
        <v>74</v>
      </c>
      <c r="AG812">
        <v>69</v>
      </c>
      <c r="AH812">
        <v>5</v>
      </c>
      <c r="AI812">
        <v>5</v>
      </c>
      <c r="AJ812">
        <v>0</v>
      </c>
      <c r="AK812">
        <v>1</v>
      </c>
      <c r="AL812" t="s">
        <v>13872</v>
      </c>
      <c r="AM812" t="s">
        <v>13873</v>
      </c>
      <c r="AN812" t="s">
        <v>14670</v>
      </c>
      <c r="AO812" t="s">
        <v>15794</v>
      </c>
      <c r="AP812" t="s">
        <v>15795</v>
      </c>
      <c r="AQ812" t="s">
        <v>74</v>
      </c>
      <c r="AR812" t="s">
        <v>15783</v>
      </c>
      <c r="AS812" t="s">
        <v>15796</v>
      </c>
      <c r="AT812" t="s">
        <v>15797</v>
      </c>
      <c r="AU812">
        <v>2021</v>
      </c>
      <c r="AV812">
        <v>501</v>
      </c>
      <c r="AW812">
        <v>1</v>
      </c>
      <c r="AX812" t="s">
        <v>74</v>
      </c>
      <c r="AY812" t="s">
        <v>74</v>
      </c>
      <c r="AZ812" t="s">
        <v>74</v>
      </c>
      <c r="BA812" t="s">
        <v>74</v>
      </c>
      <c r="BB812">
        <v>85</v>
      </c>
      <c r="BC812">
        <v>118</v>
      </c>
      <c r="BD812" t="s">
        <v>74</v>
      </c>
      <c r="BE812" t="s">
        <v>15798</v>
      </c>
      <c r="BF812" t="str">
        <f>HYPERLINK("http://dx.doi.org/10.11646/phytotaxa.501.1.3","http://dx.doi.org/10.11646/phytotaxa.501.1.3")</f>
        <v>http://dx.doi.org/10.11646/phytotaxa.501.1.3</v>
      </c>
      <c r="BG812" t="s">
        <v>74</v>
      </c>
      <c r="BH812" t="s">
        <v>74</v>
      </c>
      <c r="BI812">
        <v>34</v>
      </c>
      <c r="BJ812" t="s">
        <v>1398</v>
      </c>
      <c r="BK812" t="s">
        <v>128</v>
      </c>
      <c r="BL812" t="s">
        <v>1398</v>
      </c>
      <c r="BM812" t="s">
        <v>15799</v>
      </c>
      <c r="BN812" t="s">
        <v>74</v>
      </c>
      <c r="BO812" t="s">
        <v>74</v>
      </c>
      <c r="BP812" t="s">
        <v>74</v>
      </c>
      <c r="BQ812" t="s">
        <v>74</v>
      </c>
      <c r="BR812" t="s">
        <v>102</v>
      </c>
      <c r="BS812" t="s">
        <v>15800</v>
      </c>
      <c r="BT812" t="str">
        <f>HYPERLINK("https%3A%2F%2Fwww.webofscience.com%2Fwos%2Fwoscc%2Ffull-record%2FWOS:000675538900001","View Full Record in Web of Science")</f>
        <v>View Full Record in Web of Science</v>
      </c>
    </row>
    <row r="813" spans="1:72" x14ac:dyDescent="0.15">
      <c r="A813" t="s">
        <v>72</v>
      </c>
      <c r="B813" t="s">
        <v>15801</v>
      </c>
      <c r="C813" t="s">
        <v>74</v>
      </c>
      <c r="D813" t="s">
        <v>74</v>
      </c>
      <c r="E813" t="s">
        <v>74</v>
      </c>
      <c r="F813" t="s">
        <v>15802</v>
      </c>
      <c r="G813" t="s">
        <v>74</v>
      </c>
      <c r="H813" t="s">
        <v>74</v>
      </c>
      <c r="I813" t="s">
        <v>15803</v>
      </c>
      <c r="J813" t="s">
        <v>15804</v>
      </c>
      <c r="K813" t="s">
        <v>74</v>
      </c>
      <c r="L813" t="s">
        <v>74</v>
      </c>
      <c r="M813" t="s">
        <v>78</v>
      </c>
      <c r="N813" t="s">
        <v>79</v>
      </c>
      <c r="O813" t="s">
        <v>74</v>
      </c>
      <c r="P813" t="s">
        <v>74</v>
      </c>
      <c r="Q813" t="s">
        <v>74</v>
      </c>
      <c r="R813" t="s">
        <v>74</v>
      </c>
      <c r="S813" t="s">
        <v>74</v>
      </c>
      <c r="T813" t="s">
        <v>15805</v>
      </c>
      <c r="U813" t="s">
        <v>15806</v>
      </c>
      <c r="V813" t="s">
        <v>15807</v>
      </c>
      <c r="W813" t="s">
        <v>15808</v>
      </c>
      <c r="X813" t="s">
        <v>15809</v>
      </c>
      <c r="Y813" t="s">
        <v>15810</v>
      </c>
      <c r="Z813" t="s">
        <v>15811</v>
      </c>
      <c r="AA813" t="s">
        <v>15812</v>
      </c>
      <c r="AB813" t="s">
        <v>15813</v>
      </c>
      <c r="AC813" t="s">
        <v>15814</v>
      </c>
      <c r="AD813" t="s">
        <v>15815</v>
      </c>
      <c r="AE813" t="s">
        <v>15816</v>
      </c>
      <c r="AF813" t="s">
        <v>74</v>
      </c>
      <c r="AG813">
        <v>49</v>
      </c>
      <c r="AH813">
        <v>50</v>
      </c>
      <c r="AI813">
        <v>53</v>
      </c>
      <c r="AJ813">
        <v>24</v>
      </c>
      <c r="AK813">
        <v>165</v>
      </c>
      <c r="AL813" t="s">
        <v>4214</v>
      </c>
      <c r="AM813" t="s">
        <v>865</v>
      </c>
      <c r="AN813" t="s">
        <v>4215</v>
      </c>
      <c r="AO813" t="s">
        <v>15817</v>
      </c>
      <c r="AP813" t="s">
        <v>15818</v>
      </c>
      <c r="AQ813" t="s">
        <v>74</v>
      </c>
      <c r="AR813" t="s">
        <v>15819</v>
      </c>
      <c r="AS813" t="s">
        <v>15820</v>
      </c>
      <c r="AT813" t="s">
        <v>15821</v>
      </c>
      <c r="AU813">
        <v>2021</v>
      </c>
      <c r="AV813">
        <v>13</v>
      </c>
      <c r="AW813">
        <v>21</v>
      </c>
      <c r="AX813" t="s">
        <v>74</v>
      </c>
      <c r="AY813" t="s">
        <v>74</v>
      </c>
      <c r="AZ813" t="s">
        <v>74</v>
      </c>
      <c r="BA813" t="s">
        <v>74</v>
      </c>
      <c r="BB813">
        <v>25102</v>
      </c>
      <c r="BC813">
        <v>25110</v>
      </c>
      <c r="BD813" t="s">
        <v>74</v>
      </c>
      <c r="BE813" t="s">
        <v>15822</v>
      </c>
      <c r="BF813" t="str">
        <f>HYPERLINK("http://dx.doi.org/10.1021/acsami.1c04559","http://dx.doi.org/10.1021/acsami.1c04559")</f>
        <v>http://dx.doi.org/10.1021/acsami.1c04559</v>
      </c>
      <c r="BG813" t="s">
        <v>74</v>
      </c>
      <c r="BH813" t="s">
        <v>14415</v>
      </c>
      <c r="BI813">
        <v>9</v>
      </c>
      <c r="BJ813" t="s">
        <v>8352</v>
      </c>
      <c r="BK813" t="s">
        <v>128</v>
      </c>
      <c r="BL813" t="s">
        <v>8353</v>
      </c>
      <c r="BM813" t="s">
        <v>15823</v>
      </c>
      <c r="BN813">
        <v>34009926</v>
      </c>
      <c r="BO813" t="s">
        <v>74</v>
      </c>
      <c r="BP813" t="s">
        <v>74</v>
      </c>
      <c r="BQ813" t="s">
        <v>74</v>
      </c>
      <c r="BR813" t="s">
        <v>102</v>
      </c>
      <c r="BS813" t="s">
        <v>15824</v>
      </c>
      <c r="BT813" t="str">
        <f>HYPERLINK("https%3A%2F%2Fwww.webofscience.com%2Fwos%2Fwoscc%2Ffull-record%2FWOS:000659315800072","View Full Record in Web of Science")</f>
        <v>View Full Record in Web of Science</v>
      </c>
    </row>
    <row r="814" spans="1:72" x14ac:dyDescent="0.15">
      <c r="A814" t="s">
        <v>72</v>
      </c>
      <c r="B814" t="s">
        <v>15825</v>
      </c>
      <c r="C814" t="s">
        <v>74</v>
      </c>
      <c r="D814" t="s">
        <v>74</v>
      </c>
      <c r="E814" t="s">
        <v>74</v>
      </c>
      <c r="F814" t="s">
        <v>15826</v>
      </c>
      <c r="G814" t="s">
        <v>74</v>
      </c>
      <c r="H814" t="s">
        <v>74</v>
      </c>
      <c r="I814" t="s">
        <v>15827</v>
      </c>
      <c r="J814" t="s">
        <v>13688</v>
      </c>
      <c r="K814" t="s">
        <v>74</v>
      </c>
      <c r="L814" t="s">
        <v>74</v>
      </c>
      <c r="M814" t="s">
        <v>78</v>
      </c>
      <c r="N814" t="s">
        <v>79</v>
      </c>
      <c r="O814" t="s">
        <v>74</v>
      </c>
      <c r="P814" t="s">
        <v>74</v>
      </c>
      <c r="Q814" t="s">
        <v>74</v>
      </c>
      <c r="R814" t="s">
        <v>74</v>
      </c>
      <c r="S814" t="s">
        <v>74</v>
      </c>
      <c r="T814" t="s">
        <v>15828</v>
      </c>
      <c r="U814" t="s">
        <v>15829</v>
      </c>
      <c r="V814" t="s">
        <v>15830</v>
      </c>
      <c r="W814" t="s">
        <v>15831</v>
      </c>
      <c r="X814" t="s">
        <v>5481</v>
      </c>
      <c r="Y814" t="s">
        <v>15832</v>
      </c>
      <c r="Z814" t="s">
        <v>15833</v>
      </c>
      <c r="AA814" t="s">
        <v>15834</v>
      </c>
      <c r="AB814" t="s">
        <v>15835</v>
      </c>
      <c r="AC814" t="s">
        <v>15836</v>
      </c>
      <c r="AD814" t="s">
        <v>15837</v>
      </c>
      <c r="AE814" t="s">
        <v>15838</v>
      </c>
      <c r="AF814" t="s">
        <v>74</v>
      </c>
      <c r="AG814">
        <v>82</v>
      </c>
      <c r="AH814">
        <v>4</v>
      </c>
      <c r="AI814">
        <v>4</v>
      </c>
      <c r="AJ814">
        <v>2</v>
      </c>
      <c r="AK814">
        <v>18</v>
      </c>
      <c r="AL814" t="s">
        <v>89</v>
      </c>
      <c r="AM814" t="s">
        <v>90</v>
      </c>
      <c r="AN814" t="s">
        <v>91</v>
      </c>
      <c r="AO814" t="s">
        <v>13699</v>
      </c>
      <c r="AP814" t="s">
        <v>13700</v>
      </c>
      <c r="AQ814" t="s">
        <v>74</v>
      </c>
      <c r="AR814" t="s">
        <v>13701</v>
      </c>
      <c r="AS814" t="s">
        <v>13702</v>
      </c>
      <c r="AT814" t="s">
        <v>535</v>
      </c>
      <c r="AU814">
        <v>2021</v>
      </c>
      <c r="AV814">
        <v>220</v>
      </c>
      <c r="AW814" t="s">
        <v>74</v>
      </c>
      <c r="AX814" t="s">
        <v>74</v>
      </c>
      <c r="AY814" t="s">
        <v>74</v>
      </c>
      <c r="AZ814" t="s">
        <v>74</v>
      </c>
      <c r="BA814" t="s">
        <v>74</v>
      </c>
      <c r="BB814" t="s">
        <v>74</v>
      </c>
      <c r="BC814" t="s">
        <v>74</v>
      </c>
      <c r="BD814">
        <v>103569</v>
      </c>
      <c r="BE814" t="s">
        <v>15839</v>
      </c>
      <c r="BF814" t="str">
        <f>HYPERLINK("http://dx.doi.org/10.1016/j.jmarsys.2021.103569","http://dx.doi.org/10.1016/j.jmarsys.2021.103569")</f>
        <v>http://dx.doi.org/10.1016/j.jmarsys.2021.103569</v>
      </c>
      <c r="BG814" t="s">
        <v>74</v>
      </c>
      <c r="BH814" t="s">
        <v>14415</v>
      </c>
      <c r="BI814">
        <v>14</v>
      </c>
      <c r="BJ814" t="s">
        <v>13704</v>
      </c>
      <c r="BK814" t="s">
        <v>128</v>
      </c>
      <c r="BL814" t="s">
        <v>13705</v>
      </c>
      <c r="BM814" t="s">
        <v>15840</v>
      </c>
      <c r="BN814" t="s">
        <v>74</v>
      </c>
      <c r="BO814" t="s">
        <v>74</v>
      </c>
      <c r="BP814" t="s">
        <v>74</v>
      </c>
      <c r="BQ814" t="s">
        <v>74</v>
      </c>
      <c r="BR814" t="s">
        <v>102</v>
      </c>
      <c r="BS814" t="s">
        <v>15841</v>
      </c>
      <c r="BT814" t="str">
        <f>HYPERLINK("https%3A%2F%2Fwww.webofscience.com%2Fwos%2Fwoscc%2Ffull-record%2FWOS:000656425200003","View Full Record in Web of Science")</f>
        <v>View Full Record in Web of Science</v>
      </c>
    </row>
    <row r="815" spans="1:72" x14ac:dyDescent="0.15">
      <c r="A815" t="s">
        <v>72</v>
      </c>
      <c r="B815" t="s">
        <v>15842</v>
      </c>
      <c r="C815" t="s">
        <v>74</v>
      </c>
      <c r="D815" t="s">
        <v>74</v>
      </c>
      <c r="E815" t="s">
        <v>74</v>
      </c>
      <c r="F815" t="s">
        <v>15843</v>
      </c>
      <c r="G815" t="s">
        <v>74</v>
      </c>
      <c r="H815" t="s">
        <v>74</v>
      </c>
      <c r="I815" t="s">
        <v>15844</v>
      </c>
      <c r="J815" t="s">
        <v>8629</v>
      </c>
      <c r="K815" t="s">
        <v>74</v>
      </c>
      <c r="L815" t="s">
        <v>74</v>
      </c>
      <c r="M815" t="s">
        <v>78</v>
      </c>
      <c r="N815" t="s">
        <v>79</v>
      </c>
      <c r="O815" t="s">
        <v>74</v>
      </c>
      <c r="P815" t="s">
        <v>74</v>
      </c>
      <c r="Q815" t="s">
        <v>74</v>
      </c>
      <c r="R815" t="s">
        <v>74</v>
      </c>
      <c r="S815" t="s">
        <v>74</v>
      </c>
      <c r="T815" t="s">
        <v>15845</v>
      </c>
      <c r="U815" t="s">
        <v>15846</v>
      </c>
      <c r="V815" t="s">
        <v>15847</v>
      </c>
      <c r="W815" t="s">
        <v>15848</v>
      </c>
      <c r="X815" t="s">
        <v>15849</v>
      </c>
      <c r="Y815" t="s">
        <v>15850</v>
      </c>
      <c r="Z815" t="s">
        <v>15851</v>
      </c>
      <c r="AA815" t="s">
        <v>15852</v>
      </c>
      <c r="AB815" t="s">
        <v>15853</v>
      </c>
      <c r="AC815" t="s">
        <v>15854</v>
      </c>
      <c r="AD815" t="s">
        <v>15855</v>
      </c>
      <c r="AE815" t="s">
        <v>15856</v>
      </c>
      <c r="AF815" t="s">
        <v>74</v>
      </c>
      <c r="AG815">
        <v>73</v>
      </c>
      <c r="AH815">
        <v>6</v>
      </c>
      <c r="AI815">
        <v>7</v>
      </c>
      <c r="AJ815">
        <v>2</v>
      </c>
      <c r="AK815">
        <v>34</v>
      </c>
      <c r="AL815" t="s">
        <v>814</v>
      </c>
      <c r="AM815" t="s">
        <v>815</v>
      </c>
      <c r="AN815" t="s">
        <v>816</v>
      </c>
      <c r="AO815" t="s">
        <v>8641</v>
      </c>
      <c r="AP815" t="s">
        <v>8642</v>
      </c>
      <c r="AQ815" t="s">
        <v>74</v>
      </c>
      <c r="AR815" t="s">
        <v>8643</v>
      </c>
      <c r="AS815" t="s">
        <v>8644</v>
      </c>
      <c r="AT815" t="s">
        <v>204</v>
      </c>
      <c r="AU815">
        <v>2021</v>
      </c>
      <c r="AV815">
        <v>28</v>
      </c>
      <c r="AW815">
        <v>37</v>
      </c>
      <c r="AX815" t="s">
        <v>74</v>
      </c>
      <c r="AY815" t="s">
        <v>74</v>
      </c>
      <c r="AZ815" t="s">
        <v>74</v>
      </c>
      <c r="BA815" t="s">
        <v>74</v>
      </c>
      <c r="BB815">
        <v>52381</v>
      </c>
      <c r="BC815">
        <v>52391</v>
      </c>
      <c r="BD815" t="s">
        <v>74</v>
      </c>
      <c r="BE815" t="s">
        <v>15857</v>
      </c>
      <c r="BF815" t="str">
        <f>HYPERLINK("http://dx.doi.org/10.1007/s11356-021-14458-5","http://dx.doi.org/10.1007/s11356-021-14458-5")</f>
        <v>http://dx.doi.org/10.1007/s11356-021-14458-5</v>
      </c>
      <c r="BG815" t="s">
        <v>74</v>
      </c>
      <c r="BH815" t="s">
        <v>14415</v>
      </c>
      <c r="BI815">
        <v>11</v>
      </c>
      <c r="BJ815" t="s">
        <v>262</v>
      </c>
      <c r="BK815" t="s">
        <v>128</v>
      </c>
      <c r="BL815" t="s">
        <v>263</v>
      </c>
      <c r="BM815" t="s">
        <v>15858</v>
      </c>
      <c r="BN815">
        <v>34009576</v>
      </c>
      <c r="BO815" t="s">
        <v>74</v>
      </c>
      <c r="BP815" t="s">
        <v>74</v>
      </c>
      <c r="BQ815" t="s">
        <v>74</v>
      </c>
      <c r="BR815" t="s">
        <v>102</v>
      </c>
      <c r="BS815" t="s">
        <v>15859</v>
      </c>
      <c r="BT815" t="str">
        <f>HYPERLINK("https%3A%2F%2Fwww.webofscience.com%2Fwos%2Fwoscc%2Ffull-record%2FWOS:000652107200010","View Full Record in Web of Science")</f>
        <v>View Full Record in Web of Science</v>
      </c>
    </row>
    <row r="816" spans="1:72" x14ac:dyDescent="0.15">
      <c r="A816" t="s">
        <v>72</v>
      </c>
      <c r="B816" t="s">
        <v>15860</v>
      </c>
      <c r="C816" t="s">
        <v>74</v>
      </c>
      <c r="D816" t="s">
        <v>74</v>
      </c>
      <c r="E816" t="s">
        <v>74</v>
      </c>
      <c r="F816" t="s">
        <v>15861</v>
      </c>
      <c r="G816" t="s">
        <v>74</v>
      </c>
      <c r="H816" t="s">
        <v>74</v>
      </c>
      <c r="I816" t="s">
        <v>15862</v>
      </c>
      <c r="J816" t="s">
        <v>15863</v>
      </c>
      <c r="K816" t="s">
        <v>74</v>
      </c>
      <c r="L816" t="s">
        <v>74</v>
      </c>
      <c r="M816" t="s">
        <v>78</v>
      </c>
      <c r="N816" t="s">
        <v>79</v>
      </c>
      <c r="O816" t="s">
        <v>74</v>
      </c>
      <c r="P816" t="s">
        <v>74</v>
      </c>
      <c r="Q816" t="s">
        <v>74</v>
      </c>
      <c r="R816" t="s">
        <v>74</v>
      </c>
      <c r="S816" t="s">
        <v>74</v>
      </c>
      <c r="T816" t="s">
        <v>15864</v>
      </c>
      <c r="U816" t="s">
        <v>15865</v>
      </c>
      <c r="V816" t="s">
        <v>15866</v>
      </c>
      <c r="W816" t="s">
        <v>15867</v>
      </c>
      <c r="X816" t="s">
        <v>15868</v>
      </c>
      <c r="Y816" t="s">
        <v>15869</v>
      </c>
      <c r="Z816" t="s">
        <v>15870</v>
      </c>
      <c r="AA816" t="s">
        <v>15871</v>
      </c>
      <c r="AB816" t="s">
        <v>15872</v>
      </c>
      <c r="AC816" t="s">
        <v>15873</v>
      </c>
      <c r="AD816" t="s">
        <v>15874</v>
      </c>
      <c r="AE816" t="s">
        <v>15875</v>
      </c>
      <c r="AF816" t="s">
        <v>74</v>
      </c>
      <c r="AG816">
        <v>49</v>
      </c>
      <c r="AH816">
        <v>7</v>
      </c>
      <c r="AI816">
        <v>7</v>
      </c>
      <c r="AJ816">
        <v>3</v>
      </c>
      <c r="AK816">
        <v>35</v>
      </c>
      <c r="AL816" t="s">
        <v>15876</v>
      </c>
      <c r="AM816" t="s">
        <v>15877</v>
      </c>
      <c r="AN816" t="s">
        <v>15878</v>
      </c>
      <c r="AO816" t="s">
        <v>15879</v>
      </c>
      <c r="AP816" t="s">
        <v>74</v>
      </c>
      <c r="AQ816" t="s">
        <v>74</v>
      </c>
      <c r="AR816" t="s">
        <v>15880</v>
      </c>
      <c r="AS816" t="s">
        <v>15881</v>
      </c>
      <c r="AT816" t="s">
        <v>15797</v>
      </c>
      <c r="AU816">
        <v>2021</v>
      </c>
      <c r="AV816">
        <v>17</v>
      </c>
      <c r="AW816" t="s">
        <v>74</v>
      </c>
      <c r="AX816" t="s">
        <v>74</v>
      </c>
      <c r="AY816" t="s">
        <v>74</v>
      </c>
      <c r="AZ816" t="s">
        <v>74</v>
      </c>
      <c r="BA816" t="s">
        <v>74</v>
      </c>
      <c r="BB816">
        <v>1313</v>
      </c>
      <c r="BC816">
        <v>1322</v>
      </c>
      <c r="BD816" t="s">
        <v>74</v>
      </c>
      <c r="BE816" t="s">
        <v>15882</v>
      </c>
      <c r="BF816" t="str">
        <f>HYPERLINK("http://dx.doi.org/10.3762/bjoc.17.91","http://dx.doi.org/10.3762/bjoc.17.91")</f>
        <v>http://dx.doi.org/10.3762/bjoc.17.91</v>
      </c>
      <c r="BG816" t="s">
        <v>74</v>
      </c>
      <c r="BH816" t="s">
        <v>74</v>
      </c>
      <c r="BI816">
        <v>10</v>
      </c>
      <c r="BJ816" t="s">
        <v>15883</v>
      </c>
      <c r="BK816" t="s">
        <v>128</v>
      </c>
      <c r="BL816" t="s">
        <v>13646</v>
      </c>
      <c r="BM816" t="s">
        <v>15884</v>
      </c>
      <c r="BN816">
        <v>34136011</v>
      </c>
      <c r="BO816" t="s">
        <v>311</v>
      </c>
      <c r="BP816" t="s">
        <v>74</v>
      </c>
      <c r="BQ816" t="s">
        <v>74</v>
      </c>
      <c r="BR816" t="s">
        <v>102</v>
      </c>
      <c r="BS816" t="s">
        <v>15885</v>
      </c>
      <c r="BT816" t="str">
        <f>HYPERLINK("https%3A%2F%2Fwww.webofscience.com%2Fwos%2Fwoscc%2Ffull-record%2FWOS:000653059400001","View Full Record in Web of Science")</f>
        <v>View Full Record in Web of Science</v>
      </c>
    </row>
    <row r="817" spans="1:72" x14ac:dyDescent="0.15">
      <c r="A817" t="s">
        <v>72</v>
      </c>
      <c r="B817" t="s">
        <v>15886</v>
      </c>
      <c r="C817" t="s">
        <v>74</v>
      </c>
      <c r="D817" t="s">
        <v>74</v>
      </c>
      <c r="E817" t="s">
        <v>74</v>
      </c>
      <c r="F817" t="s">
        <v>15887</v>
      </c>
      <c r="G817" t="s">
        <v>74</v>
      </c>
      <c r="H817" t="s">
        <v>74</v>
      </c>
      <c r="I817" t="s">
        <v>15888</v>
      </c>
      <c r="J817" t="s">
        <v>11754</v>
      </c>
      <c r="K817" t="s">
        <v>74</v>
      </c>
      <c r="L817" t="s">
        <v>74</v>
      </c>
      <c r="M817" t="s">
        <v>78</v>
      </c>
      <c r="N817" t="s">
        <v>79</v>
      </c>
      <c r="O817" t="s">
        <v>74</v>
      </c>
      <c r="P817" t="s">
        <v>74</v>
      </c>
      <c r="Q817" t="s">
        <v>74</v>
      </c>
      <c r="R817" t="s">
        <v>74</v>
      </c>
      <c r="S817" t="s">
        <v>74</v>
      </c>
      <c r="T817" t="s">
        <v>74</v>
      </c>
      <c r="U817" t="s">
        <v>15889</v>
      </c>
      <c r="V817" t="s">
        <v>15890</v>
      </c>
      <c r="W817" t="s">
        <v>15891</v>
      </c>
      <c r="X817" t="s">
        <v>15892</v>
      </c>
      <c r="Y817" t="s">
        <v>15893</v>
      </c>
      <c r="Z817" t="s">
        <v>15894</v>
      </c>
      <c r="AA817" t="s">
        <v>15895</v>
      </c>
      <c r="AB817" t="s">
        <v>15896</v>
      </c>
      <c r="AC817" t="s">
        <v>15897</v>
      </c>
      <c r="AD817" t="s">
        <v>15898</v>
      </c>
      <c r="AE817" t="s">
        <v>15899</v>
      </c>
      <c r="AF817" t="s">
        <v>74</v>
      </c>
      <c r="AG817">
        <v>62</v>
      </c>
      <c r="AH817">
        <v>14</v>
      </c>
      <c r="AI817">
        <v>15</v>
      </c>
      <c r="AJ817">
        <v>5</v>
      </c>
      <c r="AK817">
        <v>32</v>
      </c>
      <c r="AL817" t="s">
        <v>197</v>
      </c>
      <c r="AM817" t="s">
        <v>198</v>
      </c>
      <c r="AN817" t="s">
        <v>199</v>
      </c>
      <c r="AO817" t="s">
        <v>11766</v>
      </c>
      <c r="AP817" t="s">
        <v>11767</v>
      </c>
      <c r="AQ817" t="s">
        <v>74</v>
      </c>
      <c r="AR817" t="s">
        <v>11768</v>
      </c>
      <c r="AS817" t="s">
        <v>11769</v>
      </c>
      <c r="AT817" t="s">
        <v>430</v>
      </c>
      <c r="AU817">
        <v>2021</v>
      </c>
      <c r="AV817">
        <v>66</v>
      </c>
      <c r="AW817">
        <v>7</v>
      </c>
      <c r="AX817" t="s">
        <v>74</v>
      </c>
      <c r="AY817" t="s">
        <v>74</v>
      </c>
      <c r="AZ817" t="s">
        <v>74</v>
      </c>
      <c r="BA817" t="s">
        <v>74</v>
      </c>
      <c r="BB817">
        <v>2827</v>
      </c>
      <c r="BC817">
        <v>2841</v>
      </c>
      <c r="BD817" t="s">
        <v>74</v>
      </c>
      <c r="BE817" t="s">
        <v>15900</v>
      </c>
      <c r="BF817" t="str">
        <f>HYPERLINK("http://dx.doi.org/10.1002/lno.11793","http://dx.doi.org/10.1002/lno.11793")</f>
        <v>http://dx.doi.org/10.1002/lno.11793</v>
      </c>
      <c r="BG817" t="s">
        <v>74</v>
      </c>
      <c r="BH817" t="s">
        <v>14415</v>
      </c>
      <c r="BI817">
        <v>15</v>
      </c>
      <c r="BJ817" t="s">
        <v>8999</v>
      </c>
      <c r="BK817" t="s">
        <v>128</v>
      </c>
      <c r="BL817" t="s">
        <v>3436</v>
      </c>
      <c r="BM817" t="s">
        <v>11771</v>
      </c>
      <c r="BN817" t="s">
        <v>74</v>
      </c>
      <c r="BO817" t="s">
        <v>2514</v>
      </c>
      <c r="BP817" t="s">
        <v>74</v>
      </c>
      <c r="BQ817" t="s">
        <v>74</v>
      </c>
      <c r="BR817" t="s">
        <v>102</v>
      </c>
      <c r="BS817" t="s">
        <v>15901</v>
      </c>
      <c r="BT817" t="str">
        <f>HYPERLINK("https%3A%2F%2Fwww.webofscience.com%2Fwos%2Fwoscc%2Ffull-record%2FWOS:000651822900001","View Full Record in Web of Science")</f>
        <v>View Full Record in Web of Science</v>
      </c>
    </row>
    <row r="818" spans="1:72" x14ac:dyDescent="0.15">
      <c r="A818" t="s">
        <v>72</v>
      </c>
      <c r="B818" t="s">
        <v>15902</v>
      </c>
      <c r="C818" t="s">
        <v>74</v>
      </c>
      <c r="D818" t="s">
        <v>74</v>
      </c>
      <c r="E818" t="s">
        <v>74</v>
      </c>
      <c r="F818" t="s">
        <v>15903</v>
      </c>
      <c r="G818" t="s">
        <v>74</v>
      </c>
      <c r="H818" t="s">
        <v>74</v>
      </c>
      <c r="I818" t="s">
        <v>15904</v>
      </c>
      <c r="J818" t="s">
        <v>2862</v>
      </c>
      <c r="K818" t="s">
        <v>74</v>
      </c>
      <c r="L818" t="s">
        <v>74</v>
      </c>
      <c r="M818" t="s">
        <v>78</v>
      </c>
      <c r="N818" t="s">
        <v>79</v>
      </c>
      <c r="O818" t="s">
        <v>74</v>
      </c>
      <c r="P818" t="s">
        <v>74</v>
      </c>
      <c r="Q818" t="s">
        <v>74</v>
      </c>
      <c r="R818" t="s">
        <v>74</v>
      </c>
      <c r="S818" t="s">
        <v>74</v>
      </c>
      <c r="T818" t="s">
        <v>15905</v>
      </c>
      <c r="U818" t="s">
        <v>15906</v>
      </c>
      <c r="V818" t="s">
        <v>15907</v>
      </c>
      <c r="W818" t="s">
        <v>15908</v>
      </c>
      <c r="X818" t="s">
        <v>15909</v>
      </c>
      <c r="Y818" t="s">
        <v>15910</v>
      </c>
      <c r="Z818" t="s">
        <v>15911</v>
      </c>
      <c r="AA818" t="s">
        <v>15912</v>
      </c>
      <c r="AB818" t="s">
        <v>15913</v>
      </c>
      <c r="AC818" t="s">
        <v>15914</v>
      </c>
      <c r="AD818" t="s">
        <v>15915</v>
      </c>
      <c r="AE818" t="s">
        <v>15916</v>
      </c>
      <c r="AF818" t="s">
        <v>74</v>
      </c>
      <c r="AG818">
        <v>90</v>
      </c>
      <c r="AH818">
        <v>7</v>
      </c>
      <c r="AI818">
        <v>7</v>
      </c>
      <c r="AJ818">
        <v>2</v>
      </c>
      <c r="AK818">
        <v>12</v>
      </c>
      <c r="AL818" t="s">
        <v>450</v>
      </c>
      <c r="AM818" t="s">
        <v>650</v>
      </c>
      <c r="AN818" t="s">
        <v>1957</v>
      </c>
      <c r="AO818" t="s">
        <v>2874</v>
      </c>
      <c r="AP818" t="s">
        <v>2875</v>
      </c>
      <c r="AQ818" t="s">
        <v>74</v>
      </c>
      <c r="AR818" t="s">
        <v>2876</v>
      </c>
      <c r="AS818" t="s">
        <v>2877</v>
      </c>
      <c r="AT818" t="s">
        <v>430</v>
      </c>
      <c r="AU818">
        <v>2021</v>
      </c>
      <c r="AV818">
        <v>44</v>
      </c>
      <c r="AW818">
        <v>7</v>
      </c>
      <c r="AX818" t="s">
        <v>74</v>
      </c>
      <c r="AY818" t="s">
        <v>74</v>
      </c>
      <c r="AZ818" t="s">
        <v>74</v>
      </c>
      <c r="BA818" t="s">
        <v>74</v>
      </c>
      <c r="BB818">
        <v>1305</v>
      </c>
      <c r="BC818">
        <v>1319</v>
      </c>
      <c r="BD818" t="s">
        <v>74</v>
      </c>
      <c r="BE818" t="s">
        <v>15917</v>
      </c>
      <c r="BF818" t="str">
        <f>HYPERLINK("http://dx.doi.org/10.1007/s00300-021-02883-8","http://dx.doi.org/10.1007/s00300-021-02883-8")</f>
        <v>http://dx.doi.org/10.1007/s00300-021-02883-8</v>
      </c>
      <c r="BG818" t="s">
        <v>74</v>
      </c>
      <c r="BH818" t="s">
        <v>14415</v>
      </c>
      <c r="BI818">
        <v>15</v>
      </c>
      <c r="BJ818" t="s">
        <v>1883</v>
      </c>
      <c r="BK818" t="s">
        <v>128</v>
      </c>
      <c r="BL818" t="s">
        <v>207</v>
      </c>
      <c r="BM818" t="s">
        <v>10717</v>
      </c>
      <c r="BN818" t="s">
        <v>74</v>
      </c>
      <c r="BO818" t="s">
        <v>74</v>
      </c>
      <c r="BP818" t="s">
        <v>74</v>
      </c>
      <c r="BQ818" t="s">
        <v>74</v>
      </c>
      <c r="BR818" t="s">
        <v>102</v>
      </c>
      <c r="BS818" t="s">
        <v>15918</v>
      </c>
      <c r="BT818" t="str">
        <f>HYPERLINK("https%3A%2F%2Fwww.webofscience.com%2Fwos%2Fwoscc%2Ffull-record%2FWOS:000652134700001","View Full Record in Web of Science")</f>
        <v>View Full Record in Web of Science</v>
      </c>
    </row>
    <row r="819" spans="1:72" x14ac:dyDescent="0.15">
      <c r="A819" t="s">
        <v>72</v>
      </c>
      <c r="B819" t="s">
        <v>15919</v>
      </c>
      <c r="C819" t="s">
        <v>74</v>
      </c>
      <c r="D819" t="s">
        <v>74</v>
      </c>
      <c r="E819" t="s">
        <v>74</v>
      </c>
      <c r="F819" t="s">
        <v>15920</v>
      </c>
      <c r="G819" t="s">
        <v>74</v>
      </c>
      <c r="H819" t="s">
        <v>74</v>
      </c>
      <c r="I819" t="s">
        <v>15921</v>
      </c>
      <c r="J819" t="s">
        <v>15922</v>
      </c>
      <c r="K819" t="s">
        <v>74</v>
      </c>
      <c r="L819" t="s">
        <v>74</v>
      </c>
      <c r="M819" t="s">
        <v>78</v>
      </c>
      <c r="N819" t="s">
        <v>79</v>
      </c>
      <c r="O819" t="s">
        <v>74</v>
      </c>
      <c r="P819" t="s">
        <v>74</v>
      </c>
      <c r="Q819" t="s">
        <v>74</v>
      </c>
      <c r="R819" t="s">
        <v>74</v>
      </c>
      <c r="S819" t="s">
        <v>74</v>
      </c>
      <c r="T819" t="s">
        <v>15923</v>
      </c>
      <c r="U819" t="s">
        <v>15924</v>
      </c>
      <c r="V819" t="s">
        <v>15925</v>
      </c>
      <c r="W819" t="s">
        <v>15926</v>
      </c>
      <c r="X819" t="s">
        <v>15927</v>
      </c>
      <c r="Y819" t="s">
        <v>15928</v>
      </c>
      <c r="Z819" t="s">
        <v>15929</v>
      </c>
      <c r="AA819" t="s">
        <v>15930</v>
      </c>
      <c r="AB819" t="s">
        <v>15931</v>
      </c>
      <c r="AC819" t="s">
        <v>15932</v>
      </c>
      <c r="AD819" t="s">
        <v>15933</v>
      </c>
      <c r="AE819" t="s">
        <v>15934</v>
      </c>
      <c r="AF819" t="s">
        <v>74</v>
      </c>
      <c r="AG819">
        <v>72</v>
      </c>
      <c r="AH819">
        <v>1</v>
      </c>
      <c r="AI819">
        <v>1</v>
      </c>
      <c r="AJ819">
        <v>0</v>
      </c>
      <c r="AK819">
        <v>1</v>
      </c>
      <c r="AL819" t="s">
        <v>2190</v>
      </c>
      <c r="AM819" t="s">
        <v>228</v>
      </c>
      <c r="AN819" t="s">
        <v>2191</v>
      </c>
      <c r="AO819" t="s">
        <v>15935</v>
      </c>
      <c r="AP819" t="s">
        <v>15936</v>
      </c>
      <c r="AQ819" t="s">
        <v>74</v>
      </c>
      <c r="AR819" t="s">
        <v>15937</v>
      </c>
      <c r="AS819" t="s">
        <v>15938</v>
      </c>
      <c r="AT819" t="s">
        <v>430</v>
      </c>
      <c r="AU819">
        <v>2021</v>
      </c>
      <c r="AV819">
        <v>504</v>
      </c>
      <c r="AW819">
        <v>4</v>
      </c>
      <c r="AX819" t="s">
        <v>74</v>
      </c>
      <c r="AY819" t="s">
        <v>74</v>
      </c>
      <c r="AZ819" t="s">
        <v>74</v>
      </c>
      <c r="BA819" t="s">
        <v>74</v>
      </c>
      <c r="BB819">
        <v>4940</v>
      </c>
      <c r="BC819">
        <v>4951</v>
      </c>
      <c r="BD819" t="s">
        <v>74</v>
      </c>
      <c r="BE819" t="s">
        <v>15939</v>
      </c>
      <c r="BF819" t="str">
        <f>HYPERLINK("http://dx.doi.org/10.1093/mnras/stab1028","http://dx.doi.org/10.1093/mnras/stab1028")</f>
        <v>http://dx.doi.org/10.1093/mnras/stab1028</v>
      </c>
      <c r="BG819" t="s">
        <v>74</v>
      </c>
      <c r="BH819" t="s">
        <v>14415</v>
      </c>
      <c r="BI819">
        <v>12</v>
      </c>
      <c r="BJ819" t="s">
        <v>1267</v>
      </c>
      <c r="BK819" t="s">
        <v>128</v>
      </c>
      <c r="BL819" t="s">
        <v>1267</v>
      </c>
      <c r="BM819" t="s">
        <v>15940</v>
      </c>
      <c r="BN819" t="s">
        <v>74</v>
      </c>
      <c r="BO819" t="s">
        <v>408</v>
      </c>
      <c r="BP819" t="s">
        <v>74</v>
      </c>
      <c r="BQ819" t="s">
        <v>74</v>
      </c>
      <c r="BR819" t="s">
        <v>102</v>
      </c>
      <c r="BS819" t="s">
        <v>15941</v>
      </c>
      <c r="BT819" t="str">
        <f>HYPERLINK("https%3A%2F%2Fwww.webofscience.com%2Fwos%2Fwoscc%2Ffull-record%2FWOS:000661537200021","View Full Record in Web of Science")</f>
        <v>View Full Record in Web of Science</v>
      </c>
    </row>
    <row r="820" spans="1:72" x14ac:dyDescent="0.15">
      <c r="A820" t="s">
        <v>72</v>
      </c>
      <c r="B820" t="s">
        <v>15942</v>
      </c>
      <c r="C820" t="s">
        <v>74</v>
      </c>
      <c r="D820" t="s">
        <v>74</v>
      </c>
      <c r="E820" t="s">
        <v>74</v>
      </c>
      <c r="F820" t="s">
        <v>15943</v>
      </c>
      <c r="G820" t="s">
        <v>74</v>
      </c>
      <c r="H820" t="s">
        <v>74</v>
      </c>
      <c r="I820" t="s">
        <v>15944</v>
      </c>
      <c r="J820" t="s">
        <v>15945</v>
      </c>
      <c r="K820" t="s">
        <v>74</v>
      </c>
      <c r="L820" t="s">
        <v>74</v>
      </c>
      <c r="M820" t="s">
        <v>78</v>
      </c>
      <c r="N820" t="s">
        <v>79</v>
      </c>
      <c r="O820" t="s">
        <v>74</v>
      </c>
      <c r="P820" t="s">
        <v>74</v>
      </c>
      <c r="Q820" t="s">
        <v>74</v>
      </c>
      <c r="R820" t="s">
        <v>74</v>
      </c>
      <c r="S820" t="s">
        <v>74</v>
      </c>
      <c r="T820" t="s">
        <v>15946</v>
      </c>
      <c r="U820" t="s">
        <v>15947</v>
      </c>
      <c r="V820" t="s">
        <v>15948</v>
      </c>
      <c r="W820" t="s">
        <v>15949</v>
      </c>
      <c r="X820" t="s">
        <v>15950</v>
      </c>
      <c r="Y820" t="s">
        <v>15951</v>
      </c>
      <c r="Z820" t="s">
        <v>15952</v>
      </c>
      <c r="AA820" t="s">
        <v>74</v>
      </c>
      <c r="AB820" t="s">
        <v>15953</v>
      </c>
      <c r="AC820" t="s">
        <v>15954</v>
      </c>
      <c r="AD820" t="s">
        <v>15955</v>
      </c>
      <c r="AE820" t="s">
        <v>15956</v>
      </c>
      <c r="AF820" t="s">
        <v>74</v>
      </c>
      <c r="AG820">
        <v>53</v>
      </c>
      <c r="AH820">
        <v>2</v>
      </c>
      <c r="AI820">
        <v>2</v>
      </c>
      <c r="AJ820">
        <v>1</v>
      </c>
      <c r="AK820">
        <v>8</v>
      </c>
      <c r="AL820" t="s">
        <v>2939</v>
      </c>
      <c r="AM820" t="s">
        <v>2940</v>
      </c>
      <c r="AN820" t="s">
        <v>2941</v>
      </c>
      <c r="AO820" t="s">
        <v>15957</v>
      </c>
      <c r="AP820" t="s">
        <v>15958</v>
      </c>
      <c r="AQ820" t="s">
        <v>74</v>
      </c>
      <c r="AR820" t="s">
        <v>15959</v>
      </c>
      <c r="AS820" t="s">
        <v>15960</v>
      </c>
      <c r="AT820" t="s">
        <v>3434</v>
      </c>
      <c r="AU820">
        <v>2021</v>
      </c>
      <c r="AV820">
        <v>32</v>
      </c>
      <c r="AW820">
        <v>4</v>
      </c>
      <c r="AX820" t="s">
        <v>74</v>
      </c>
      <c r="AY820" t="s">
        <v>74</v>
      </c>
      <c r="AZ820" t="s">
        <v>74</v>
      </c>
      <c r="BA820" t="s">
        <v>74</v>
      </c>
      <c r="BB820">
        <v>769</v>
      </c>
      <c r="BC820">
        <v>779</v>
      </c>
      <c r="BD820" t="s">
        <v>74</v>
      </c>
      <c r="BE820" t="s">
        <v>15961</v>
      </c>
      <c r="BF820" t="str">
        <f>HYPERLINK("http://dx.doi.org/10.1093/beheco/arab020","http://dx.doi.org/10.1093/beheco/arab020")</f>
        <v>http://dx.doi.org/10.1093/beheco/arab020</v>
      </c>
      <c r="BG820" t="s">
        <v>74</v>
      </c>
      <c r="BH820" t="s">
        <v>14415</v>
      </c>
      <c r="BI820">
        <v>11</v>
      </c>
      <c r="BJ820" t="s">
        <v>15962</v>
      </c>
      <c r="BK820" t="s">
        <v>100</v>
      </c>
      <c r="BL820" t="s">
        <v>15963</v>
      </c>
      <c r="BM820" t="s">
        <v>15964</v>
      </c>
      <c r="BN820" t="s">
        <v>74</v>
      </c>
      <c r="BO820" t="s">
        <v>908</v>
      </c>
      <c r="BP820" t="s">
        <v>74</v>
      </c>
      <c r="BQ820" t="s">
        <v>74</v>
      </c>
      <c r="BR820" t="s">
        <v>102</v>
      </c>
      <c r="BS820" t="s">
        <v>15965</v>
      </c>
      <c r="BT820" t="str">
        <f>HYPERLINK("https%3A%2F%2Fwww.webofscience.com%2Fwos%2Fwoscc%2Ffull-record%2FWOS:000692321500029","View Full Record in Web of Science")</f>
        <v>View Full Record in Web of Science</v>
      </c>
    </row>
    <row r="821" spans="1:72" x14ac:dyDescent="0.15">
      <c r="A821" t="s">
        <v>72</v>
      </c>
      <c r="B821" t="s">
        <v>15966</v>
      </c>
      <c r="C821" t="s">
        <v>74</v>
      </c>
      <c r="D821" t="s">
        <v>74</v>
      </c>
      <c r="E821" t="s">
        <v>74</v>
      </c>
      <c r="F821" t="s">
        <v>15967</v>
      </c>
      <c r="G821" t="s">
        <v>74</v>
      </c>
      <c r="H821" t="s">
        <v>74</v>
      </c>
      <c r="I821" t="s">
        <v>15968</v>
      </c>
      <c r="J821" t="s">
        <v>8575</v>
      </c>
      <c r="K821" t="s">
        <v>74</v>
      </c>
      <c r="L821" t="s">
        <v>74</v>
      </c>
      <c r="M821" t="s">
        <v>78</v>
      </c>
      <c r="N821" t="s">
        <v>79</v>
      </c>
      <c r="O821" t="s">
        <v>74</v>
      </c>
      <c r="P821" t="s">
        <v>74</v>
      </c>
      <c r="Q821" t="s">
        <v>74</v>
      </c>
      <c r="R821" t="s">
        <v>74</v>
      </c>
      <c r="S821" t="s">
        <v>74</v>
      </c>
      <c r="T821" t="s">
        <v>15969</v>
      </c>
      <c r="U821" t="s">
        <v>15970</v>
      </c>
      <c r="V821" t="s">
        <v>15971</v>
      </c>
      <c r="W821" t="s">
        <v>15972</v>
      </c>
      <c r="X821" t="s">
        <v>74</v>
      </c>
      <c r="Y821" t="s">
        <v>74</v>
      </c>
      <c r="Z821" t="s">
        <v>15973</v>
      </c>
      <c r="AA821" t="s">
        <v>74</v>
      </c>
      <c r="AB821" t="s">
        <v>15974</v>
      </c>
      <c r="AC821" t="s">
        <v>15975</v>
      </c>
      <c r="AD821" t="s">
        <v>15976</v>
      </c>
      <c r="AE821" t="s">
        <v>15977</v>
      </c>
      <c r="AF821" t="s">
        <v>74</v>
      </c>
      <c r="AG821">
        <v>83</v>
      </c>
      <c r="AH821">
        <v>0</v>
      </c>
      <c r="AI821">
        <v>0</v>
      </c>
      <c r="AJ821">
        <v>1</v>
      </c>
      <c r="AK821">
        <v>6</v>
      </c>
      <c r="AL821" t="s">
        <v>281</v>
      </c>
      <c r="AM821" t="s">
        <v>228</v>
      </c>
      <c r="AN821" t="s">
        <v>282</v>
      </c>
      <c r="AO821" t="s">
        <v>8587</v>
      </c>
      <c r="AP821" t="s">
        <v>8588</v>
      </c>
      <c r="AQ821" t="s">
        <v>74</v>
      </c>
      <c r="AR821" t="s">
        <v>8589</v>
      </c>
      <c r="AS821" t="s">
        <v>8590</v>
      </c>
      <c r="AT821" t="s">
        <v>204</v>
      </c>
      <c r="AU821">
        <v>2021</v>
      </c>
      <c r="AV821">
        <v>110</v>
      </c>
      <c r="AW821" t="s">
        <v>74</v>
      </c>
      <c r="AX821" t="s">
        <v>74</v>
      </c>
      <c r="AY821" t="s">
        <v>74</v>
      </c>
      <c r="AZ821" t="s">
        <v>74</v>
      </c>
      <c r="BA821" t="s">
        <v>74</v>
      </c>
      <c r="BB821" t="s">
        <v>74</v>
      </c>
      <c r="BC821" t="s">
        <v>74</v>
      </c>
      <c r="BD821">
        <v>103371</v>
      </c>
      <c r="BE821" t="s">
        <v>15978</v>
      </c>
      <c r="BF821" t="str">
        <f>HYPERLINK("http://dx.doi.org/10.1016/j.jsames.2021.103371","http://dx.doi.org/10.1016/j.jsames.2021.103371")</f>
        <v>http://dx.doi.org/10.1016/j.jsames.2021.103371</v>
      </c>
      <c r="BG821" t="s">
        <v>74</v>
      </c>
      <c r="BH821" t="s">
        <v>14415</v>
      </c>
      <c r="BI821">
        <v>18</v>
      </c>
      <c r="BJ821" t="s">
        <v>405</v>
      </c>
      <c r="BK821" t="s">
        <v>128</v>
      </c>
      <c r="BL821" t="s">
        <v>406</v>
      </c>
      <c r="BM821" t="s">
        <v>15979</v>
      </c>
      <c r="BN821" t="s">
        <v>74</v>
      </c>
      <c r="BO821" t="s">
        <v>74</v>
      </c>
      <c r="BP821" t="s">
        <v>74</v>
      </c>
      <c r="BQ821" t="s">
        <v>74</v>
      </c>
      <c r="BR821" t="s">
        <v>102</v>
      </c>
      <c r="BS821" t="s">
        <v>15980</v>
      </c>
      <c r="BT821" t="str">
        <f>HYPERLINK("https%3A%2F%2Fwww.webofscience.com%2Fwos%2Fwoscc%2Ffull-record%2FWOS:000684623900001","View Full Record in Web of Science")</f>
        <v>View Full Record in Web of Science</v>
      </c>
    </row>
    <row r="822" spans="1:72" x14ac:dyDescent="0.15">
      <c r="A822" t="s">
        <v>72</v>
      </c>
      <c r="B822" t="s">
        <v>15981</v>
      </c>
      <c r="C822" t="s">
        <v>74</v>
      </c>
      <c r="D822" t="s">
        <v>74</v>
      </c>
      <c r="E822" t="s">
        <v>74</v>
      </c>
      <c r="F822" t="s">
        <v>15982</v>
      </c>
      <c r="G822" t="s">
        <v>74</v>
      </c>
      <c r="H822" t="s">
        <v>74</v>
      </c>
      <c r="I822" t="s">
        <v>15983</v>
      </c>
      <c r="J822" t="s">
        <v>10288</v>
      </c>
      <c r="K822" t="s">
        <v>74</v>
      </c>
      <c r="L822" t="s">
        <v>74</v>
      </c>
      <c r="M822" t="s">
        <v>78</v>
      </c>
      <c r="N822" t="s">
        <v>79</v>
      </c>
      <c r="O822" t="s">
        <v>74</v>
      </c>
      <c r="P822" t="s">
        <v>74</v>
      </c>
      <c r="Q822" t="s">
        <v>74</v>
      </c>
      <c r="R822" t="s">
        <v>74</v>
      </c>
      <c r="S822" t="s">
        <v>74</v>
      </c>
      <c r="T822" t="s">
        <v>15984</v>
      </c>
      <c r="U822" t="s">
        <v>15985</v>
      </c>
      <c r="V822" t="s">
        <v>15986</v>
      </c>
      <c r="W822" t="s">
        <v>15987</v>
      </c>
      <c r="X822" t="s">
        <v>15988</v>
      </c>
      <c r="Y822" t="s">
        <v>15989</v>
      </c>
      <c r="Z822" t="s">
        <v>15990</v>
      </c>
      <c r="AA822" t="s">
        <v>15991</v>
      </c>
      <c r="AB822" t="s">
        <v>15992</v>
      </c>
      <c r="AC822" t="s">
        <v>15993</v>
      </c>
      <c r="AD822" t="s">
        <v>15994</v>
      </c>
      <c r="AE822" t="s">
        <v>15995</v>
      </c>
      <c r="AF822" t="s">
        <v>74</v>
      </c>
      <c r="AG822">
        <v>59</v>
      </c>
      <c r="AH822">
        <v>20</v>
      </c>
      <c r="AI822">
        <v>21</v>
      </c>
      <c r="AJ822">
        <v>3</v>
      </c>
      <c r="AK822">
        <v>19</v>
      </c>
      <c r="AL822" t="s">
        <v>89</v>
      </c>
      <c r="AM822" t="s">
        <v>90</v>
      </c>
      <c r="AN822" t="s">
        <v>91</v>
      </c>
      <c r="AO822" t="s">
        <v>10299</v>
      </c>
      <c r="AP822" t="s">
        <v>10300</v>
      </c>
      <c r="AQ822" t="s">
        <v>74</v>
      </c>
      <c r="AR822" t="s">
        <v>10301</v>
      </c>
      <c r="AS822" t="s">
        <v>10302</v>
      </c>
      <c r="AT822" t="s">
        <v>333</v>
      </c>
      <c r="AU822">
        <v>2021</v>
      </c>
      <c r="AV822">
        <v>567</v>
      </c>
      <c r="AW822" t="s">
        <v>74</v>
      </c>
      <c r="AX822" t="s">
        <v>74</v>
      </c>
      <c r="AY822" t="s">
        <v>74</v>
      </c>
      <c r="AZ822" t="s">
        <v>74</v>
      </c>
      <c r="BA822" t="s">
        <v>74</v>
      </c>
      <c r="BB822" t="s">
        <v>74</v>
      </c>
      <c r="BC822" t="s">
        <v>74</v>
      </c>
      <c r="BD822">
        <v>116967</v>
      </c>
      <c r="BE822" t="s">
        <v>15996</v>
      </c>
      <c r="BF822" t="str">
        <f>HYPERLINK("http://dx.doi.org/10.1016/j.epsl.2021.116967","http://dx.doi.org/10.1016/j.epsl.2021.116967")</f>
        <v>http://dx.doi.org/10.1016/j.epsl.2021.116967</v>
      </c>
      <c r="BG822" t="s">
        <v>74</v>
      </c>
      <c r="BH822" t="s">
        <v>14415</v>
      </c>
      <c r="BI822">
        <v>12</v>
      </c>
      <c r="BJ822" t="s">
        <v>289</v>
      </c>
      <c r="BK822" t="s">
        <v>128</v>
      </c>
      <c r="BL822" t="s">
        <v>289</v>
      </c>
      <c r="BM822" t="s">
        <v>14833</v>
      </c>
      <c r="BN822" t="s">
        <v>74</v>
      </c>
      <c r="BO822" t="s">
        <v>2514</v>
      </c>
      <c r="BP822" t="s">
        <v>74</v>
      </c>
      <c r="BQ822" t="s">
        <v>74</v>
      </c>
      <c r="BR822" t="s">
        <v>102</v>
      </c>
      <c r="BS822" t="s">
        <v>15997</v>
      </c>
      <c r="BT822" t="str">
        <f>HYPERLINK("https%3A%2F%2Fwww.webofscience.com%2Fwos%2Fwoscc%2Ffull-record%2FWOS:000659467000008","View Full Record in Web of Science")</f>
        <v>View Full Record in Web of Science</v>
      </c>
    </row>
    <row r="823" spans="1:72" x14ac:dyDescent="0.15">
      <c r="A823" t="s">
        <v>72</v>
      </c>
      <c r="B823" t="s">
        <v>15998</v>
      </c>
      <c r="C823" t="s">
        <v>74</v>
      </c>
      <c r="D823" t="s">
        <v>74</v>
      </c>
      <c r="E823" t="s">
        <v>74</v>
      </c>
      <c r="F823" t="s">
        <v>15999</v>
      </c>
      <c r="G823" t="s">
        <v>74</v>
      </c>
      <c r="H823" t="s">
        <v>74</v>
      </c>
      <c r="I823" t="s">
        <v>16000</v>
      </c>
      <c r="J823" t="s">
        <v>16001</v>
      </c>
      <c r="K823" t="s">
        <v>74</v>
      </c>
      <c r="L823" t="s">
        <v>74</v>
      </c>
      <c r="M823" t="s">
        <v>78</v>
      </c>
      <c r="N823" t="s">
        <v>79</v>
      </c>
      <c r="O823" t="s">
        <v>74</v>
      </c>
      <c r="P823" t="s">
        <v>74</v>
      </c>
      <c r="Q823" t="s">
        <v>74</v>
      </c>
      <c r="R823" t="s">
        <v>74</v>
      </c>
      <c r="S823" t="s">
        <v>74</v>
      </c>
      <c r="T823" t="s">
        <v>16002</v>
      </c>
      <c r="U823" t="s">
        <v>16003</v>
      </c>
      <c r="V823" t="s">
        <v>16004</v>
      </c>
      <c r="W823" t="s">
        <v>16005</v>
      </c>
      <c r="X823" t="s">
        <v>16006</v>
      </c>
      <c r="Y823" t="s">
        <v>16007</v>
      </c>
      <c r="Z823" t="s">
        <v>16008</v>
      </c>
      <c r="AA823" t="s">
        <v>16009</v>
      </c>
      <c r="AB823" t="s">
        <v>16010</v>
      </c>
      <c r="AC823" t="s">
        <v>16011</v>
      </c>
      <c r="AD823" t="s">
        <v>16012</v>
      </c>
      <c r="AE823" t="s">
        <v>16013</v>
      </c>
      <c r="AF823" t="s">
        <v>74</v>
      </c>
      <c r="AG823">
        <v>39</v>
      </c>
      <c r="AH823">
        <v>1</v>
      </c>
      <c r="AI823">
        <v>1</v>
      </c>
      <c r="AJ823">
        <v>1</v>
      </c>
      <c r="AK823">
        <v>9</v>
      </c>
      <c r="AL823" t="s">
        <v>3135</v>
      </c>
      <c r="AM823" t="s">
        <v>3136</v>
      </c>
      <c r="AN823" t="s">
        <v>3137</v>
      </c>
      <c r="AO823" t="s">
        <v>16014</v>
      </c>
      <c r="AP823" t="s">
        <v>16015</v>
      </c>
      <c r="AQ823" t="s">
        <v>74</v>
      </c>
      <c r="AR823" t="s">
        <v>16016</v>
      </c>
      <c r="AS823" t="s">
        <v>16017</v>
      </c>
      <c r="AT823" t="s">
        <v>9662</v>
      </c>
      <c r="AU823">
        <v>2021</v>
      </c>
      <c r="AV823">
        <v>36</v>
      </c>
      <c r="AW823">
        <v>2</v>
      </c>
      <c r="AX823" t="s">
        <v>74</v>
      </c>
      <c r="AY823" t="s">
        <v>74</v>
      </c>
      <c r="AZ823" t="s">
        <v>74</v>
      </c>
      <c r="BA823" t="s">
        <v>74</v>
      </c>
      <c r="BB823">
        <v>75</v>
      </c>
      <c r="BC823">
        <v>91</v>
      </c>
      <c r="BD823" t="s">
        <v>74</v>
      </c>
      <c r="BE823" t="s">
        <v>16018</v>
      </c>
      <c r="BF823" t="str">
        <f>HYPERLINK("http://dx.doi.org/10.1080/0269249X.2021.1914737","http://dx.doi.org/10.1080/0269249X.2021.1914737")</f>
        <v>http://dx.doi.org/10.1080/0269249X.2021.1914737</v>
      </c>
      <c r="BG823" t="s">
        <v>74</v>
      </c>
      <c r="BH823" t="s">
        <v>14415</v>
      </c>
      <c r="BI823">
        <v>17</v>
      </c>
      <c r="BJ823" t="s">
        <v>822</v>
      </c>
      <c r="BK823" t="s">
        <v>128</v>
      </c>
      <c r="BL823" t="s">
        <v>822</v>
      </c>
      <c r="BM823" t="s">
        <v>16019</v>
      </c>
      <c r="BN823" t="s">
        <v>74</v>
      </c>
      <c r="BO823" t="s">
        <v>74</v>
      </c>
      <c r="BP823" t="s">
        <v>74</v>
      </c>
      <c r="BQ823" t="s">
        <v>74</v>
      </c>
      <c r="BR823" t="s">
        <v>102</v>
      </c>
      <c r="BS823" t="s">
        <v>16020</v>
      </c>
      <c r="BT823" t="str">
        <f>HYPERLINK("https%3A%2F%2Fwww.webofscience.com%2Fwos%2Fwoscc%2Ffull-record%2FWOS:000657614300001","View Full Record in Web of Science")</f>
        <v>View Full Record in Web of Science</v>
      </c>
    </row>
    <row r="824" spans="1:72" x14ac:dyDescent="0.15">
      <c r="A824" t="s">
        <v>72</v>
      </c>
      <c r="B824" t="s">
        <v>16021</v>
      </c>
      <c r="C824" t="s">
        <v>74</v>
      </c>
      <c r="D824" t="s">
        <v>74</v>
      </c>
      <c r="E824" t="s">
        <v>74</v>
      </c>
      <c r="F824" t="s">
        <v>16022</v>
      </c>
      <c r="G824" t="s">
        <v>74</v>
      </c>
      <c r="H824" t="s">
        <v>74</v>
      </c>
      <c r="I824" t="s">
        <v>16023</v>
      </c>
      <c r="J824" t="s">
        <v>3776</v>
      </c>
      <c r="K824" t="s">
        <v>74</v>
      </c>
      <c r="L824" t="s">
        <v>74</v>
      </c>
      <c r="M824" t="s">
        <v>78</v>
      </c>
      <c r="N824" t="s">
        <v>79</v>
      </c>
      <c r="O824" t="s">
        <v>74</v>
      </c>
      <c r="P824" t="s">
        <v>74</v>
      </c>
      <c r="Q824" t="s">
        <v>74</v>
      </c>
      <c r="R824" t="s">
        <v>74</v>
      </c>
      <c r="S824" t="s">
        <v>74</v>
      </c>
      <c r="T824" t="s">
        <v>74</v>
      </c>
      <c r="U824" t="s">
        <v>16024</v>
      </c>
      <c r="V824" t="s">
        <v>16025</v>
      </c>
      <c r="W824" t="s">
        <v>16026</v>
      </c>
      <c r="X824" t="s">
        <v>16027</v>
      </c>
      <c r="Y824" t="s">
        <v>16028</v>
      </c>
      <c r="Z824" t="s">
        <v>16029</v>
      </c>
      <c r="AA824" t="s">
        <v>13925</v>
      </c>
      <c r="AB824" t="s">
        <v>16030</v>
      </c>
      <c r="AC824" t="s">
        <v>16031</v>
      </c>
      <c r="AD824" t="s">
        <v>16032</v>
      </c>
      <c r="AE824" t="s">
        <v>16033</v>
      </c>
      <c r="AF824" t="s">
        <v>74</v>
      </c>
      <c r="AG824">
        <v>77</v>
      </c>
      <c r="AH824">
        <v>4</v>
      </c>
      <c r="AI824">
        <v>4</v>
      </c>
      <c r="AJ824">
        <v>2</v>
      </c>
      <c r="AK824">
        <v>9</v>
      </c>
      <c r="AL824" t="s">
        <v>143</v>
      </c>
      <c r="AM824" t="s">
        <v>144</v>
      </c>
      <c r="AN824" t="s">
        <v>145</v>
      </c>
      <c r="AO824" t="s">
        <v>3788</v>
      </c>
      <c r="AP824" t="s">
        <v>3789</v>
      </c>
      <c r="AQ824" t="s">
        <v>74</v>
      </c>
      <c r="AR824" t="s">
        <v>3790</v>
      </c>
      <c r="AS824" t="s">
        <v>3791</v>
      </c>
      <c r="AT824" t="s">
        <v>16034</v>
      </c>
      <c r="AU824">
        <v>2021</v>
      </c>
      <c r="AV824">
        <v>21</v>
      </c>
      <c r="AW824">
        <v>10</v>
      </c>
      <c r="AX824" t="s">
        <v>74</v>
      </c>
      <c r="AY824" t="s">
        <v>74</v>
      </c>
      <c r="AZ824" t="s">
        <v>74</v>
      </c>
      <c r="BA824" t="s">
        <v>74</v>
      </c>
      <c r="BB824">
        <v>7451</v>
      </c>
      <c r="BC824">
        <v>7472</v>
      </c>
      <c r="BD824" t="s">
        <v>74</v>
      </c>
      <c r="BE824" t="s">
        <v>16035</v>
      </c>
      <c r="BF824" t="str">
        <f>HYPERLINK("http://dx.doi.org/10.5194/acp-21-7451-2021","http://dx.doi.org/10.5194/acp-21-7451-2021")</f>
        <v>http://dx.doi.org/10.5194/acp-21-7451-2021</v>
      </c>
      <c r="BG824" t="s">
        <v>74</v>
      </c>
      <c r="BH824" t="s">
        <v>74</v>
      </c>
      <c r="BI824">
        <v>22</v>
      </c>
      <c r="BJ824" t="s">
        <v>635</v>
      </c>
      <c r="BK824" t="s">
        <v>128</v>
      </c>
      <c r="BL824" t="s">
        <v>636</v>
      </c>
      <c r="BM824" t="s">
        <v>16036</v>
      </c>
      <c r="BN824" t="s">
        <v>74</v>
      </c>
      <c r="BO824" t="s">
        <v>2630</v>
      </c>
      <c r="BP824" t="s">
        <v>74</v>
      </c>
      <c r="BQ824" t="s">
        <v>74</v>
      </c>
      <c r="BR824" t="s">
        <v>102</v>
      </c>
      <c r="BS824" t="s">
        <v>16037</v>
      </c>
      <c r="BT824" t="str">
        <f>HYPERLINK("https%3A%2F%2Fwww.webofscience.com%2Fwos%2Fwoscc%2Ffull-record%2FWOS:000653621700002","View Full Record in Web of Science")</f>
        <v>View Full Record in Web of Science</v>
      </c>
    </row>
    <row r="825" spans="1:72" x14ac:dyDescent="0.15">
      <c r="A825" t="s">
        <v>72</v>
      </c>
      <c r="B825" t="s">
        <v>16038</v>
      </c>
      <c r="C825" t="s">
        <v>74</v>
      </c>
      <c r="D825" t="s">
        <v>74</v>
      </c>
      <c r="E825" t="s">
        <v>74</v>
      </c>
      <c r="F825" t="s">
        <v>16039</v>
      </c>
      <c r="G825" t="s">
        <v>74</v>
      </c>
      <c r="H825" t="s">
        <v>74</v>
      </c>
      <c r="I825" t="s">
        <v>16040</v>
      </c>
      <c r="J825" t="s">
        <v>2862</v>
      </c>
      <c r="K825" t="s">
        <v>74</v>
      </c>
      <c r="L825" t="s">
        <v>74</v>
      </c>
      <c r="M825" t="s">
        <v>78</v>
      </c>
      <c r="N825" t="s">
        <v>79</v>
      </c>
      <c r="O825" t="s">
        <v>74</v>
      </c>
      <c r="P825" t="s">
        <v>74</v>
      </c>
      <c r="Q825" t="s">
        <v>74</v>
      </c>
      <c r="R825" t="s">
        <v>74</v>
      </c>
      <c r="S825" t="s">
        <v>74</v>
      </c>
      <c r="T825" t="s">
        <v>16041</v>
      </c>
      <c r="U825" t="s">
        <v>16042</v>
      </c>
      <c r="V825" t="s">
        <v>16043</v>
      </c>
      <c r="W825" t="s">
        <v>16044</v>
      </c>
      <c r="X825" t="s">
        <v>2640</v>
      </c>
      <c r="Y825" t="s">
        <v>16045</v>
      </c>
      <c r="Z825" t="s">
        <v>16046</v>
      </c>
      <c r="AA825" t="s">
        <v>16047</v>
      </c>
      <c r="AB825" t="s">
        <v>16048</v>
      </c>
      <c r="AC825" t="s">
        <v>16049</v>
      </c>
      <c r="AD825" t="s">
        <v>16050</v>
      </c>
      <c r="AE825" t="s">
        <v>16051</v>
      </c>
      <c r="AF825" t="s">
        <v>74</v>
      </c>
      <c r="AG825">
        <v>78</v>
      </c>
      <c r="AH825">
        <v>2</v>
      </c>
      <c r="AI825">
        <v>2</v>
      </c>
      <c r="AJ825">
        <v>0</v>
      </c>
      <c r="AK825">
        <v>11</v>
      </c>
      <c r="AL825" t="s">
        <v>450</v>
      </c>
      <c r="AM825" t="s">
        <v>650</v>
      </c>
      <c r="AN825" t="s">
        <v>1957</v>
      </c>
      <c r="AO825" t="s">
        <v>2874</v>
      </c>
      <c r="AP825" t="s">
        <v>2875</v>
      </c>
      <c r="AQ825" t="s">
        <v>74</v>
      </c>
      <c r="AR825" t="s">
        <v>2876</v>
      </c>
      <c r="AS825" t="s">
        <v>2877</v>
      </c>
      <c r="AT825" t="s">
        <v>430</v>
      </c>
      <c r="AU825">
        <v>2021</v>
      </c>
      <c r="AV825">
        <v>44</v>
      </c>
      <c r="AW825">
        <v>7</v>
      </c>
      <c r="AX825" t="s">
        <v>74</v>
      </c>
      <c r="AY825" t="s">
        <v>74</v>
      </c>
      <c r="AZ825" t="s">
        <v>74</v>
      </c>
      <c r="BA825" t="s">
        <v>74</v>
      </c>
      <c r="BB825">
        <v>1289</v>
      </c>
      <c r="BC825">
        <v>1303</v>
      </c>
      <c r="BD825" t="s">
        <v>74</v>
      </c>
      <c r="BE825" t="s">
        <v>16052</v>
      </c>
      <c r="BF825" t="str">
        <f>HYPERLINK("http://dx.doi.org/10.1007/s00300-021-02867-8","http://dx.doi.org/10.1007/s00300-021-02867-8")</f>
        <v>http://dx.doi.org/10.1007/s00300-021-02867-8</v>
      </c>
      <c r="BG825" t="s">
        <v>74</v>
      </c>
      <c r="BH825" t="s">
        <v>14415</v>
      </c>
      <c r="BI825">
        <v>15</v>
      </c>
      <c r="BJ825" t="s">
        <v>1883</v>
      </c>
      <c r="BK825" t="s">
        <v>128</v>
      </c>
      <c r="BL825" t="s">
        <v>207</v>
      </c>
      <c r="BM825" t="s">
        <v>10717</v>
      </c>
      <c r="BN825" t="s">
        <v>74</v>
      </c>
      <c r="BO825" t="s">
        <v>74</v>
      </c>
      <c r="BP825" t="s">
        <v>74</v>
      </c>
      <c r="BQ825" t="s">
        <v>74</v>
      </c>
      <c r="BR825" t="s">
        <v>102</v>
      </c>
      <c r="BS825" t="s">
        <v>16053</v>
      </c>
      <c r="BT825" t="str">
        <f>HYPERLINK("https%3A%2F%2Fwww.webofscience.com%2Fwos%2Fwoscc%2Ffull-record%2FWOS:000651711700001","View Full Record in Web of Science")</f>
        <v>View Full Record in Web of Science</v>
      </c>
    </row>
    <row r="826" spans="1:72" x14ac:dyDescent="0.15">
      <c r="A826" t="s">
        <v>72</v>
      </c>
      <c r="B826" t="s">
        <v>16054</v>
      </c>
      <c r="C826" t="s">
        <v>74</v>
      </c>
      <c r="D826" t="s">
        <v>74</v>
      </c>
      <c r="E826" t="s">
        <v>74</v>
      </c>
      <c r="F826" t="s">
        <v>16055</v>
      </c>
      <c r="G826" t="s">
        <v>74</v>
      </c>
      <c r="H826" t="s">
        <v>74</v>
      </c>
      <c r="I826" t="s">
        <v>16056</v>
      </c>
      <c r="J826" t="s">
        <v>16057</v>
      </c>
      <c r="K826" t="s">
        <v>74</v>
      </c>
      <c r="L826" t="s">
        <v>74</v>
      </c>
      <c r="M826" t="s">
        <v>78</v>
      </c>
      <c r="N826" t="s">
        <v>79</v>
      </c>
      <c r="O826" t="s">
        <v>74</v>
      </c>
      <c r="P826" t="s">
        <v>74</v>
      </c>
      <c r="Q826" t="s">
        <v>74</v>
      </c>
      <c r="R826" t="s">
        <v>74</v>
      </c>
      <c r="S826" t="s">
        <v>74</v>
      </c>
      <c r="T826" t="s">
        <v>16058</v>
      </c>
      <c r="U826" t="s">
        <v>16059</v>
      </c>
      <c r="V826" t="s">
        <v>16060</v>
      </c>
      <c r="W826" t="s">
        <v>16061</v>
      </c>
      <c r="X826" t="s">
        <v>16062</v>
      </c>
      <c r="Y826" t="s">
        <v>16063</v>
      </c>
      <c r="Z826" t="s">
        <v>16064</v>
      </c>
      <c r="AA826" t="s">
        <v>16065</v>
      </c>
      <c r="AB826" t="s">
        <v>16066</v>
      </c>
      <c r="AC826" t="s">
        <v>16067</v>
      </c>
      <c r="AD826" t="s">
        <v>16068</v>
      </c>
      <c r="AE826" t="s">
        <v>16069</v>
      </c>
      <c r="AF826" t="s">
        <v>74</v>
      </c>
      <c r="AG826">
        <v>19</v>
      </c>
      <c r="AH826">
        <v>3</v>
      </c>
      <c r="AI826">
        <v>3</v>
      </c>
      <c r="AJ826">
        <v>3</v>
      </c>
      <c r="AK826">
        <v>18</v>
      </c>
      <c r="AL826" t="s">
        <v>197</v>
      </c>
      <c r="AM826" t="s">
        <v>198</v>
      </c>
      <c r="AN826" t="s">
        <v>199</v>
      </c>
      <c r="AO826" t="s">
        <v>74</v>
      </c>
      <c r="AP826" t="s">
        <v>16070</v>
      </c>
      <c r="AQ826" t="s">
        <v>74</v>
      </c>
      <c r="AR826" t="s">
        <v>16071</v>
      </c>
      <c r="AS826" t="s">
        <v>16072</v>
      </c>
      <c r="AT826" t="s">
        <v>430</v>
      </c>
      <c r="AU826">
        <v>2021</v>
      </c>
      <c r="AV826">
        <v>3</v>
      </c>
      <c r="AW826">
        <v>7</v>
      </c>
      <c r="AX826" t="s">
        <v>74</v>
      </c>
      <c r="AY826" t="s">
        <v>74</v>
      </c>
      <c r="AZ826" t="s">
        <v>74</v>
      </c>
      <c r="BA826" t="s">
        <v>74</v>
      </c>
      <c r="BB826" t="s">
        <v>74</v>
      </c>
      <c r="BC826" t="s">
        <v>74</v>
      </c>
      <c r="BD826" t="s">
        <v>16073</v>
      </c>
      <c r="BE826" t="s">
        <v>16074</v>
      </c>
      <c r="BF826" t="str">
        <f>HYPERLINK("http://dx.doi.org/10.1111/csp2.439","http://dx.doi.org/10.1111/csp2.439")</f>
        <v>http://dx.doi.org/10.1111/csp2.439</v>
      </c>
      <c r="BG826" t="s">
        <v>74</v>
      </c>
      <c r="BH826" t="s">
        <v>14415</v>
      </c>
      <c r="BI826">
        <v>6</v>
      </c>
      <c r="BJ826" t="s">
        <v>483</v>
      </c>
      <c r="BK826" t="s">
        <v>128</v>
      </c>
      <c r="BL826" t="s">
        <v>484</v>
      </c>
      <c r="BM826" t="s">
        <v>16075</v>
      </c>
      <c r="BN826" t="s">
        <v>74</v>
      </c>
      <c r="BO826" t="s">
        <v>238</v>
      </c>
      <c r="BP826" t="s">
        <v>74</v>
      </c>
      <c r="BQ826" t="s">
        <v>74</v>
      </c>
      <c r="BR826" t="s">
        <v>102</v>
      </c>
      <c r="BS826" t="s">
        <v>16076</v>
      </c>
      <c r="BT826" t="str">
        <f>HYPERLINK("https%3A%2F%2Fwww.webofscience.com%2Fwos%2Fwoscc%2Ffull-record%2FWOS:000651499200001","View Full Record in Web of Science")</f>
        <v>View Full Record in Web of Science</v>
      </c>
    </row>
    <row r="827" spans="1:72" x14ac:dyDescent="0.15">
      <c r="A827" t="s">
        <v>72</v>
      </c>
      <c r="B827" t="s">
        <v>16077</v>
      </c>
      <c r="C827" t="s">
        <v>74</v>
      </c>
      <c r="D827" t="s">
        <v>74</v>
      </c>
      <c r="E827" t="s">
        <v>74</v>
      </c>
      <c r="F827" t="s">
        <v>16078</v>
      </c>
      <c r="G827" t="s">
        <v>74</v>
      </c>
      <c r="H827" t="s">
        <v>74</v>
      </c>
      <c r="I827" t="s">
        <v>16079</v>
      </c>
      <c r="J827" t="s">
        <v>3729</v>
      </c>
      <c r="K827" t="s">
        <v>74</v>
      </c>
      <c r="L827" t="s">
        <v>74</v>
      </c>
      <c r="M827" t="s">
        <v>78</v>
      </c>
      <c r="N827" t="s">
        <v>79</v>
      </c>
      <c r="O827" t="s">
        <v>74</v>
      </c>
      <c r="P827" t="s">
        <v>74</v>
      </c>
      <c r="Q827" t="s">
        <v>74</v>
      </c>
      <c r="R827" t="s">
        <v>74</v>
      </c>
      <c r="S827" t="s">
        <v>74</v>
      </c>
      <c r="T827" t="s">
        <v>16080</v>
      </c>
      <c r="U827" t="s">
        <v>16081</v>
      </c>
      <c r="V827" t="s">
        <v>16082</v>
      </c>
      <c r="W827" t="s">
        <v>16083</v>
      </c>
      <c r="X827" t="s">
        <v>16084</v>
      </c>
      <c r="Y827" t="s">
        <v>16085</v>
      </c>
      <c r="Z827" t="s">
        <v>16086</v>
      </c>
      <c r="AA827" t="s">
        <v>16087</v>
      </c>
      <c r="AB827" t="s">
        <v>16088</v>
      </c>
      <c r="AC827" t="s">
        <v>16089</v>
      </c>
      <c r="AD827" t="s">
        <v>16090</v>
      </c>
      <c r="AE827" t="s">
        <v>16091</v>
      </c>
      <c r="AF827" t="s">
        <v>74</v>
      </c>
      <c r="AG827">
        <v>116</v>
      </c>
      <c r="AH827">
        <v>14</v>
      </c>
      <c r="AI827">
        <v>14</v>
      </c>
      <c r="AJ827">
        <v>4</v>
      </c>
      <c r="AK827">
        <v>15</v>
      </c>
      <c r="AL827" t="s">
        <v>281</v>
      </c>
      <c r="AM827" t="s">
        <v>228</v>
      </c>
      <c r="AN827" t="s">
        <v>282</v>
      </c>
      <c r="AO827" t="s">
        <v>3742</v>
      </c>
      <c r="AP827" t="s">
        <v>3743</v>
      </c>
      <c r="AQ827" t="s">
        <v>74</v>
      </c>
      <c r="AR827" t="s">
        <v>3744</v>
      </c>
      <c r="AS827" t="s">
        <v>3745</v>
      </c>
      <c r="AT827" t="s">
        <v>10321</v>
      </c>
      <c r="AU827">
        <v>2021</v>
      </c>
      <c r="AV827">
        <v>262</v>
      </c>
      <c r="AW827" t="s">
        <v>74</v>
      </c>
      <c r="AX827" t="s">
        <v>74</v>
      </c>
      <c r="AY827" t="s">
        <v>74</v>
      </c>
      <c r="AZ827" t="s">
        <v>74</v>
      </c>
      <c r="BA827" t="s">
        <v>74</v>
      </c>
      <c r="BB827" t="s">
        <v>74</v>
      </c>
      <c r="BC827" t="s">
        <v>74</v>
      </c>
      <c r="BD827">
        <v>106965</v>
      </c>
      <c r="BE827" t="s">
        <v>16092</v>
      </c>
      <c r="BF827" t="str">
        <f>HYPERLINK("http://dx.doi.org/10.1016/j.quascirev.2021.106965","http://dx.doi.org/10.1016/j.quascirev.2021.106965")</f>
        <v>http://dx.doi.org/10.1016/j.quascirev.2021.106965</v>
      </c>
      <c r="BG827" t="s">
        <v>74</v>
      </c>
      <c r="BH827" t="s">
        <v>14415</v>
      </c>
      <c r="BI827">
        <v>19</v>
      </c>
      <c r="BJ827" t="s">
        <v>151</v>
      </c>
      <c r="BK827" t="s">
        <v>128</v>
      </c>
      <c r="BL827" t="s">
        <v>152</v>
      </c>
      <c r="BM827" t="s">
        <v>16093</v>
      </c>
      <c r="BN827" t="s">
        <v>74</v>
      </c>
      <c r="BO827" t="s">
        <v>15778</v>
      </c>
      <c r="BP827" t="s">
        <v>74</v>
      </c>
      <c r="BQ827" t="s">
        <v>74</v>
      </c>
      <c r="BR827" t="s">
        <v>102</v>
      </c>
      <c r="BS827" t="s">
        <v>16094</v>
      </c>
      <c r="BT827" t="str">
        <f>HYPERLINK("https%3A%2F%2Fwww.webofscience.com%2Fwos%2Fwoscc%2Ffull-record%2FWOS:000663678900002","View Full Record in Web of Science")</f>
        <v>View Full Record in Web of Science</v>
      </c>
    </row>
    <row r="828" spans="1:72" x14ac:dyDescent="0.15">
      <c r="A828" t="s">
        <v>72</v>
      </c>
      <c r="B828" t="s">
        <v>16095</v>
      </c>
      <c r="C828" t="s">
        <v>74</v>
      </c>
      <c r="D828" t="s">
        <v>74</v>
      </c>
      <c r="E828" t="s">
        <v>74</v>
      </c>
      <c r="F828" t="s">
        <v>16096</v>
      </c>
      <c r="G828" t="s">
        <v>74</v>
      </c>
      <c r="H828" t="s">
        <v>74</v>
      </c>
      <c r="I828" t="s">
        <v>16097</v>
      </c>
      <c r="J828" t="s">
        <v>16098</v>
      </c>
      <c r="K828" t="s">
        <v>74</v>
      </c>
      <c r="L828" t="s">
        <v>74</v>
      </c>
      <c r="M828" t="s">
        <v>78</v>
      </c>
      <c r="N828" t="s">
        <v>79</v>
      </c>
      <c r="O828" t="s">
        <v>74</v>
      </c>
      <c r="P828" t="s">
        <v>74</v>
      </c>
      <c r="Q828" t="s">
        <v>74</v>
      </c>
      <c r="R828" t="s">
        <v>74</v>
      </c>
      <c r="S828" t="s">
        <v>74</v>
      </c>
      <c r="T828" t="s">
        <v>16099</v>
      </c>
      <c r="U828" t="s">
        <v>16100</v>
      </c>
      <c r="V828" t="s">
        <v>16101</v>
      </c>
      <c r="W828" t="s">
        <v>16102</v>
      </c>
      <c r="X828" t="s">
        <v>16103</v>
      </c>
      <c r="Y828" t="s">
        <v>16104</v>
      </c>
      <c r="Z828" t="s">
        <v>16105</v>
      </c>
      <c r="AA828" t="s">
        <v>16106</v>
      </c>
      <c r="AB828" t="s">
        <v>16107</v>
      </c>
      <c r="AC828" t="s">
        <v>16108</v>
      </c>
      <c r="AD828" t="s">
        <v>3525</v>
      </c>
      <c r="AE828" t="s">
        <v>74</v>
      </c>
      <c r="AF828" t="s">
        <v>74</v>
      </c>
      <c r="AG828">
        <v>106</v>
      </c>
      <c r="AH828">
        <v>21</v>
      </c>
      <c r="AI828">
        <v>22</v>
      </c>
      <c r="AJ828">
        <v>4</v>
      </c>
      <c r="AK828">
        <v>43</v>
      </c>
      <c r="AL828" t="s">
        <v>89</v>
      </c>
      <c r="AM828" t="s">
        <v>90</v>
      </c>
      <c r="AN828" t="s">
        <v>91</v>
      </c>
      <c r="AO828" t="s">
        <v>16109</v>
      </c>
      <c r="AP828" t="s">
        <v>74</v>
      </c>
      <c r="AQ828" t="s">
        <v>74</v>
      </c>
      <c r="AR828" t="s">
        <v>16110</v>
      </c>
      <c r="AS828" t="s">
        <v>16111</v>
      </c>
      <c r="AT828" t="s">
        <v>4571</v>
      </c>
      <c r="AU828">
        <v>2021</v>
      </c>
      <c r="AV828">
        <v>49</v>
      </c>
      <c r="AW828" t="s">
        <v>74</v>
      </c>
      <c r="AX828" t="s">
        <v>74</v>
      </c>
      <c r="AY828" t="s">
        <v>74</v>
      </c>
      <c r="AZ828" t="s">
        <v>74</v>
      </c>
      <c r="BA828" t="s">
        <v>74</v>
      </c>
      <c r="BB828" t="s">
        <v>74</v>
      </c>
      <c r="BC828" t="s">
        <v>74</v>
      </c>
      <c r="BD828">
        <v>101299</v>
      </c>
      <c r="BE828" t="s">
        <v>16112</v>
      </c>
      <c r="BF828" t="str">
        <f>HYPERLINK("http://dx.doi.org/10.1016/j.ecoser.2021.101299","http://dx.doi.org/10.1016/j.ecoser.2021.101299")</f>
        <v>http://dx.doi.org/10.1016/j.ecoser.2021.101299</v>
      </c>
      <c r="BG828" t="s">
        <v>74</v>
      </c>
      <c r="BH828" t="s">
        <v>14415</v>
      </c>
      <c r="BI828">
        <v>16</v>
      </c>
      <c r="BJ828" t="s">
        <v>16113</v>
      </c>
      <c r="BK828" t="s">
        <v>100</v>
      </c>
      <c r="BL828" t="s">
        <v>263</v>
      </c>
      <c r="BM828" t="s">
        <v>16114</v>
      </c>
      <c r="BN828" t="s">
        <v>74</v>
      </c>
      <c r="BO828" t="s">
        <v>74</v>
      </c>
      <c r="BP828" t="s">
        <v>74</v>
      </c>
      <c r="BQ828" t="s">
        <v>74</v>
      </c>
      <c r="BR828" t="s">
        <v>102</v>
      </c>
      <c r="BS828" t="s">
        <v>16115</v>
      </c>
      <c r="BT828" t="str">
        <f>HYPERLINK("https%3A%2F%2Fwww.webofscience.com%2Fwos%2Fwoscc%2Ffull-record%2FWOS:000663762800006","View Full Record in Web of Science")</f>
        <v>View Full Record in Web of Science</v>
      </c>
    </row>
    <row r="829" spans="1:72" x14ac:dyDescent="0.15">
      <c r="A829" t="s">
        <v>72</v>
      </c>
      <c r="B829" t="s">
        <v>16116</v>
      </c>
      <c r="C829" t="s">
        <v>74</v>
      </c>
      <c r="D829" t="s">
        <v>74</v>
      </c>
      <c r="E829" t="s">
        <v>74</v>
      </c>
      <c r="F829" t="s">
        <v>16117</v>
      </c>
      <c r="G829" t="s">
        <v>74</v>
      </c>
      <c r="H829" t="s">
        <v>74</v>
      </c>
      <c r="I829" t="s">
        <v>16118</v>
      </c>
      <c r="J829" t="s">
        <v>4055</v>
      </c>
      <c r="K829" t="s">
        <v>74</v>
      </c>
      <c r="L829" t="s">
        <v>74</v>
      </c>
      <c r="M829" t="s">
        <v>78</v>
      </c>
      <c r="N829" t="s">
        <v>79</v>
      </c>
      <c r="O829" t="s">
        <v>74</v>
      </c>
      <c r="P829" t="s">
        <v>74</v>
      </c>
      <c r="Q829" t="s">
        <v>74</v>
      </c>
      <c r="R829" t="s">
        <v>74</v>
      </c>
      <c r="S829" t="s">
        <v>74</v>
      </c>
      <c r="T829" t="s">
        <v>74</v>
      </c>
      <c r="U829" t="s">
        <v>16119</v>
      </c>
      <c r="V829" t="s">
        <v>16120</v>
      </c>
      <c r="W829" t="s">
        <v>16121</v>
      </c>
      <c r="X829" t="s">
        <v>16122</v>
      </c>
      <c r="Y829" t="s">
        <v>16123</v>
      </c>
      <c r="Z829" t="s">
        <v>16124</v>
      </c>
      <c r="AA829" t="s">
        <v>16125</v>
      </c>
      <c r="AB829" t="s">
        <v>16126</v>
      </c>
      <c r="AC829" t="s">
        <v>16127</v>
      </c>
      <c r="AD829" t="s">
        <v>16128</v>
      </c>
      <c r="AE829" t="s">
        <v>16129</v>
      </c>
      <c r="AF829" t="s">
        <v>74</v>
      </c>
      <c r="AG829">
        <v>75</v>
      </c>
      <c r="AH829">
        <v>110</v>
      </c>
      <c r="AI829">
        <v>119</v>
      </c>
      <c r="AJ829">
        <v>14</v>
      </c>
      <c r="AK829">
        <v>75</v>
      </c>
      <c r="AL829" t="s">
        <v>395</v>
      </c>
      <c r="AM829" t="s">
        <v>396</v>
      </c>
      <c r="AN829" t="s">
        <v>397</v>
      </c>
      <c r="AO829" t="s">
        <v>74</v>
      </c>
      <c r="AP829" t="s">
        <v>4068</v>
      </c>
      <c r="AQ829" t="s">
        <v>74</v>
      </c>
      <c r="AR829" t="s">
        <v>4069</v>
      </c>
      <c r="AS829" t="s">
        <v>4070</v>
      </c>
      <c r="AT829" t="s">
        <v>16130</v>
      </c>
      <c r="AU829">
        <v>2021</v>
      </c>
      <c r="AV829">
        <v>12</v>
      </c>
      <c r="AW829">
        <v>1</v>
      </c>
      <c r="AX829" t="s">
        <v>74</v>
      </c>
      <c r="AY829" t="s">
        <v>74</v>
      </c>
      <c r="AZ829" t="s">
        <v>74</v>
      </c>
      <c r="BA829" t="s">
        <v>74</v>
      </c>
      <c r="BB829" t="s">
        <v>74</v>
      </c>
      <c r="BC829" t="s">
        <v>74</v>
      </c>
      <c r="BD829">
        <v>2868</v>
      </c>
      <c r="BE829" t="s">
        <v>16131</v>
      </c>
      <c r="BF829" t="str">
        <f>HYPERLINK("http://dx.doi.org/10.1038/s41467-021-23073-4","http://dx.doi.org/10.1038/s41467-021-23073-4")</f>
        <v>http://dx.doi.org/10.1038/s41467-021-23073-4</v>
      </c>
      <c r="BG829" t="s">
        <v>74</v>
      </c>
      <c r="BH829" t="s">
        <v>74</v>
      </c>
      <c r="BI829">
        <v>10</v>
      </c>
      <c r="BJ829" t="s">
        <v>2609</v>
      </c>
      <c r="BK829" t="s">
        <v>128</v>
      </c>
      <c r="BL829" t="s">
        <v>2610</v>
      </c>
      <c r="BM829" t="s">
        <v>16132</v>
      </c>
      <c r="BN829">
        <v>34001875</v>
      </c>
      <c r="BO829" t="s">
        <v>311</v>
      </c>
      <c r="BP829" t="s">
        <v>2812</v>
      </c>
      <c r="BQ829" t="s">
        <v>2813</v>
      </c>
      <c r="BR829" t="s">
        <v>102</v>
      </c>
      <c r="BS829" t="s">
        <v>16133</v>
      </c>
      <c r="BT829" t="str">
        <f>HYPERLINK("https%3A%2F%2Fwww.webofscience.com%2Fwos%2Fwoscc%2Ffull-record%2FWOS:000658736000011","View Full Record in Web of Science")</f>
        <v>View Full Record in Web of Science</v>
      </c>
    </row>
    <row r="830" spans="1:72" x14ac:dyDescent="0.15">
      <c r="A830" t="s">
        <v>72</v>
      </c>
      <c r="B830" t="s">
        <v>16134</v>
      </c>
      <c r="C830" t="s">
        <v>74</v>
      </c>
      <c r="D830" t="s">
        <v>74</v>
      </c>
      <c r="E830" t="s">
        <v>74</v>
      </c>
      <c r="F830" t="s">
        <v>16135</v>
      </c>
      <c r="G830" t="s">
        <v>74</v>
      </c>
      <c r="H830" t="s">
        <v>74</v>
      </c>
      <c r="I830" t="s">
        <v>16136</v>
      </c>
      <c r="J830" t="s">
        <v>8761</v>
      </c>
      <c r="K830" t="s">
        <v>74</v>
      </c>
      <c r="L830" t="s">
        <v>74</v>
      </c>
      <c r="M830" t="s">
        <v>78</v>
      </c>
      <c r="N830" t="s">
        <v>79</v>
      </c>
      <c r="O830" t="s">
        <v>74</v>
      </c>
      <c r="P830" t="s">
        <v>74</v>
      </c>
      <c r="Q830" t="s">
        <v>74</v>
      </c>
      <c r="R830" t="s">
        <v>74</v>
      </c>
      <c r="S830" t="s">
        <v>74</v>
      </c>
      <c r="T830" t="s">
        <v>16137</v>
      </c>
      <c r="U830" t="s">
        <v>16138</v>
      </c>
      <c r="V830" t="s">
        <v>16139</v>
      </c>
      <c r="W830" t="s">
        <v>16140</v>
      </c>
      <c r="X830" t="s">
        <v>16141</v>
      </c>
      <c r="Y830" t="s">
        <v>16142</v>
      </c>
      <c r="Z830" t="s">
        <v>13695</v>
      </c>
      <c r="AA830" t="s">
        <v>16143</v>
      </c>
      <c r="AB830" t="s">
        <v>16144</v>
      </c>
      <c r="AC830" t="s">
        <v>16145</v>
      </c>
      <c r="AD830" t="s">
        <v>16146</v>
      </c>
      <c r="AE830" t="s">
        <v>16147</v>
      </c>
      <c r="AF830" t="s">
        <v>74</v>
      </c>
      <c r="AG830">
        <v>183</v>
      </c>
      <c r="AH830">
        <v>44</v>
      </c>
      <c r="AI830">
        <v>47</v>
      </c>
      <c r="AJ830">
        <v>3</v>
      </c>
      <c r="AK830">
        <v>49</v>
      </c>
      <c r="AL830" t="s">
        <v>119</v>
      </c>
      <c r="AM830" t="s">
        <v>120</v>
      </c>
      <c r="AN830" t="s">
        <v>121</v>
      </c>
      <c r="AO830" t="s">
        <v>8774</v>
      </c>
      <c r="AP830" t="s">
        <v>74</v>
      </c>
      <c r="AQ830" t="s">
        <v>74</v>
      </c>
      <c r="AR830" t="s">
        <v>8775</v>
      </c>
      <c r="AS830" t="s">
        <v>8776</v>
      </c>
      <c r="AT830" t="s">
        <v>16130</v>
      </c>
      <c r="AU830">
        <v>2021</v>
      </c>
      <c r="AV830">
        <v>9</v>
      </c>
      <c r="AW830" t="s">
        <v>74</v>
      </c>
      <c r="AX830" t="s">
        <v>74</v>
      </c>
      <c r="AY830" t="s">
        <v>74</v>
      </c>
      <c r="AZ830" t="s">
        <v>74</v>
      </c>
      <c r="BA830" t="s">
        <v>74</v>
      </c>
      <c r="BB830" t="s">
        <v>74</v>
      </c>
      <c r="BC830" t="s">
        <v>74</v>
      </c>
      <c r="BD830">
        <v>592027</v>
      </c>
      <c r="BE830" t="s">
        <v>16148</v>
      </c>
      <c r="BF830" t="str">
        <f>HYPERLINK("http://dx.doi.org/10.3389/fevo.2021.592027","http://dx.doi.org/10.3389/fevo.2021.592027")</f>
        <v>http://dx.doi.org/10.3389/fevo.2021.592027</v>
      </c>
      <c r="BG830" t="s">
        <v>74</v>
      </c>
      <c r="BH830" t="s">
        <v>74</v>
      </c>
      <c r="BI830">
        <v>19</v>
      </c>
      <c r="BJ830" t="s">
        <v>1462</v>
      </c>
      <c r="BK830" t="s">
        <v>128</v>
      </c>
      <c r="BL830" t="s">
        <v>263</v>
      </c>
      <c r="BM830" t="s">
        <v>16149</v>
      </c>
      <c r="BN830" t="s">
        <v>74</v>
      </c>
      <c r="BO830" t="s">
        <v>1377</v>
      </c>
      <c r="BP830" t="s">
        <v>74</v>
      </c>
      <c r="BQ830" t="s">
        <v>74</v>
      </c>
      <c r="BR830" t="s">
        <v>102</v>
      </c>
      <c r="BS830" t="s">
        <v>16150</v>
      </c>
      <c r="BT830" t="str">
        <f>HYPERLINK("https%3A%2F%2Fwww.webofscience.com%2Fwos%2Fwoscc%2Ffull-record%2FWOS:000656133500001","View Full Record in Web of Science")</f>
        <v>View Full Record in Web of Science</v>
      </c>
    </row>
    <row r="831" spans="1:72" x14ac:dyDescent="0.15">
      <c r="A831" t="s">
        <v>72</v>
      </c>
      <c r="B831" t="s">
        <v>16151</v>
      </c>
      <c r="C831" t="s">
        <v>74</v>
      </c>
      <c r="D831" t="s">
        <v>74</v>
      </c>
      <c r="E831" t="s">
        <v>74</v>
      </c>
      <c r="F831" t="s">
        <v>16152</v>
      </c>
      <c r="G831" t="s">
        <v>74</v>
      </c>
      <c r="H831" t="s">
        <v>74</v>
      </c>
      <c r="I831" t="s">
        <v>16153</v>
      </c>
      <c r="J831" t="s">
        <v>4226</v>
      </c>
      <c r="K831" t="s">
        <v>74</v>
      </c>
      <c r="L831" t="s">
        <v>74</v>
      </c>
      <c r="M831" t="s">
        <v>78</v>
      </c>
      <c r="N831" t="s">
        <v>79</v>
      </c>
      <c r="O831" t="s">
        <v>74</v>
      </c>
      <c r="P831" t="s">
        <v>74</v>
      </c>
      <c r="Q831" t="s">
        <v>74</v>
      </c>
      <c r="R831" t="s">
        <v>74</v>
      </c>
      <c r="S831" t="s">
        <v>74</v>
      </c>
      <c r="T831" t="s">
        <v>16154</v>
      </c>
      <c r="U831" t="s">
        <v>16155</v>
      </c>
      <c r="V831" t="s">
        <v>16156</v>
      </c>
      <c r="W831" t="s">
        <v>16157</v>
      </c>
      <c r="X831" t="s">
        <v>16158</v>
      </c>
      <c r="Y831" t="s">
        <v>16159</v>
      </c>
      <c r="Z831" t="s">
        <v>16160</v>
      </c>
      <c r="AA831" t="s">
        <v>16161</v>
      </c>
      <c r="AB831" t="s">
        <v>16162</v>
      </c>
      <c r="AC831" t="s">
        <v>16163</v>
      </c>
      <c r="AD831" t="s">
        <v>16164</v>
      </c>
      <c r="AE831" t="s">
        <v>16165</v>
      </c>
      <c r="AF831" t="s">
        <v>74</v>
      </c>
      <c r="AG831">
        <v>61</v>
      </c>
      <c r="AH831">
        <v>14</v>
      </c>
      <c r="AI831">
        <v>14</v>
      </c>
      <c r="AJ831">
        <v>0</v>
      </c>
      <c r="AK831">
        <v>12</v>
      </c>
      <c r="AL831" t="s">
        <v>119</v>
      </c>
      <c r="AM831" t="s">
        <v>120</v>
      </c>
      <c r="AN831" t="s">
        <v>121</v>
      </c>
      <c r="AO831" t="s">
        <v>74</v>
      </c>
      <c r="AP831" t="s">
        <v>4238</v>
      </c>
      <c r="AQ831" t="s">
        <v>74</v>
      </c>
      <c r="AR831" t="s">
        <v>4239</v>
      </c>
      <c r="AS831" t="s">
        <v>4240</v>
      </c>
      <c r="AT831" t="s">
        <v>16130</v>
      </c>
      <c r="AU831">
        <v>2021</v>
      </c>
      <c r="AV831">
        <v>9</v>
      </c>
      <c r="AW831" t="s">
        <v>74</v>
      </c>
      <c r="AX831" t="s">
        <v>74</v>
      </c>
      <c r="AY831" t="s">
        <v>74</v>
      </c>
      <c r="AZ831" t="s">
        <v>74</v>
      </c>
      <c r="BA831" t="s">
        <v>74</v>
      </c>
      <c r="BB831" t="s">
        <v>74</v>
      </c>
      <c r="BC831" t="s">
        <v>74</v>
      </c>
      <c r="BD831">
        <v>655977</v>
      </c>
      <c r="BE831" t="s">
        <v>16166</v>
      </c>
      <c r="BF831" t="str">
        <f>HYPERLINK("http://dx.doi.org/10.3389/feart.2021.655977","http://dx.doi.org/10.3389/feart.2021.655977")</f>
        <v>http://dx.doi.org/10.3389/feart.2021.655977</v>
      </c>
      <c r="BG831" t="s">
        <v>74</v>
      </c>
      <c r="BH831" t="s">
        <v>74</v>
      </c>
      <c r="BI831">
        <v>14</v>
      </c>
      <c r="BJ831" t="s">
        <v>405</v>
      </c>
      <c r="BK831" t="s">
        <v>128</v>
      </c>
      <c r="BL831" t="s">
        <v>406</v>
      </c>
      <c r="BM831" t="s">
        <v>16167</v>
      </c>
      <c r="BN831" t="s">
        <v>74</v>
      </c>
      <c r="BO831" t="s">
        <v>638</v>
      </c>
      <c r="BP831" t="s">
        <v>74</v>
      </c>
      <c r="BQ831" t="s">
        <v>74</v>
      </c>
      <c r="BR831" t="s">
        <v>102</v>
      </c>
      <c r="BS831" t="s">
        <v>16168</v>
      </c>
      <c r="BT831" t="str">
        <f>HYPERLINK("https%3A%2F%2Fwww.webofscience.com%2Fwos%2Fwoscc%2Ffull-record%2FWOS:000656136500001","View Full Record in Web of Science")</f>
        <v>View Full Record in Web of Science</v>
      </c>
    </row>
    <row r="832" spans="1:72" x14ac:dyDescent="0.15">
      <c r="A832" t="s">
        <v>72</v>
      </c>
      <c r="B832" t="s">
        <v>16169</v>
      </c>
      <c r="C832" t="s">
        <v>74</v>
      </c>
      <c r="D832" t="s">
        <v>74</v>
      </c>
      <c r="E832" t="s">
        <v>74</v>
      </c>
      <c r="F832" t="s">
        <v>16170</v>
      </c>
      <c r="G832" t="s">
        <v>74</v>
      </c>
      <c r="H832" t="s">
        <v>74</v>
      </c>
      <c r="I832" t="s">
        <v>16171</v>
      </c>
      <c r="J832" t="s">
        <v>16172</v>
      </c>
      <c r="K832" t="s">
        <v>74</v>
      </c>
      <c r="L832" t="s">
        <v>74</v>
      </c>
      <c r="M832" t="s">
        <v>78</v>
      </c>
      <c r="N832" t="s">
        <v>79</v>
      </c>
      <c r="O832" t="s">
        <v>74</v>
      </c>
      <c r="P832" t="s">
        <v>74</v>
      </c>
      <c r="Q832" t="s">
        <v>74</v>
      </c>
      <c r="R832" t="s">
        <v>74</v>
      </c>
      <c r="S832" t="s">
        <v>74</v>
      </c>
      <c r="T832" t="s">
        <v>16173</v>
      </c>
      <c r="U832" t="s">
        <v>16174</v>
      </c>
      <c r="V832" t="s">
        <v>16175</v>
      </c>
      <c r="W832" t="s">
        <v>16176</v>
      </c>
      <c r="X832" t="s">
        <v>16177</v>
      </c>
      <c r="Y832" t="s">
        <v>16178</v>
      </c>
      <c r="Z832" t="s">
        <v>16179</v>
      </c>
      <c r="AA832" t="s">
        <v>16180</v>
      </c>
      <c r="AB832" t="s">
        <v>16181</v>
      </c>
      <c r="AC832" t="s">
        <v>16182</v>
      </c>
      <c r="AD832" t="s">
        <v>16183</v>
      </c>
      <c r="AE832" t="s">
        <v>16184</v>
      </c>
      <c r="AF832" t="s">
        <v>74</v>
      </c>
      <c r="AG832">
        <v>54</v>
      </c>
      <c r="AH832">
        <v>9</v>
      </c>
      <c r="AI832">
        <v>9</v>
      </c>
      <c r="AJ832">
        <v>0</v>
      </c>
      <c r="AK832">
        <v>2</v>
      </c>
      <c r="AL832" t="s">
        <v>16185</v>
      </c>
      <c r="AM832" t="s">
        <v>1102</v>
      </c>
      <c r="AN832" t="s">
        <v>16186</v>
      </c>
      <c r="AO832" t="s">
        <v>16187</v>
      </c>
      <c r="AP832" t="s">
        <v>16188</v>
      </c>
      <c r="AQ832" t="s">
        <v>74</v>
      </c>
      <c r="AR832" t="s">
        <v>16189</v>
      </c>
      <c r="AS832" t="s">
        <v>16190</v>
      </c>
      <c r="AT832" t="s">
        <v>4571</v>
      </c>
      <c r="AU832">
        <v>2021</v>
      </c>
      <c r="AV832">
        <v>178</v>
      </c>
      <c r="AW832">
        <v>6</v>
      </c>
      <c r="AX832" t="s">
        <v>74</v>
      </c>
      <c r="AY832" t="s">
        <v>74</v>
      </c>
      <c r="AZ832" t="s">
        <v>74</v>
      </c>
      <c r="BA832" t="s">
        <v>74</v>
      </c>
      <c r="BB832">
        <v>2379</v>
      </c>
      <c r="BC832">
        <v>2391</v>
      </c>
      <c r="BD832" t="s">
        <v>74</v>
      </c>
      <c r="BE832" t="s">
        <v>16191</v>
      </c>
      <c r="BF832" t="str">
        <f>HYPERLINK("http://dx.doi.org/10.1007/s00024-021-02749-4","http://dx.doi.org/10.1007/s00024-021-02749-4")</f>
        <v>http://dx.doi.org/10.1007/s00024-021-02749-4</v>
      </c>
      <c r="BG832" t="s">
        <v>74</v>
      </c>
      <c r="BH832" t="s">
        <v>14415</v>
      </c>
      <c r="BI832">
        <v>13</v>
      </c>
      <c r="BJ832" t="s">
        <v>289</v>
      </c>
      <c r="BK832" t="s">
        <v>128</v>
      </c>
      <c r="BL832" t="s">
        <v>289</v>
      </c>
      <c r="BM832" t="s">
        <v>16192</v>
      </c>
      <c r="BN832" t="s">
        <v>74</v>
      </c>
      <c r="BO832" t="s">
        <v>74</v>
      </c>
      <c r="BP832" t="s">
        <v>74</v>
      </c>
      <c r="BQ832" t="s">
        <v>74</v>
      </c>
      <c r="BR832" t="s">
        <v>102</v>
      </c>
      <c r="BS832" t="s">
        <v>16193</v>
      </c>
      <c r="BT832" t="str">
        <f>HYPERLINK("https%3A%2F%2Fwww.webofscience.com%2Fwos%2Fwoscc%2Ffull-record%2FWOS:000651360200002","View Full Record in Web of Science")</f>
        <v>View Full Record in Web of Science</v>
      </c>
    </row>
    <row r="833" spans="1:72" x14ac:dyDescent="0.15">
      <c r="A833" t="s">
        <v>72</v>
      </c>
      <c r="B833" t="s">
        <v>16194</v>
      </c>
      <c r="C833" t="s">
        <v>74</v>
      </c>
      <c r="D833" t="s">
        <v>74</v>
      </c>
      <c r="E833" t="s">
        <v>74</v>
      </c>
      <c r="F833" t="s">
        <v>16195</v>
      </c>
      <c r="G833" t="s">
        <v>74</v>
      </c>
      <c r="H833" t="s">
        <v>74</v>
      </c>
      <c r="I833" t="s">
        <v>16196</v>
      </c>
      <c r="J833" t="s">
        <v>16197</v>
      </c>
      <c r="K833" t="s">
        <v>74</v>
      </c>
      <c r="L833" t="s">
        <v>74</v>
      </c>
      <c r="M833" t="s">
        <v>78</v>
      </c>
      <c r="N833" t="s">
        <v>79</v>
      </c>
      <c r="O833" t="s">
        <v>74</v>
      </c>
      <c r="P833" t="s">
        <v>74</v>
      </c>
      <c r="Q833" t="s">
        <v>74</v>
      </c>
      <c r="R833" t="s">
        <v>74</v>
      </c>
      <c r="S833" t="s">
        <v>74</v>
      </c>
      <c r="T833" t="s">
        <v>16198</v>
      </c>
      <c r="U833" t="s">
        <v>16199</v>
      </c>
      <c r="V833" t="s">
        <v>16200</v>
      </c>
      <c r="W833" t="s">
        <v>16201</v>
      </c>
      <c r="X833" t="s">
        <v>16202</v>
      </c>
      <c r="Y833" t="s">
        <v>16203</v>
      </c>
      <c r="Z833" t="s">
        <v>16204</v>
      </c>
      <c r="AA833" t="s">
        <v>16205</v>
      </c>
      <c r="AB833" t="s">
        <v>16206</v>
      </c>
      <c r="AC833" t="s">
        <v>16207</v>
      </c>
      <c r="AD833" t="s">
        <v>16208</v>
      </c>
      <c r="AE833" t="s">
        <v>16209</v>
      </c>
      <c r="AF833" t="s">
        <v>74</v>
      </c>
      <c r="AG833">
        <v>71</v>
      </c>
      <c r="AH833">
        <v>7</v>
      </c>
      <c r="AI833">
        <v>7</v>
      </c>
      <c r="AJ833">
        <v>0</v>
      </c>
      <c r="AK833">
        <v>6</v>
      </c>
      <c r="AL833" t="s">
        <v>9279</v>
      </c>
      <c r="AM833" t="s">
        <v>3136</v>
      </c>
      <c r="AN833" t="s">
        <v>9280</v>
      </c>
      <c r="AO833" t="s">
        <v>16210</v>
      </c>
      <c r="AP833" t="s">
        <v>16211</v>
      </c>
      <c r="AQ833" t="s">
        <v>74</v>
      </c>
      <c r="AR833" t="s">
        <v>16212</v>
      </c>
      <c r="AS833" t="s">
        <v>16213</v>
      </c>
      <c r="AT833" t="s">
        <v>16214</v>
      </c>
      <c r="AU833">
        <v>2021</v>
      </c>
      <c r="AV833">
        <v>35</v>
      </c>
      <c r="AW833">
        <v>5</v>
      </c>
      <c r="AX833" t="s">
        <v>74</v>
      </c>
      <c r="AY833" t="s">
        <v>74</v>
      </c>
      <c r="AZ833" t="s">
        <v>74</v>
      </c>
      <c r="BA833" t="s">
        <v>74</v>
      </c>
      <c r="BB833">
        <v>441</v>
      </c>
      <c r="BC833">
        <v>460</v>
      </c>
      <c r="BD833" t="s">
        <v>74</v>
      </c>
      <c r="BE833" t="s">
        <v>16215</v>
      </c>
      <c r="BF833" t="str">
        <f>HYPERLINK("http://dx.doi.org/10.1080/02691728.2021.1913661","http://dx.doi.org/10.1080/02691728.2021.1913661")</f>
        <v>http://dx.doi.org/10.1080/02691728.2021.1913661</v>
      </c>
      <c r="BG833" t="s">
        <v>74</v>
      </c>
      <c r="BH833" t="s">
        <v>14415</v>
      </c>
      <c r="BI833">
        <v>20</v>
      </c>
      <c r="BJ833" t="s">
        <v>16216</v>
      </c>
      <c r="BK833" t="s">
        <v>16217</v>
      </c>
      <c r="BL833" t="s">
        <v>16218</v>
      </c>
      <c r="BM833" t="s">
        <v>16219</v>
      </c>
      <c r="BN833" t="s">
        <v>74</v>
      </c>
      <c r="BO833" t="s">
        <v>74</v>
      </c>
      <c r="BP833" t="s">
        <v>74</v>
      </c>
      <c r="BQ833" t="s">
        <v>74</v>
      </c>
      <c r="BR833" t="s">
        <v>102</v>
      </c>
      <c r="BS833" t="s">
        <v>16220</v>
      </c>
      <c r="BT833" t="str">
        <f>HYPERLINK("https%3A%2F%2Fwww.webofscience.com%2Fwos%2Fwoscc%2Ffull-record%2FWOS:000651318300001","View Full Record in Web of Science")</f>
        <v>View Full Record in Web of Science</v>
      </c>
    </row>
    <row r="834" spans="1:72" x14ac:dyDescent="0.15">
      <c r="A834" t="s">
        <v>72</v>
      </c>
      <c r="B834" t="s">
        <v>16221</v>
      </c>
      <c r="C834" t="s">
        <v>74</v>
      </c>
      <c r="D834" t="s">
        <v>74</v>
      </c>
      <c r="E834" t="s">
        <v>74</v>
      </c>
      <c r="F834" t="s">
        <v>16222</v>
      </c>
      <c r="G834" t="s">
        <v>74</v>
      </c>
      <c r="H834" t="s">
        <v>74</v>
      </c>
      <c r="I834" t="s">
        <v>16223</v>
      </c>
      <c r="J834" t="s">
        <v>1923</v>
      </c>
      <c r="K834" t="s">
        <v>74</v>
      </c>
      <c r="L834" t="s">
        <v>74</v>
      </c>
      <c r="M834" t="s">
        <v>78</v>
      </c>
      <c r="N834" t="s">
        <v>79</v>
      </c>
      <c r="O834" t="s">
        <v>74</v>
      </c>
      <c r="P834" t="s">
        <v>74</v>
      </c>
      <c r="Q834" t="s">
        <v>74</v>
      </c>
      <c r="R834" t="s">
        <v>74</v>
      </c>
      <c r="S834" t="s">
        <v>74</v>
      </c>
      <c r="T834" t="s">
        <v>16224</v>
      </c>
      <c r="U834" t="s">
        <v>16225</v>
      </c>
      <c r="V834" t="s">
        <v>16226</v>
      </c>
      <c r="W834" t="s">
        <v>16227</v>
      </c>
      <c r="X834" t="s">
        <v>1432</v>
      </c>
      <c r="Y834" t="s">
        <v>16228</v>
      </c>
      <c r="Z834" t="s">
        <v>16229</v>
      </c>
      <c r="AA834" t="s">
        <v>74</v>
      </c>
      <c r="AB834" t="s">
        <v>16230</v>
      </c>
      <c r="AC834" t="s">
        <v>16231</v>
      </c>
      <c r="AD834" t="s">
        <v>16232</v>
      </c>
      <c r="AE834" t="s">
        <v>16233</v>
      </c>
      <c r="AF834" t="s">
        <v>74</v>
      </c>
      <c r="AG834">
        <v>29</v>
      </c>
      <c r="AH834">
        <v>5</v>
      </c>
      <c r="AI834">
        <v>7</v>
      </c>
      <c r="AJ834">
        <v>9</v>
      </c>
      <c r="AK834">
        <v>44</v>
      </c>
      <c r="AL834" t="s">
        <v>628</v>
      </c>
      <c r="AM834" t="s">
        <v>629</v>
      </c>
      <c r="AN834" t="s">
        <v>1933</v>
      </c>
      <c r="AO834" t="s">
        <v>1934</v>
      </c>
      <c r="AP834" t="s">
        <v>1935</v>
      </c>
      <c r="AQ834" t="s">
        <v>74</v>
      </c>
      <c r="AR834" t="s">
        <v>1936</v>
      </c>
      <c r="AS834" t="s">
        <v>1937</v>
      </c>
      <c r="AT834" t="s">
        <v>430</v>
      </c>
      <c r="AU834">
        <v>2021</v>
      </c>
      <c r="AV834">
        <v>64</v>
      </c>
      <c r="AW834">
        <v>7</v>
      </c>
      <c r="AX834" t="s">
        <v>74</v>
      </c>
      <c r="AY834" t="s">
        <v>74</v>
      </c>
      <c r="AZ834" t="s">
        <v>74</v>
      </c>
      <c r="BA834" t="s">
        <v>74</v>
      </c>
      <c r="BB834">
        <v>1080</v>
      </c>
      <c r="BC834">
        <v>1089</v>
      </c>
      <c r="BD834" t="s">
        <v>74</v>
      </c>
      <c r="BE834" t="s">
        <v>16234</v>
      </c>
      <c r="BF834" t="str">
        <f>HYPERLINK("http://dx.doi.org/10.1007/s11430-020-9777-9","http://dx.doi.org/10.1007/s11430-020-9777-9")</f>
        <v>http://dx.doi.org/10.1007/s11430-020-9777-9</v>
      </c>
      <c r="BG834" t="s">
        <v>74</v>
      </c>
      <c r="BH834" t="s">
        <v>14415</v>
      </c>
      <c r="BI834">
        <v>10</v>
      </c>
      <c r="BJ834" t="s">
        <v>405</v>
      </c>
      <c r="BK834" t="s">
        <v>128</v>
      </c>
      <c r="BL834" t="s">
        <v>406</v>
      </c>
      <c r="BM834" t="s">
        <v>16235</v>
      </c>
      <c r="BN834" t="s">
        <v>74</v>
      </c>
      <c r="BO834" t="s">
        <v>74</v>
      </c>
      <c r="BP834" t="s">
        <v>74</v>
      </c>
      <c r="BQ834" t="s">
        <v>74</v>
      </c>
      <c r="BR834" t="s">
        <v>102</v>
      </c>
      <c r="BS834" t="s">
        <v>16236</v>
      </c>
      <c r="BT834" t="str">
        <f>HYPERLINK("https%3A%2F%2Fwww.webofscience.com%2Fwos%2Fwoscc%2Ffull-record%2FWOS:000652990700001","View Full Record in Web of Science")</f>
        <v>View Full Record in Web of Science</v>
      </c>
    </row>
    <row r="835" spans="1:72" x14ac:dyDescent="0.15">
      <c r="A835" t="s">
        <v>72</v>
      </c>
      <c r="B835" t="s">
        <v>16237</v>
      </c>
      <c r="C835" t="s">
        <v>74</v>
      </c>
      <c r="D835" t="s">
        <v>74</v>
      </c>
      <c r="E835" t="s">
        <v>74</v>
      </c>
      <c r="F835" t="s">
        <v>16238</v>
      </c>
      <c r="G835" t="s">
        <v>74</v>
      </c>
      <c r="H835" t="s">
        <v>74</v>
      </c>
      <c r="I835" t="s">
        <v>16239</v>
      </c>
      <c r="J835" t="s">
        <v>16240</v>
      </c>
      <c r="K835" t="s">
        <v>74</v>
      </c>
      <c r="L835" t="s">
        <v>74</v>
      </c>
      <c r="M835" t="s">
        <v>78</v>
      </c>
      <c r="N835" t="s">
        <v>79</v>
      </c>
      <c r="O835" t="s">
        <v>74</v>
      </c>
      <c r="P835" t="s">
        <v>74</v>
      </c>
      <c r="Q835" t="s">
        <v>74</v>
      </c>
      <c r="R835" t="s">
        <v>74</v>
      </c>
      <c r="S835" t="s">
        <v>74</v>
      </c>
      <c r="T835" t="s">
        <v>16241</v>
      </c>
      <c r="U835" t="s">
        <v>16242</v>
      </c>
      <c r="V835" t="s">
        <v>16243</v>
      </c>
      <c r="W835" t="s">
        <v>16244</v>
      </c>
      <c r="X835" t="s">
        <v>16245</v>
      </c>
      <c r="Y835" t="s">
        <v>16246</v>
      </c>
      <c r="Z835" t="s">
        <v>16247</v>
      </c>
      <c r="AA835" t="s">
        <v>16248</v>
      </c>
      <c r="AB835" t="s">
        <v>16249</v>
      </c>
      <c r="AC835" t="s">
        <v>74</v>
      </c>
      <c r="AD835" t="s">
        <v>74</v>
      </c>
      <c r="AE835" t="s">
        <v>74</v>
      </c>
      <c r="AF835" t="s">
        <v>74</v>
      </c>
      <c r="AG835">
        <v>33</v>
      </c>
      <c r="AH835">
        <v>1</v>
      </c>
      <c r="AI835">
        <v>1</v>
      </c>
      <c r="AJ835">
        <v>0</v>
      </c>
      <c r="AK835">
        <v>6</v>
      </c>
      <c r="AL835" t="s">
        <v>197</v>
      </c>
      <c r="AM835" t="s">
        <v>198</v>
      </c>
      <c r="AN835" t="s">
        <v>199</v>
      </c>
      <c r="AO835" t="s">
        <v>16250</v>
      </c>
      <c r="AP835" t="s">
        <v>16251</v>
      </c>
      <c r="AQ835" t="s">
        <v>74</v>
      </c>
      <c r="AR835" t="s">
        <v>16252</v>
      </c>
      <c r="AS835" t="s">
        <v>16253</v>
      </c>
      <c r="AT835" t="s">
        <v>3459</v>
      </c>
      <c r="AU835">
        <v>2022</v>
      </c>
      <c r="AV835">
        <v>50</v>
      </c>
      <c r="AW835">
        <v>1</v>
      </c>
      <c r="AX835" t="s">
        <v>74</v>
      </c>
      <c r="AY835" t="s">
        <v>74</v>
      </c>
      <c r="AZ835" t="s">
        <v>74</v>
      </c>
      <c r="BA835" t="s">
        <v>74</v>
      </c>
      <c r="BB835">
        <v>502</v>
      </c>
      <c r="BC835">
        <v>514</v>
      </c>
      <c r="BD835" t="s">
        <v>74</v>
      </c>
      <c r="BE835" t="s">
        <v>16254</v>
      </c>
      <c r="BF835" t="str">
        <f>HYPERLINK("http://dx.doi.org/10.1002/jcop.22600","http://dx.doi.org/10.1002/jcop.22600")</f>
        <v>http://dx.doi.org/10.1002/jcop.22600</v>
      </c>
      <c r="BG835" t="s">
        <v>74</v>
      </c>
      <c r="BH835" t="s">
        <v>14415</v>
      </c>
      <c r="BI835">
        <v>13</v>
      </c>
      <c r="BJ835" t="s">
        <v>16255</v>
      </c>
      <c r="BK835" t="s">
        <v>377</v>
      </c>
      <c r="BL835" t="s">
        <v>16256</v>
      </c>
      <c r="BM835" t="s">
        <v>16257</v>
      </c>
      <c r="BN835">
        <v>33999434</v>
      </c>
      <c r="BO835" t="s">
        <v>569</v>
      </c>
      <c r="BP835" t="s">
        <v>74</v>
      </c>
      <c r="BQ835" t="s">
        <v>74</v>
      </c>
      <c r="BR835" t="s">
        <v>102</v>
      </c>
      <c r="BS835" t="s">
        <v>16258</v>
      </c>
      <c r="BT835" t="str">
        <f>HYPERLINK("https%3A%2F%2Fwww.webofscience.com%2Fwos%2Fwoscc%2Ffull-record%2FWOS:000651142500001","View Full Record in Web of Science")</f>
        <v>View Full Record in Web of Science</v>
      </c>
    </row>
    <row r="836" spans="1:72" x14ac:dyDescent="0.15">
      <c r="A836" t="s">
        <v>72</v>
      </c>
      <c r="B836" t="s">
        <v>16259</v>
      </c>
      <c r="C836" t="s">
        <v>74</v>
      </c>
      <c r="D836" t="s">
        <v>74</v>
      </c>
      <c r="E836" t="s">
        <v>74</v>
      </c>
      <c r="F836" t="s">
        <v>16260</v>
      </c>
      <c r="G836" t="s">
        <v>74</v>
      </c>
      <c r="H836" t="s">
        <v>74</v>
      </c>
      <c r="I836" t="s">
        <v>16261</v>
      </c>
      <c r="J836" t="s">
        <v>16262</v>
      </c>
      <c r="K836" t="s">
        <v>74</v>
      </c>
      <c r="L836" t="s">
        <v>74</v>
      </c>
      <c r="M836" t="s">
        <v>78</v>
      </c>
      <c r="N836" t="s">
        <v>79</v>
      </c>
      <c r="O836" t="s">
        <v>74</v>
      </c>
      <c r="P836" t="s">
        <v>74</v>
      </c>
      <c r="Q836" t="s">
        <v>74</v>
      </c>
      <c r="R836" t="s">
        <v>74</v>
      </c>
      <c r="S836" t="s">
        <v>74</v>
      </c>
      <c r="T836" t="s">
        <v>16263</v>
      </c>
      <c r="U836" t="s">
        <v>16264</v>
      </c>
      <c r="V836" t="s">
        <v>16265</v>
      </c>
      <c r="W836" t="s">
        <v>16266</v>
      </c>
      <c r="X836" t="s">
        <v>16267</v>
      </c>
      <c r="Y836" t="s">
        <v>16268</v>
      </c>
      <c r="Z836" t="s">
        <v>16269</v>
      </c>
      <c r="AA836" t="s">
        <v>16270</v>
      </c>
      <c r="AB836" t="s">
        <v>16271</v>
      </c>
      <c r="AC836" t="s">
        <v>16272</v>
      </c>
      <c r="AD836" t="s">
        <v>16273</v>
      </c>
      <c r="AE836" t="s">
        <v>16274</v>
      </c>
      <c r="AF836" t="s">
        <v>74</v>
      </c>
      <c r="AG836">
        <v>121</v>
      </c>
      <c r="AH836">
        <v>12</v>
      </c>
      <c r="AI836">
        <v>12</v>
      </c>
      <c r="AJ836">
        <v>4</v>
      </c>
      <c r="AK836">
        <v>18</v>
      </c>
      <c r="AL836" t="s">
        <v>10986</v>
      </c>
      <c r="AM836" t="s">
        <v>368</v>
      </c>
      <c r="AN836" t="s">
        <v>10987</v>
      </c>
      <c r="AO836" t="s">
        <v>16275</v>
      </c>
      <c r="AP836" t="s">
        <v>74</v>
      </c>
      <c r="AQ836" t="s">
        <v>74</v>
      </c>
      <c r="AR836" t="s">
        <v>16276</v>
      </c>
      <c r="AS836" t="s">
        <v>16277</v>
      </c>
      <c r="AT836" t="s">
        <v>16130</v>
      </c>
      <c r="AU836">
        <v>2021</v>
      </c>
      <c r="AV836">
        <v>9</v>
      </c>
      <c r="AW836">
        <v>1</v>
      </c>
      <c r="AX836" t="s">
        <v>74</v>
      </c>
      <c r="AY836" t="s">
        <v>74</v>
      </c>
      <c r="AZ836" t="s">
        <v>74</v>
      </c>
      <c r="BA836" t="s">
        <v>74</v>
      </c>
      <c r="BB836" t="s">
        <v>74</v>
      </c>
      <c r="BC836" t="s">
        <v>74</v>
      </c>
      <c r="BD836">
        <v>24</v>
      </c>
      <c r="BE836" t="s">
        <v>16278</v>
      </c>
      <c r="BF836" t="str">
        <f>HYPERLINK("http://dx.doi.org/10.1186/s40462-021-00255-9","http://dx.doi.org/10.1186/s40462-021-00255-9")</f>
        <v>http://dx.doi.org/10.1186/s40462-021-00255-9</v>
      </c>
      <c r="BG836" t="s">
        <v>74</v>
      </c>
      <c r="BH836" t="s">
        <v>74</v>
      </c>
      <c r="BI836">
        <v>25</v>
      </c>
      <c r="BJ836" t="s">
        <v>1462</v>
      </c>
      <c r="BK836" t="s">
        <v>128</v>
      </c>
      <c r="BL836" t="s">
        <v>263</v>
      </c>
      <c r="BM836" t="s">
        <v>16279</v>
      </c>
      <c r="BN836">
        <v>34001240</v>
      </c>
      <c r="BO836" t="s">
        <v>7792</v>
      </c>
      <c r="BP836" t="s">
        <v>74</v>
      </c>
      <c r="BQ836" t="s">
        <v>74</v>
      </c>
      <c r="BR836" t="s">
        <v>102</v>
      </c>
      <c r="BS836" t="s">
        <v>16280</v>
      </c>
      <c r="BT836" t="str">
        <f>HYPERLINK("https%3A%2F%2Fwww.webofscience.com%2Fwos%2Fwoscc%2Ffull-record%2FWOS:000651469800001","View Full Record in Web of Science")</f>
        <v>View Full Record in Web of Science</v>
      </c>
    </row>
    <row r="837" spans="1:72" x14ac:dyDescent="0.15">
      <c r="A837" t="s">
        <v>72</v>
      </c>
      <c r="B837" t="s">
        <v>16281</v>
      </c>
      <c r="C837" t="s">
        <v>74</v>
      </c>
      <c r="D837" t="s">
        <v>74</v>
      </c>
      <c r="E837" t="s">
        <v>74</v>
      </c>
      <c r="F837" t="s">
        <v>16282</v>
      </c>
      <c r="G837" t="s">
        <v>74</v>
      </c>
      <c r="H837" t="s">
        <v>74</v>
      </c>
      <c r="I837" t="s">
        <v>16283</v>
      </c>
      <c r="J837" t="s">
        <v>9722</v>
      </c>
      <c r="K837" t="s">
        <v>74</v>
      </c>
      <c r="L837" t="s">
        <v>74</v>
      </c>
      <c r="M837" t="s">
        <v>78</v>
      </c>
      <c r="N837" t="s">
        <v>79</v>
      </c>
      <c r="O837" t="s">
        <v>74</v>
      </c>
      <c r="P837" t="s">
        <v>74</v>
      </c>
      <c r="Q837" t="s">
        <v>74</v>
      </c>
      <c r="R837" t="s">
        <v>74</v>
      </c>
      <c r="S837" t="s">
        <v>74</v>
      </c>
      <c r="T837" t="s">
        <v>16284</v>
      </c>
      <c r="U837" t="s">
        <v>16285</v>
      </c>
      <c r="V837" t="s">
        <v>16286</v>
      </c>
      <c r="W837" t="s">
        <v>16287</v>
      </c>
      <c r="X837" t="s">
        <v>16288</v>
      </c>
      <c r="Y837" t="s">
        <v>16289</v>
      </c>
      <c r="Z837" t="s">
        <v>16290</v>
      </c>
      <c r="AA837" t="s">
        <v>74</v>
      </c>
      <c r="AB837" t="s">
        <v>16291</v>
      </c>
      <c r="AC837" t="s">
        <v>16292</v>
      </c>
      <c r="AD837" t="s">
        <v>16293</v>
      </c>
      <c r="AE837" t="s">
        <v>16294</v>
      </c>
      <c r="AF837" t="s">
        <v>74</v>
      </c>
      <c r="AG837">
        <v>70</v>
      </c>
      <c r="AH837">
        <v>2</v>
      </c>
      <c r="AI837">
        <v>2</v>
      </c>
      <c r="AJ837">
        <v>3</v>
      </c>
      <c r="AK837">
        <v>13</v>
      </c>
      <c r="AL837" t="s">
        <v>89</v>
      </c>
      <c r="AM837" t="s">
        <v>90</v>
      </c>
      <c r="AN837" t="s">
        <v>91</v>
      </c>
      <c r="AO837" t="s">
        <v>9733</v>
      </c>
      <c r="AP837" t="s">
        <v>74</v>
      </c>
      <c r="AQ837" t="s">
        <v>74</v>
      </c>
      <c r="AR837" t="s">
        <v>9734</v>
      </c>
      <c r="AS837" t="s">
        <v>9735</v>
      </c>
      <c r="AT837" t="s">
        <v>535</v>
      </c>
      <c r="AU837">
        <v>2021</v>
      </c>
      <c r="AV837">
        <v>23</v>
      </c>
      <c r="AW837" t="s">
        <v>74</v>
      </c>
      <c r="AX837" t="s">
        <v>74</v>
      </c>
      <c r="AY837" t="s">
        <v>74</v>
      </c>
      <c r="AZ837" t="s">
        <v>74</v>
      </c>
      <c r="BA837" t="s">
        <v>74</v>
      </c>
      <c r="BB837" t="s">
        <v>74</v>
      </c>
      <c r="BC837" t="s">
        <v>74</v>
      </c>
      <c r="BD837">
        <v>100529</v>
      </c>
      <c r="BE837" t="s">
        <v>16295</v>
      </c>
      <c r="BF837" t="str">
        <f>HYPERLINK("http://dx.doi.org/10.1016/j.rsase.2021.100529","http://dx.doi.org/10.1016/j.rsase.2021.100529")</f>
        <v>http://dx.doi.org/10.1016/j.rsase.2021.100529</v>
      </c>
      <c r="BG837" t="s">
        <v>74</v>
      </c>
      <c r="BH837" t="s">
        <v>14415</v>
      </c>
      <c r="BI837">
        <v>13</v>
      </c>
      <c r="BJ837" t="s">
        <v>3853</v>
      </c>
      <c r="BK837" t="s">
        <v>1819</v>
      </c>
      <c r="BL837" t="s">
        <v>2654</v>
      </c>
      <c r="BM837" t="s">
        <v>16296</v>
      </c>
      <c r="BN837" t="s">
        <v>74</v>
      </c>
      <c r="BO837" t="s">
        <v>1154</v>
      </c>
      <c r="BP837" t="s">
        <v>74</v>
      </c>
      <c r="BQ837" t="s">
        <v>74</v>
      </c>
      <c r="BR837" t="s">
        <v>102</v>
      </c>
      <c r="BS837" t="s">
        <v>16297</v>
      </c>
      <c r="BT837" t="str">
        <f>HYPERLINK("https%3A%2F%2Fwww.webofscience.com%2Fwos%2Fwoscc%2Ffull-record%2FWOS:000687161800001","View Full Record in Web of Science")</f>
        <v>View Full Record in Web of Science</v>
      </c>
    </row>
    <row r="838" spans="1:72" x14ac:dyDescent="0.15">
      <c r="A838" t="s">
        <v>72</v>
      </c>
      <c r="B838" t="s">
        <v>16298</v>
      </c>
      <c r="C838" t="s">
        <v>74</v>
      </c>
      <c r="D838" t="s">
        <v>74</v>
      </c>
      <c r="E838" t="s">
        <v>74</v>
      </c>
      <c r="F838" t="s">
        <v>16299</v>
      </c>
      <c r="G838" t="s">
        <v>74</v>
      </c>
      <c r="H838" t="s">
        <v>74</v>
      </c>
      <c r="I838" t="s">
        <v>16300</v>
      </c>
      <c r="J838" t="s">
        <v>2457</v>
      </c>
      <c r="K838" t="s">
        <v>74</v>
      </c>
      <c r="L838" t="s">
        <v>74</v>
      </c>
      <c r="M838" t="s">
        <v>78</v>
      </c>
      <c r="N838" t="s">
        <v>79</v>
      </c>
      <c r="O838" t="s">
        <v>74</v>
      </c>
      <c r="P838" t="s">
        <v>74</v>
      </c>
      <c r="Q838" t="s">
        <v>74</v>
      </c>
      <c r="R838" t="s">
        <v>74</v>
      </c>
      <c r="S838" t="s">
        <v>74</v>
      </c>
      <c r="T838" t="s">
        <v>16301</v>
      </c>
      <c r="U838" t="s">
        <v>16302</v>
      </c>
      <c r="V838" t="s">
        <v>16303</v>
      </c>
      <c r="W838" t="s">
        <v>16304</v>
      </c>
      <c r="X838" t="s">
        <v>16305</v>
      </c>
      <c r="Y838" t="s">
        <v>16306</v>
      </c>
      <c r="Z838" t="s">
        <v>16307</v>
      </c>
      <c r="AA838" t="s">
        <v>16308</v>
      </c>
      <c r="AB838" t="s">
        <v>16309</v>
      </c>
      <c r="AC838" t="s">
        <v>16310</v>
      </c>
      <c r="AD838" t="s">
        <v>16311</v>
      </c>
      <c r="AE838" t="s">
        <v>16312</v>
      </c>
      <c r="AF838" t="s">
        <v>74</v>
      </c>
      <c r="AG838">
        <v>53</v>
      </c>
      <c r="AH838">
        <v>6</v>
      </c>
      <c r="AI838">
        <v>6</v>
      </c>
      <c r="AJ838">
        <v>0</v>
      </c>
      <c r="AK838">
        <v>1</v>
      </c>
      <c r="AL838" t="s">
        <v>864</v>
      </c>
      <c r="AM838" t="s">
        <v>865</v>
      </c>
      <c r="AN838" t="s">
        <v>866</v>
      </c>
      <c r="AO838" t="s">
        <v>2469</v>
      </c>
      <c r="AP838" t="s">
        <v>2470</v>
      </c>
      <c r="AQ838" t="s">
        <v>74</v>
      </c>
      <c r="AR838" t="s">
        <v>2471</v>
      </c>
      <c r="AS838" t="s">
        <v>2472</v>
      </c>
      <c r="AT838" t="s">
        <v>16313</v>
      </c>
      <c r="AU838">
        <v>2021</v>
      </c>
      <c r="AV838">
        <v>48</v>
      </c>
      <c r="AW838">
        <v>9</v>
      </c>
      <c r="AX838" t="s">
        <v>74</v>
      </c>
      <c r="AY838" t="s">
        <v>74</v>
      </c>
      <c r="AZ838" t="s">
        <v>74</v>
      </c>
      <c r="BA838" t="s">
        <v>74</v>
      </c>
      <c r="BB838" t="s">
        <v>74</v>
      </c>
      <c r="BC838" t="s">
        <v>74</v>
      </c>
      <c r="BD838" t="s">
        <v>16314</v>
      </c>
      <c r="BE838" t="s">
        <v>16315</v>
      </c>
      <c r="BF838" t="str">
        <f>HYPERLINK("http://dx.doi.org/10.1029/2021GL092664","http://dx.doi.org/10.1029/2021GL092664")</f>
        <v>http://dx.doi.org/10.1029/2021GL092664</v>
      </c>
      <c r="BG838" t="s">
        <v>74</v>
      </c>
      <c r="BH838" t="s">
        <v>74</v>
      </c>
      <c r="BI838">
        <v>11</v>
      </c>
      <c r="BJ838" t="s">
        <v>405</v>
      </c>
      <c r="BK838" t="s">
        <v>128</v>
      </c>
      <c r="BL838" t="s">
        <v>406</v>
      </c>
      <c r="BM838" t="s">
        <v>16316</v>
      </c>
      <c r="BN838" t="s">
        <v>74</v>
      </c>
      <c r="BO838" t="s">
        <v>2152</v>
      </c>
      <c r="BP838" t="s">
        <v>74</v>
      </c>
      <c r="BQ838" t="s">
        <v>74</v>
      </c>
      <c r="BR838" t="s">
        <v>102</v>
      </c>
      <c r="BS838" t="s">
        <v>16317</v>
      </c>
      <c r="BT838" t="str">
        <f>HYPERLINK("https%3A%2F%2Fwww.webofscience.com%2Fwos%2Fwoscc%2Ffull-record%2FWOS:000675524000033","View Full Record in Web of Science")</f>
        <v>View Full Record in Web of Science</v>
      </c>
    </row>
    <row r="839" spans="1:72" x14ac:dyDescent="0.15">
      <c r="A839" t="s">
        <v>72</v>
      </c>
      <c r="B839" t="s">
        <v>16318</v>
      </c>
      <c r="C839" t="s">
        <v>74</v>
      </c>
      <c r="D839" t="s">
        <v>74</v>
      </c>
      <c r="E839" t="s">
        <v>74</v>
      </c>
      <c r="F839" t="s">
        <v>16319</v>
      </c>
      <c r="G839" t="s">
        <v>74</v>
      </c>
      <c r="H839" t="s">
        <v>74</v>
      </c>
      <c r="I839" t="s">
        <v>16320</v>
      </c>
      <c r="J839" t="s">
        <v>2457</v>
      </c>
      <c r="K839" t="s">
        <v>74</v>
      </c>
      <c r="L839" t="s">
        <v>74</v>
      </c>
      <c r="M839" t="s">
        <v>78</v>
      </c>
      <c r="N839" t="s">
        <v>79</v>
      </c>
      <c r="O839" t="s">
        <v>74</v>
      </c>
      <c r="P839" t="s">
        <v>74</v>
      </c>
      <c r="Q839" t="s">
        <v>74</v>
      </c>
      <c r="R839" t="s">
        <v>74</v>
      </c>
      <c r="S839" t="s">
        <v>74</v>
      </c>
      <c r="T839" t="s">
        <v>16321</v>
      </c>
      <c r="U839" t="s">
        <v>16322</v>
      </c>
      <c r="V839" t="s">
        <v>16323</v>
      </c>
      <c r="W839" t="s">
        <v>16324</v>
      </c>
      <c r="X839" t="s">
        <v>16325</v>
      </c>
      <c r="Y839" t="s">
        <v>16326</v>
      </c>
      <c r="Z839" t="s">
        <v>16327</v>
      </c>
      <c r="AA839" t="s">
        <v>16328</v>
      </c>
      <c r="AB839" t="s">
        <v>16329</v>
      </c>
      <c r="AC839" t="s">
        <v>16330</v>
      </c>
      <c r="AD839" t="s">
        <v>16331</v>
      </c>
      <c r="AE839" t="s">
        <v>16332</v>
      </c>
      <c r="AF839" t="s">
        <v>74</v>
      </c>
      <c r="AG839">
        <v>62</v>
      </c>
      <c r="AH839">
        <v>8</v>
      </c>
      <c r="AI839">
        <v>8</v>
      </c>
      <c r="AJ839">
        <v>2</v>
      </c>
      <c r="AK839">
        <v>17</v>
      </c>
      <c r="AL839" t="s">
        <v>864</v>
      </c>
      <c r="AM839" t="s">
        <v>865</v>
      </c>
      <c r="AN839" t="s">
        <v>866</v>
      </c>
      <c r="AO839" t="s">
        <v>2469</v>
      </c>
      <c r="AP839" t="s">
        <v>2470</v>
      </c>
      <c r="AQ839" t="s">
        <v>74</v>
      </c>
      <c r="AR839" t="s">
        <v>2471</v>
      </c>
      <c r="AS839" t="s">
        <v>2472</v>
      </c>
      <c r="AT839" t="s">
        <v>16313</v>
      </c>
      <c r="AU839">
        <v>2021</v>
      </c>
      <c r="AV839">
        <v>48</v>
      </c>
      <c r="AW839">
        <v>9</v>
      </c>
      <c r="AX839" t="s">
        <v>74</v>
      </c>
      <c r="AY839" t="s">
        <v>74</v>
      </c>
      <c r="AZ839" t="s">
        <v>74</v>
      </c>
      <c r="BA839" t="s">
        <v>74</v>
      </c>
      <c r="BB839" t="s">
        <v>74</v>
      </c>
      <c r="BC839" t="s">
        <v>74</v>
      </c>
      <c r="BD839" t="s">
        <v>16333</v>
      </c>
      <c r="BE839" t="s">
        <v>16334</v>
      </c>
      <c r="BF839" t="str">
        <f>HYPERLINK("http://dx.doi.org/10.1029/2020GL092141","http://dx.doi.org/10.1029/2020GL092141")</f>
        <v>http://dx.doi.org/10.1029/2020GL092141</v>
      </c>
      <c r="BG839" t="s">
        <v>74</v>
      </c>
      <c r="BH839" t="s">
        <v>74</v>
      </c>
      <c r="BI839">
        <v>9</v>
      </c>
      <c r="BJ839" t="s">
        <v>405</v>
      </c>
      <c r="BK839" t="s">
        <v>128</v>
      </c>
      <c r="BL839" t="s">
        <v>406</v>
      </c>
      <c r="BM839" t="s">
        <v>16316</v>
      </c>
      <c r="BN839" t="s">
        <v>74</v>
      </c>
      <c r="BO839" t="s">
        <v>1154</v>
      </c>
      <c r="BP839" t="s">
        <v>74</v>
      </c>
      <c r="BQ839" t="s">
        <v>74</v>
      </c>
      <c r="BR839" t="s">
        <v>102</v>
      </c>
      <c r="BS839" t="s">
        <v>16335</v>
      </c>
      <c r="BT839" t="str">
        <f>HYPERLINK("https%3A%2F%2Fwww.webofscience.com%2Fwos%2Fwoscc%2Ffull-record%2FWOS:000675524000052","View Full Record in Web of Science")</f>
        <v>View Full Record in Web of Science</v>
      </c>
    </row>
    <row r="840" spans="1:72" x14ac:dyDescent="0.15">
      <c r="A840" t="s">
        <v>72</v>
      </c>
      <c r="B840" t="s">
        <v>16336</v>
      </c>
      <c r="C840" t="s">
        <v>74</v>
      </c>
      <c r="D840" t="s">
        <v>74</v>
      </c>
      <c r="E840" t="s">
        <v>74</v>
      </c>
      <c r="F840" t="s">
        <v>16337</v>
      </c>
      <c r="G840" t="s">
        <v>74</v>
      </c>
      <c r="H840" t="s">
        <v>74</v>
      </c>
      <c r="I840" t="s">
        <v>16338</v>
      </c>
      <c r="J840" t="s">
        <v>2457</v>
      </c>
      <c r="K840" t="s">
        <v>74</v>
      </c>
      <c r="L840" t="s">
        <v>74</v>
      </c>
      <c r="M840" t="s">
        <v>78</v>
      </c>
      <c r="N840" t="s">
        <v>79</v>
      </c>
      <c r="O840" t="s">
        <v>74</v>
      </c>
      <c r="P840" t="s">
        <v>74</v>
      </c>
      <c r="Q840" t="s">
        <v>74</v>
      </c>
      <c r="R840" t="s">
        <v>74</v>
      </c>
      <c r="S840" t="s">
        <v>74</v>
      </c>
      <c r="T840" t="s">
        <v>74</v>
      </c>
      <c r="U840" t="s">
        <v>16339</v>
      </c>
      <c r="V840" t="s">
        <v>16340</v>
      </c>
      <c r="W840" t="s">
        <v>16341</v>
      </c>
      <c r="X840" t="s">
        <v>16342</v>
      </c>
      <c r="Y840" t="s">
        <v>16343</v>
      </c>
      <c r="Z840" t="s">
        <v>16344</v>
      </c>
      <c r="AA840" t="s">
        <v>16345</v>
      </c>
      <c r="AB840" t="s">
        <v>74</v>
      </c>
      <c r="AC840" t="s">
        <v>16346</v>
      </c>
      <c r="AD840" t="s">
        <v>1437</v>
      </c>
      <c r="AE840" t="s">
        <v>16347</v>
      </c>
      <c r="AF840" t="s">
        <v>74</v>
      </c>
      <c r="AG840">
        <v>55</v>
      </c>
      <c r="AH840">
        <v>2</v>
      </c>
      <c r="AI840">
        <v>2</v>
      </c>
      <c r="AJ840">
        <v>3</v>
      </c>
      <c r="AK840">
        <v>11</v>
      </c>
      <c r="AL840" t="s">
        <v>864</v>
      </c>
      <c r="AM840" t="s">
        <v>865</v>
      </c>
      <c r="AN840" t="s">
        <v>866</v>
      </c>
      <c r="AO840" t="s">
        <v>2469</v>
      </c>
      <c r="AP840" t="s">
        <v>2470</v>
      </c>
      <c r="AQ840" t="s">
        <v>74</v>
      </c>
      <c r="AR840" t="s">
        <v>2471</v>
      </c>
      <c r="AS840" t="s">
        <v>2472</v>
      </c>
      <c r="AT840" t="s">
        <v>16313</v>
      </c>
      <c r="AU840">
        <v>2021</v>
      </c>
      <c r="AV840">
        <v>48</v>
      </c>
      <c r="AW840">
        <v>9</v>
      </c>
      <c r="AX840" t="s">
        <v>74</v>
      </c>
      <c r="AY840" t="s">
        <v>74</v>
      </c>
      <c r="AZ840" t="s">
        <v>74</v>
      </c>
      <c r="BA840" t="s">
        <v>74</v>
      </c>
      <c r="BB840" t="s">
        <v>74</v>
      </c>
      <c r="BC840" t="s">
        <v>74</v>
      </c>
      <c r="BD840" t="s">
        <v>16348</v>
      </c>
      <c r="BE840" t="s">
        <v>16349</v>
      </c>
      <c r="BF840" t="str">
        <f>HYPERLINK("http://dx.doi.org/10.1029/2021GL092880","http://dx.doi.org/10.1029/2021GL092880")</f>
        <v>http://dx.doi.org/10.1029/2021GL092880</v>
      </c>
      <c r="BG840" t="s">
        <v>74</v>
      </c>
      <c r="BH840" t="s">
        <v>74</v>
      </c>
      <c r="BI840">
        <v>11</v>
      </c>
      <c r="BJ840" t="s">
        <v>405</v>
      </c>
      <c r="BK840" t="s">
        <v>128</v>
      </c>
      <c r="BL840" t="s">
        <v>406</v>
      </c>
      <c r="BM840" t="s">
        <v>16316</v>
      </c>
      <c r="BN840" t="s">
        <v>74</v>
      </c>
      <c r="BO840" t="s">
        <v>74</v>
      </c>
      <c r="BP840" t="s">
        <v>74</v>
      </c>
      <c r="BQ840" t="s">
        <v>74</v>
      </c>
      <c r="BR840" t="s">
        <v>102</v>
      </c>
      <c r="BS840" t="s">
        <v>16350</v>
      </c>
      <c r="BT840" t="str">
        <f>HYPERLINK("https%3A%2F%2Fwww.webofscience.com%2Fwos%2Fwoscc%2Ffull-record%2FWOS:000675524000071","View Full Record in Web of Science")</f>
        <v>View Full Record in Web of Science</v>
      </c>
    </row>
    <row r="841" spans="1:72" x14ac:dyDescent="0.15">
      <c r="A841" t="s">
        <v>72</v>
      </c>
      <c r="B841" t="s">
        <v>16351</v>
      </c>
      <c r="C841" t="s">
        <v>74</v>
      </c>
      <c r="D841" t="s">
        <v>74</v>
      </c>
      <c r="E841" t="s">
        <v>74</v>
      </c>
      <c r="F841" t="s">
        <v>16352</v>
      </c>
      <c r="G841" t="s">
        <v>74</v>
      </c>
      <c r="H841" t="s">
        <v>74</v>
      </c>
      <c r="I841" t="s">
        <v>16353</v>
      </c>
      <c r="J841" t="s">
        <v>2457</v>
      </c>
      <c r="K841" t="s">
        <v>74</v>
      </c>
      <c r="L841" t="s">
        <v>74</v>
      </c>
      <c r="M841" t="s">
        <v>78</v>
      </c>
      <c r="N841" t="s">
        <v>79</v>
      </c>
      <c r="O841" t="s">
        <v>74</v>
      </c>
      <c r="P841" t="s">
        <v>74</v>
      </c>
      <c r="Q841" t="s">
        <v>74</v>
      </c>
      <c r="R841" t="s">
        <v>74</v>
      </c>
      <c r="S841" t="s">
        <v>74</v>
      </c>
      <c r="T841" t="s">
        <v>16354</v>
      </c>
      <c r="U841" t="s">
        <v>16355</v>
      </c>
      <c r="V841" t="s">
        <v>16356</v>
      </c>
      <c r="W841" t="s">
        <v>16357</v>
      </c>
      <c r="X841" t="s">
        <v>16358</v>
      </c>
      <c r="Y841" t="s">
        <v>16359</v>
      </c>
      <c r="Z841" t="s">
        <v>16360</v>
      </c>
      <c r="AA841" t="s">
        <v>16361</v>
      </c>
      <c r="AB841" t="s">
        <v>16362</v>
      </c>
      <c r="AC841" t="s">
        <v>74</v>
      </c>
      <c r="AD841" t="s">
        <v>74</v>
      </c>
      <c r="AE841" t="s">
        <v>74</v>
      </c>
      <c r="AF841" t="s">
        <v>74</v>
      </c>
      <c r="AG841">
        <v>58</v>
      </c>
      <c r="AH841">
        <v>2</v>
      </c>
      <c r="AI841">
        <v>2</v>
      </c>
      <c r="AJ841">
        <v>0</v>
      </c>
      <c r="AK841">
        <v>4</v>
      </c>
      <c r="AL841" t="s">
        <v>864</v>
      </c>
      <c r="AM841" t="s">
        <v>865</v>
      </c>
      <c r="AN841" t="s">
        <v>866</v>
      </c>
      <c r="AO841" t="s">
        <v>2469</v>
      </c>
      <c r="AP841" t="s">
        <v>2470</v>
      </c>
      <c r="AQ841" t="s">
        <v>74</v>
      </c>
      <c r="AR841" t="s">
        <v>2471</v>
      </c>
      <c r="AS841" t="s">
        <v>2472</v>
      </c>
      <c r="AT841" t="s">
        <v>16313</v>
      </c>
      <c r="AU841">
        <v>2021</v>
      </c>
      <c r="AV841">
        <v>48</v>
      </c>
      <c r="AW841">
        <v>9</v>
      </c>
      <c r="AX841" t="s">
        <v>74</v>
      </c>
      <c r="AY841" t="s">
        <v>74</v>
      </c>
      <c r="AZ841" t="s">
        <v>74</v>
      </c>
      <c r="BA841" t="s">
        <v>74</v>
      </c>
      <c r="BB841" t="s">
        <v>74</v>
      </c>
      <c r="BC841" t="s">
        <v>74</v>
      </c>
      <c r="BD841" t="s">
        <v>16363</v>
      </c>
      <c r="BE841" t="s">
        <v>16364</v>
      </c>
      <c r="BF841" t="str">
        <f>HYPERLINK("http://dx.doi.org/10.1029/2020GL092329","http://dx.doi.org/10.1029/2020GL092329")</f>
        <v>http://dx.doi.org/10.1029/2020GL092329</v>
      </c>
      <c r="BG841" t="s">
        <v>74</v>
      </c>
      <c r="BH841" t="s">
        <v>74</v>
      </c>
      <c r="BI841">
        <v>10</v>
      </c>
      <c r="BJ841" t="s">
        <v>405</v>
      </c>
      <c r="BK841" t="s">
        <v>128</v>
      </c>
      <c r="BL841" t="s">
        <v>406</v>
      </c>
      <c r="BM841" t="s">
        <v>16316</v>
      </c>
      <c r="BN841" t="s">
        <v>74</v>
      </c>
      <c r="BO841" t="s">
        <v>238</v>
      </c>
      <c r="BP841" t="s">
        <v>74</v>
      </c>
      <c r="BQ841" t="s">
        <v>74</v>
      </c>
      <c r="BR841" t="s">
        <v>102</v>
      </c>
      <c r="BS841" t="s">
        <v>16365</v>
      </c>
      <c r="BT841" t="str">
        <f>HYPERLINK("https%3A%2F%2Fwww.webofscience.com%2Fwos%2Fwoscc%2Ffull-record%2FWOS:000675524000042","View Full Record in Web of Science")</f>
        <v>View Full Record in Web of Science</v>
      </c>
    </row>
    <row r="842" spans="1:72" x14ac:dyDescent="0.15">
      <c r="A842" t="s">
        <v>72</v>
      </c>
      <c r="B842" t="s">
        <v>16366</v>
      </c>
      <c r="C842" t="s">
        <v>74</v>
      </c>
      <c r="D842" t="s">
        <v>74</v>
      </c>
      <c r="E842" t="s">
        <v>74</v>
      </c>
      <c r="F842" t="s">
        <v>16367</v>
      </c>
      <c r="G842" t="s">
        <v>74</v>
      </c>
      <c r="H842" t="s">
        <v>74</v>
      </c>
      <c r="I842" t="s">
        <v>16368</v>
      </c>
      <c r="J842" t="s">
        <v>1729</v>
      </c>
      <c r="K842" t="s">
        <v>74</v>
      </c>
      <c r="L842" t="s">
        <v>74</v>
      </c>
      <c r="M842" t="s">
        <v>78</v>
      </c>
      <c r="N842" t="s">
        <v>79</v>
      </c>
      <c r="O842" t="s">
        <v>74</v>
      </c>
      <c r="P842" t="s">
        <v>74</v>
      </c>
      <c r="Q842" t="s">
        <v>74</v>
      </c>
      <c r="R842" t="s">
        <v>74</v>
      </c>
      <c r="S842" t="s">
        <v>74</v>
      </c>
      <c r="T842" t="s">
        <v>16369</v>
      </c>
      <c r="U842" t="s">
        <v>16370</v>
      </c>
      <c r="V842" t="s">
        <v>16371</v>
      </c>
      <c r="W842" t="s">
        <v>16372</v>
      </c>
      <c r="X842" t="s">
        <v>16373</v>
      </c>
      <c r="Y842" t="s">
        <v>16374</v>
      </c>
      <c r="Z842" t="s">
        <v>16375</v>
      </c>
      <c r="AA842" t="s">
        <v>16376</v>
      </c>
      <c r="AB842" t="s">
        <v>16377</v>
      </c>
      <c r="AC842" t="s">
        <v>16378</v>
      </c>
      <c r="AD842" t="s">
        <v>16379</v>
      </c>
      <c r="AE842" t="s">
        <v>16380</v>
      </c>
      <c r="AF842" t="s">
        <v>74</v>
      </c>
      <c r="AG842">
        <v>79</v>
      </c>
      <c r="AH842">
        <v>0</v>
      </c>
      <c r="AI842">
        <v>0</v>
      </c>
      <c r="AJ842">
        <v>0</v>
      </c>
      <c r="AK842">
        <v>14</v>
      </c>
      <c r="AL842" t="s">
        <v>864</v>
      </c>
      <c r="AM842" t="s">
        <v>865</v>
      </c>
      <c r="AN842" t="s">
        <v>866</v>
      </c>
      <c r="AO842" t="s">
        <v>1739</v>
      </c>
      <c r="AP842" t="s">
        <v>1740</v>
      </c>
      <c r="AQ842" t="s">
        <v>74</v>
      </c>
      <c r="AR842" t="s">
        <v>1741</v>
      </c>
      <c r="AS842" t="s">
        <v>1742</v>
      </c>
      <c r="AT842" t="s">
        <v>16313</v>
      </c>
      <c r="AU842">
        <v>2021</v>
      </c>
      <c r="AV842">
        <v>126</v>
      </c>
      <c r="AW842">
        <v>9</v>
      </c>
      <c r="AX842" t="s">
        <v>74</v>
      </c>
      <c r="AY842" t="s">
        <v>74</v>
      </c>
      <c r="AZ842" t="s">
        <v>74</v>
      </c>
      <c r="BA842" t="s">
        <v>74</v>
      </c>
      <c r="BB842" t="s">
        <v>74</v>
      </c>
      <c r="BC842" t="s">
        <v>74</v>
      </c>
      <c r="BD842" t="s">
        <v>16381</v>
      </c>
      <c r="BE842" t="s">
        <v>16382</v>
      </c>
      <c r="BF842" t="str">
        <f>HYPERLINK("http://dx.doi.org/10.1029/2020JD033656","http://dx.doi.org/10.1029/2020JD033656")</f>
        <v>http://dx.doi.org/10.1029/2020JD033656</v>
      </c>
      <c r="BG842" t="s">
        <v>74</v>
      </c>
      <c r="BH842" t="s">
        <v>74</v>
      </c>
      <c r="BI842">
        <v>17</v>
      </c>
      <c r="BJ842" t="s">
        <v>567</v>
      </c>
      <c r="BK842" t="s">
        <v>128</v>
      </c>
      <c r="BL842" t="s">
        <v>567</v>
      </c>
      <c r="BM842" t="s">
        <v>16383</v>
      </c>
      <c r="BN842" t="s">
        <v>74</v>
      </c>
      <c r="BO842" t="s">
        <v>238</v>
      </c>
      <c r="BP842" t="s">
        <v>74</v>
      </c>
      <c r="BQ842" t="s">
        <v>74</v>
      </c>
      <c r="BR842" t="s">
        <v>102</v>
      </c>
      <c r="BS842" t="s">
        <v>16384</v>
      </c>
      <c r="BT842" t="str">
        <f>HYPERLINK("https%3A%2F%2Fwww.webofscience.com%2Fwos%2Fwoscc%2Ffull-record%2FWOS:000656152800037","View Full Record in Web of Science")</f>
        <v>View Full Record in Web of Science</v>
      </c>
    </row>
    <row r="843" spans="1:72" x14ac:dyDescent="0.15">
      <c r="A843" t="s">
        <v>72</v>
      </c>
      <c r="B843" t="s">
        <v>16385</v>
      </c>
      <c r="C843" t="s">
        <v>74</v>
      </c>
      <c r="D843" t="s">
        <v>74</v>
      </c>
      <c r="E843" t="s">
        <v>74</v>
      </c>
      <c r="F843" t="s">
        <v>16386</v>
      </c>
      <c r="G843" t="s">
        <v>74</v>
      </c>
      <c r="H843" t="s">
        <v>74</v>
      </c>
      <c r="I843" t="s">
        <v>16387</v>
      </c>
      <c r="J843" t="s">
        <v>1729</v>
      </c>
      <c r="K843" t="s">
        <v>74</v>
      </c>
      <c r="L843" t="s">
        <v>74</v>
      </c>
      <c r="M843" t="s">
        <v>78</v>
      </c>
      <c r="N843" t="s">
        <v>79</v>
      </c>
      <c r="O843" t="s">
        <v>74</v>
      </c>
      <c r="P843" t="s">
        <v>74</v>
      </c>
      <c r="Q843" t="s">
        <v>74</v>
      </c>
      <c r="R843" t="s">
        <v>74</v>
      </c>
      <c r="S843" t="s">
        <v>74</v>
      </c>
      <c r="T843" t="s">
        <v>74</v>
      </c>
      <c r="U843" t="s">
        <v>16388</v>
      </c>
      <c r="V843" t="s">
        <v>16389</v>
      </c>
      <c r="W843" t="s">
        <v>16390</v>
      </c>
      <c r="X843" t="s">
        <v>16391</v>
      </c>
      <c r="Y843" t="s">
        <v>16392</v>
      </c>
      <c r="Z843" t="s">
        <v>16393</v>
      </c>
      <c r="AA843" t="s">
        <v>16394</v>
      </c>
      <c r="AB843" t="s">
        <v>16395</v>
      </c>
      <c r="AC843" t="s">
        <v>16396</v>
      </c>
      <c r="AD843" t="s">
        <v>16397</v>
      </c>
      <c r="AE843" t="s">
        <v>16398</v>
      </c>
      <c r="AF843" t="s">
        <v>74</v>
      </c>
      <c r="AG843">
        <v>80</v>
      </c>
      <c r="AH843">
        <v>14</v>
      </c>
      <c r="AI843">
        <v>14</v>
      </c>
      <c r="AJ843">
        <v>3</v>
      </c>
      <c r="AK843">
        <v>8</v>
      </c>
      <c r="AL843" t="s">
        <v>864</v>
      </c>
      <c r="AM843" t="s">
        <v>865</v>
      </c>
      <c r="AN843" t="s">
        <v>866</v>
      </c>
      <c r="AO843" t="s">
        <v>1739</v>
      </c>
      <c r="AP843" t="s">
        <v>1740</v>
      </c>
      <c r="AQ843" t="s">
        <v>74</v>
      </c>
      <c r="AR843" t="s">
        <v>1741</v>
      </c>
      <c r="AS843" t="s">
        <v>1742</v>
      </c>
      <c r="AT843" t="s">
        <v>16313</v>
      </c>
      <c r="AU843">
        <v>2021</v>
      </c>
      <c r="AV843">
        <v>126</v>
      </c>
      <c r="AW843">
        <v>9</v>
      </c>
      <c r="AX843" t="s">
        <v>74</v>
      </c>
      <c r="AY843" t="s">
        <v>74</v>
      </c>
      <c r="AZ843" t="s">
        <v>74</v>
      </c>
      <c r="BA843" t="s">
        <v>74</v>
      </c>
      <c r="BB843" t="s">
        <v>74</v>
      </c>
      <c r="BC843" t="s">
        <v>74</v>
      </c>
      <c r="BD843" t="s">
        <v>16399</v>
      </c>
      <c r="BE843" t="s">
        <v>16400</v>
      </c>
      <c r="BF843" t="str">
        <f>HYPERLINK("http://dx.doi.org/10.1029/2020JD034088","http://dx.doi.org/10.1029/2020JD034088")</f>
        <v>http://dx.doi.org/10.1029/2020JD034088</v>
      </c>
      <c r="BG843" t="s">
        <v>74</v>
      </c>
      <c r="BH843" t="s">
        <v>74</v>
      </c>
      <c r="BI843">
        <v>23</v>
      </c>
      <c r="BJ843" t="s">
        <v>567</v>
      </c>
      <c r="BK843" t="s">
        <v>128</v>
      </c>
      <c r="BL843" t="s">
        <v>567</v>
      </c>
      <c r="BM843" t="s">
        <v>16383</v>
      </c>
      <c r="BN843" t="s">
        <v>74</v>
      </c>
      <c r="BO843" t="s">
        <v>238</v>
      </c>
      <c r="BP843" t="s">
        <v>74</v>
      </c>
      <c r="BQ843" t="s">
        <v>74</v>
      </c>
      <c r="BR843" t="s">
        <v>102</v>
      </c>
      <c r="BS843" t="s">
        <v>16401</v>
      </c>
      <c r="BT843" t="str">
        <f>HYPERLINK("https%3A%2F%2Fwww.webofscience.com%2Fwos%2Fwoscc%2Ffull-record%2FWOS:000656152800021","View Full Record in Web of Science")</f>
        <v>View Full Record in Web of Science</v>
      </c>
    </row>
    <row r="844" spans="1:72" x14ac:dyDescent="0.15">
      <c r="A844" t="s">
        <v>72</v>
      </c>
      <c r="B844" t="s">
        <v>16402</v>
      </c>
      <c r="C844" t="s">
        <v>74</v>
      </c>
      <c r="D844" t="s">
        <v>74</v>
      </c>
      <c r="E844" t="s">
        <v>74</v>
      </c>
      <c r="F844" t="s">
        <v>16403</v>
      </c>
      <c r="G844" t="s">
        <v>74</v>
      </c>
      <c r="H844" t="s">
        <v>74</v>
      </c>
      <c r="I844" t="s">
        <v>16404</v>
      </c>
      <c r="J844" t="s">
        <v>1729</v>
      </c>
      <c r="K844" t="s">
        <v>74</v>
      </c>
      <c r="L844" t="s">
        <v>74</v>
      </c>
      <c r="M844" t="s">
        <v>78</v>
      </c>
      <c r="N844" t="s">
        <v>79</v>
      </c>
      <c r="O844" t="s">
        <v>74</v>
      </c>
      <c r="P844" t="s">
        <v>74</v>
      </c>
      <c r="Q844" t="s">
        <v>74</v>
      </c>
      <c r="R844" t="s">
        <v>74</v>
      </c>
      <c r="S844" t="s">
        <v>74</v>
      </c>
      <c r="T844" t="s">
        <v>16405</v>
      </c>
      <c r="U844" t="s">
        <v>16406</v>
      </c>
      <c r="V844" t="s">
        <v>16407</v>
      </c>
      <c r="W844" t="s">
        <v>16408</v>
      </c>
      <c r="X844" t="s">
        <v>16409</v>
      </c>
      <c r="Y844" t="s">
        <v>16410</v>
      </c>
      <c r="Z844" t="s">
        <v>16411</v>
      </c>
      <c r="AA844" t="s">
        <v>16412</v>
      </c>
      <c r="AB844" t="s">
        <v>16413</v>
      </c>
      <c r="AC844" t="s">
        <v>16414</v>
      </c>
      <c r="AD844" t="s">
        <v>5848</v>
      </c>
      <c r="AE844" t="s">
        <v>16415</v>
      </c>
      <c r="AF844" t="s">
        <v>74</v>
      </c>
      <c r="AG844">
        <v>53</v>
      </c>
      <c r="AH844">
        <v>14</v>
      </c>
      <c r="AI844">
        <v>14</v>
      </c>
      <c r="AJ844">
        <v>6</v>
      </c>
      <c r="AK844">
        <v>37</v>
      </c>
      <c r="AL844" t="s">
        <v>864</v>
      </c>
      <c r="AM844" t="s">
        <v>865</v>
      </c>
      <c r="AN844" t="s">
        <v>866</v>
      </c>
      <c r="AO844" t="s">
        <v>1739</v>
      </c>
      <c r="AP844" t="s">
        <v>1740</v>
      </c>
      <c r="AQ844" t="s">
        <v>74</v>
      </c>
      <c r="AR844" t="s">
        <v>1741</v>
      </c>
      <c r="AS844" t="s">
        <v>1742</v>
      </c>
      <c r="AT844" t="s">
        <v>16313</v>
      </c>
      <c r="AU844">
        <v>2021</v>
      </c>
      <c r="AV844">
        <v>126</v>
      </c>
      <c r="AW844">
        <v>9</v>
      </c>
      <c r="AX844" t="s">
        <v>74</v>
      </c>
      <c r="AY844" t="s">
        <v>74</v>
      </c>
      <c r="AZ844" t="s">
        <v>74</v>
      </c>
      <c r="BA844" t="s">
        <v>74</v>
      </c>
      <c r="BB844" t="s">
        <v>74</v>
      </c>
      <c r="BC844" t="s">
        <v>74</v>
      </c>
      <c r="BD844" t="s">
        <v>16416</v>
      </c>
      <c r="BE844" t="s">
        <v>16417</v>
      </c>
      <c r="BF844" t="str">
        <f>HYPERLINK("http://dx.doi.org/10.1029/2020JD034275","http://dx.doi.org/10.1029/2020JD034275")</f>
        <v>http://dx.doi.org/10.1029/2020JD034275</v>
      </c>
      <c r="BG844" t="s">
        <v>74</v>
      </c>
      <c r="BH844" t="s">
        <v>74</v>
      </c>
      <c r="BI844">
        <v>19</v>
      </c>
      <c r="BJ844" t="s">
        <v>567</v>
      </c>
      <c r="BK844" t="s">
        <v>128</v>
      </c>
      <c r="BL844" t="s">
        <v>567</v>
      </c>
      <c r="BM844" t="s">
        <v>16383</v>
      </c>
      <c r="BN844" t="s">
        <v>74</v>
      </c>
      <c r="BO844" t="s">
        <v>74</v>
      </c>
      <c r="BP844" t="s">
        <v>74</v>
      </c>
      <c r="BQ844" t="s">
        <v>74</v>
      </c>
      <c r="BR844" t="s">
        <v>102</v>
      </c>
      <c r="BS844" t="s">
        <v>16418</v>
      </c>
      <c r="BT844" t="str">
        <f>HYPERLINK("https%3A%2F%2Fwww.webofscience.com%2Fwos%2Fwoscc%2Ffull-record%2FWOS:000656152800016","View Full Record in Web of Science")</f>
        <v>View Full Record in Web of Science</v>
      </c>
    </row>
    <row r="845" spans="1:72" x14ac:dyDescent="0.15">
      <c r="A845" t="s">
        <v>72</v>
      </c>
      <c r="B845" t="s">
        <v>16419</v>
      </c>
      <c r="C845" t="s">
        <v>74</v>
      </c>
      <c r="D845" t="s">
        <v>74</v>
      </c>
      <c r="E845" t="s">
        <v>74</v>
      </c>
      <c r="F845" t="s">
        <v>16420</v>
      </c>
      <c r="G845" t="s">
        <v>74</v>
      </c>
      <c r="H845" t="s">
        <v>74</v>
      </c>
      <c r="I845" t="s">
        <v>16421</v>
      </c>
      <c r="J845" t="s">
        <v>1729</v>
      </c>
      <c r="K845" t="s">
        <v>74</v>
      </c>
      <c r="L845" t="s">
        <v>74</v>
      </c>
      <c r="M845" t="s">
        <v>78</v>
      </c>
      <c r="N845" t="s">
        <v>79</v>
      </c>
      <c r="O845" t="s">
        <v>74</v>
      </c>
      <c r="P845" t="s">
        <v>74</v>
      </c>
      <c r="Q845" t="s">
        <v>74</v>
      </c>
      <c r="R845" t="s">
        <v>74</v>
      </c>
      <c r="S845" t="s">
        <v>74</v>
      </c>
      <c r="T845" t="s">
        <v>74</v>
      </c>
      <c r="U845" t="s">
        <v>16422</v>
      </c>
      <c r="V845" t="s">
        <v>16423</v>
      </c>
      <c r="W845" t="s">
        <v>16424</v>
      </c>
      <c r="X845" t="s">
        <v>16425</v>
      </c>
      <c r="Y845" t="s">
        <v>16426</v>
      </c>
      <c r="Z845" t="s">
        <v>16427</v>
      </c>
      <c r="AA845" t="s">
        <v>16428</v>
      </c>
      <c r="AB845" t="s">
        <v>16429</v>
      </c>
      <c r="AC845" t="s">
        <v>16430</v>
      </c>
      <c r="AD845" t="s">
        <v>16431</v>
      </c>
      <c r="AE845" t="s">
        <v>16432</v>
      </c>
      <c r="AF845" t="s">
        <v>74</v>
      </c>
      <c r="AG845">
        <v>55</v>
      </c>
      <c r="AH845">
        <v>21</v>
      </c>
      <c r="AI845">
        <v>21</v>
      </c>
      <c r="AJ845">
        <v>0</v>
      </c>
      <c r="AK845">
        <v>15</v>
      </c>
      <c r="AL845" t="s">
        <v>864</v>
      </c>
      <c r="AM845" t="s">
        <v>865</v>
      </c>
      <c r="AN845" t="s">
        <v>866</v>
      </c>
      <c r="AO845" t="s">
        <v>1739</v>
      </c>
      <c r="AP845" t="s">
        <v>1740</v>
      </c>
      <c r="AQ845" t="s">
        <v>74</v>
      </c>
      <c r="AR845" t="s">
        <v>1741</v>
      </c>
      <c r="AS845" t="s">
        <v>1742</v>
      </c>
      <c r="AT845" t="s">
        <v>16313</v>
      </c>
      <c r="AU845">
        <v>2021</v>
      </c>
      <c r="AV845">
        <v>126</v>
      </c>
      <c r="AW845">
        <v>9</v>
      </c>
      <c r="AX845" t="s">
        <v>74</v>
      </c>
      <c r="AY845" t="s">
        <v>74</v>
      </c>
      <c r="AZ845" t="s">
        <v>74</v>
      </c>
      <c r="BA845" t="s">
        <v>74</v>
      </c>
      <c r="BB845" t="s">
        <v>74</v>
      </c>
      <c r="BC845" t="s">
        <v>74</v>
      </c>
      <c r="BD845" t="s">
        <v>16433</v>
      </c>
      <c r="BE845" t="s">
        <v>16434</v>
      </c>
      <c r="BF845" t="str">
        <f>HYPERLINK("http://dx.doi.org/10.1029/2020JD033617","http://dx.doi.org/10.1029/2020JD033617")</f>
        <v>http://dx.doi.org/10.1029/2020JD033617</v>
      </c>
      <c r="BG845" t="s">
        <v>74</v>
      </c>
      <c r="BH845" t="s">
        <v>74</v>
      </c>
      <c r="BI845">
        <v>19</v>
      </c>
      <c r="BJ845" t="s">
        <v>567</v>
      </c>
      <c r="BK845" t="s">
        <v>128</v>
      </c>
      <c r="BL845" t="s">
        <v>567</v>
      </c>
      <c r="BM845" t="s">
        <v>16383</v>
      </c>
      <c r="BN845" t="s">
        <v>74</v>
      </c>
      <c r="BO845" t="s">
        <v>291</v>
      </c>
      <c r="BP845" t="s">
        <v>74</v>
      </c>
      <c r="BQ845" t="s">
        <v>74</v>
      </c>
      <c r="BR845" t="s">
        <v>102</v>
      </c>
      <c r="BS845" t="s">
        <v>16435</v>
      </c>
      <c r="BT845" t="str">
        <f>HYPERLINK("https%3A%2F%2Fwww.webofscience.com%2Fwos%2Fwoscc%2Ffull-record%2FWOS:000656152800026","View Full Record in Web of Science")</f>
        <v>View Full Record in Web of Science</v>
      </c>
    </row>
    <row r="846" spans="1:72" x14ac:dyDescent="0.15">
      <c r="A846" t="s">
        <v>72</v>
      </c>
      <c r="B846" t="s">
        <v>16436</v>
      </c>
      <c r="C846" t="s">
        <v>74</v>
      </c>
      <c r="D846" t="s">
        <v>74</v>
      </c>
      <c r="E846" t="s">
        <v>74</v>
      </c>
      <c r="F846" t="s">
        <v>16437</v>
      </c>
      <c r="G846" t="s">
        <v>74</v>
      </c>
      <c r="H846" t="s">
        <v>74</v>
      </c>
      <c r="I846" t="s">
        <v>16438</v>
      </c>
      <c r="J846" t="s">
        <v>16439</v>
      </c>
      <c r="K846" t="s">
        <v>74</v>
      </c>
      <c r="L846" t="s">
        <v>74</v>
      </c>
      <c r="M846" t="s">
        <v>78</v>
      </c>
      <c r="N846" t="s">
        <v>79</v>
      </c>
      <c r="O846" t="s">
        <v>74</v>
      </c>
      <c r="P846" t="s">
        <v>74</v>
      </c>
      <c r="Q846" t="s">
        <v>74</v>
      </c>
      <c r="R846" t="s">
        <v>74</v>
      </c>
      <c r="S846" t="s">
        <v>74</v>
      </c>
      <c r="T846" t="s">
        <v>16440</v>
      </c>
      <c r="U846" t="s">
        <v>16441</v>
      </c>
      <c r="V846" t="s">
        <v>16442</v>
      </c>
      <c r="W846" t="s">
        <v>16443</v>
      </c>
      <c r="X846" t="s">
        <v>16444</v>
      </c>
      <c r="Y846" t="s">
        <v>16445</v>
      </c>
      <c r="Z846" t="s">
        <v>16446</v>
      </c>
      <c r="AA846" t="s">
        <v>16447</v>
      </c>
      <c r="AB846" t="s">
        <v>16448</v>
      </c>
      <c r="AC846" t="s">
        <v>16449</v>
      </c>
      <c r="AD846" t="s">
        <v>16450</v>
      </c>
      <c r="AE846" t="s">
        <v>16451</v>
      </c>
      <c r="AF846" t="s">
        <v>74</v>
      </c>
      <c r="AG846">
        <v>81</v>
      </c>
      <c r="AH846">
        <v>5</v>
      </c>
      <c r="AI846">
        <v>5</v>
      </c>
      <c r="AJ846">
        <v>0</v>
      </c>
      <c r="AK846">
        <v>11</v>
      </c>
      <c r="AL846" t="s">
        <v>197</v>
      </c>
      <c r="AM846" t="s">
        <v>198</v>
      </c>
      <c r="AN846" t="s">
        <v>199</v>
      </c>
      <c r="AO846" t="s">
        <v>16452</v>
      </c>
      <c r="AP846" t="s">
        <v>16453</v>
      </c>
      <c r="AQ846" t="s">
        <v>74</v>
      </c>
      <c r="AR846" t="s">
        <v>16454</v>
      </c>
      <c r="AS846" t="s">
        <v>16455</v>
      </c>
      <c r="AT846" t="s">
        <v>374</v>
      </c>
      <c r="AU846">
        <v>2021</v>
      </c>
      <c r="AV846">
        <v>39</v>
      </c>
      <c r="AW846">
        <v>9</v>
      </c>
      <c r="AX846" t="s">
        <v>74</v>
      </c>
      <c r="AY846" t="s">
        <v>74</v>
      </c>
      <c r="AZ846" t="s">
        <v>74</v>
      </c>
      <c r="BA846" t="s">
        <v>74</v>
      </c>
      <c r="BB846">
        <v>1205</v>
      </c>
      <c r="BC846">
        <v>1228</v>
      </c>
      <c r="BD846" t="s">
        <v>74</v>
      </c>
      <c r="BE846" t="s">
        <v>16456</v>
      </c>
      <c r="BF846" t="str">
        <f>HYPERLINK("http://dx.doi.org/10.1111/jmg.12607","http://dx.doi.org/10.1111/jmg.12607")</f>
        <v>http://dx.doi.org/10.1111/jmg.12607</v>
      </c>
      <c r="BG846" t="s">
        <v>74</v>
      </c>
      <c r="BH846" t="s">
        <v>14415</v>
      </c>
      <c r="BI846">
        <v>24</v>
      </c>
      <c r="BJ846" t="s">
        <v>406</v>
      </c>
      <c r="BK846" t="s">
        <v>128</v>
      </c>
      <c r="BL846" t="s">
        <v>406</v>
      </c>
      <c r="BM846" t="s">
        <v>16457</v>
      </c>
      <c r="BN846" t="s">
        <v>74</v>
      </c>
      <c r="BO846" t="s">
        <v>74</v>
      </c>
      <c r="BP846" t="s">
        <v>74</v>
      </c>
      <c r="BQ846" t="s">
        <v>74</v>
      </c>
      <c r="BR846" t="s">
        <v>102</v>
      </c>
      <c r="BS846" t="s">
        <v>16458</v>
      </c>
      <c r="BT846" t="str">
        <f>HYPERLINK("https%3A%2F%2Fwww.webofscience.com%2Fwos%2Fwoscc%2Ffull-record%2FWOS:000650940000001","View Full Record in Web of Science")</f>
        <v>View Full Record in Web of Science</v>
      </c>
    </row>
    <row r="847" spans="1:72" x14ac:dyDescent="0.15">
      <c r="A847" t="s">
        <v>72</v>
      </c>
      <c r="B847" t="s">
        <v>16459</v>
      </c>
      <c r="C847" t="s">
        <v>74</v>
      </c>
      <c r="D847" t="s">
        <v>74</v>
      </c>
      <c r="E847" t="s">
        <v>74</v>
      </c>
      <c r="F847" t="s">
        <v>16460</v>
      </c>
      <c r="G847" t="s">
        <v>74</v>
      </c>
      <c r="H847" t="s">
        <v>74</v>
      </c>
      <c r="I847" t="s">
        <v>16461</v>
      </c>
      <c r="J847" t="s">
        <v>10722</v>
      </c>
      <c r="K847" t="s">
        <v>74</v>
      </c>
      <c r="L847" t="s">
        <v>74</v>
      </c>
      <c r="M847" t="s">
        <v>78</v>
      </c>
      <c r="N847" t="s">
        <v>10723</v>
      </c>
      <c r="O847" t="s">
        <v>74</v>
      </c>
      <c r="P847" t="s">
        <v>74</v>
      </c>
      <c r="Q847" t="s">
        <v>74</v>
      </c>
      <c r="R847" t="s">
        <v>74</v>
      </c>
      <c r="S847" t="s">
        <v>74</v>
      </c>
      <c r="T847" t="s">
        <v>16462</v>
      </c>
      <c r="U847" t="s">
        <v>16463</v>
      </c>
      <c r="V847" t="s">
        <v>16464</v>
      </c>
      <c r="W847" t="s">
        <v>16465</v>
      </c>
      <c r="X847" t="s">
        <v>16466</v>
      </c>
      <c r="Y847" t="s">
        <v>16467</v>
      </c>
      <c r="Z847" t="s">
        <v>16468</v>
      </c>
      <c r="AA847" t="s">
        <v>16469</v>
      </c>
      <c r="AB847" t="s">
        <v>16470</v>
      </c>
      <c r="AC847" t="s">
        <v>16471</v>
      </c>
      <c r="AD847" t="s">
        <v>16472</v>
      </c>
      <c r="AE847" t="s">
        <v>16473</v>
      </c>
      <c r="AF847" t="s">
        <v>74</v>
      </c>
      <c r="AG847">
        <v>45</v>
      </c>
      <c r="AH847">
        <v>5</v>
      </c>
      <c r="AI847">
        <v>5</v>
      </c>
      <c r="AJ847">
        <v>0</v>
      </c>
      <c r="AK847">
        <v>5</v>
      </c>
      <c r="AL847" t="s">
        <v>89</v>
      </c>
      <c r="AM847" t="s">
        <v>90</v>
      </c>
      <c r="AN847" t="s">
        <v>91</v>
      </c>
      <c r="AO847" t="s">
        <v>10734</v>
      </c>
      <c r="AP847" t="s">
        <v>74</v>
      </c>
      <c r="AQ847" t="s">
        <v>74</v>
      </c>
      <c r="AR847" t="s">
        <v>10735</v>
      </c>
      <c r="AS847" t="s">
        <v>10736</v>
      </c>
      <c r="AT847" t="s">
        <v>4571</v>
      </c>
      <c r="AU847">
        <v>2021</v>
      </c>
      <c r="AV847">
        <v>36</v>
      </c>
      <c r="AW847" t="s">
        <v>74</v>
      </c>
      <c r="AX847" t="s">
        <v>74</v>
      </c>
      <c r="AY847" t="s">
        <v>74</v>
      </c>
      <c r="AZ847" t="s">
        <v>74</v>
      </c>
      <c r="BA847" t="s">
        <v>74</v>
      </c>
      <c r="BB847" t="s">
        <v>74</v>
      </c>
      <c r="BC847" t="s">
        <v>74</v>
      </c>
      <c r="BD847">
        <v>107042</v>
      </c>
      <c r="BE847" t="s">
        <v>16474</v>
      </c>
      <c r="BF847" t="str">
        <f>HYPERLINK("http://dx.doi.org/10.1016/j.dib.2021.107042","http://dx.doi.org/10.1016/j.dib.2021.107042")</f>
        <v>http://dx.doi.org/10.1016/j.dib.2021.107042</v>
      </c>
      <c r="BG847" t="s">
        <v>74</v>
      </c>
      <c r="BH847" t="s">
        <v>14415</v>
      </c>
      <c r="BI847">
        <v>30</v>
      </c>
      <c r="BJ847" t="s">
        <v>2609</v>
      </c>
      <c r="BK847" t="s">
        <v>1819</v>
      </c>
      <c r="BL847" t="s">
        <v>2610</v>
      </c>
      <c r="BM847" t="s">
        <v>16475</v>
      </c>
      <c r="BN847">
        <v>34041310</v>
      </c>
      <c r="BO847" t="s">
        <v>486</v>
      </c>
      <c r="BP847" t="s">
        <v>74</v>
      </c>
      <c r="BQ847" t="s">
        <v>74</v>
      </c>
      <c r="BR847" t="s">
        <v>102</v>
      </c>
      <c r="BS847" t="s">
        <v>16476</v>
      </c>
      <c r="BT847" t="str">
        <f>HYPERLINK("https%3A%2F%2Fwww.webofscience.com%2Fwos%2Fwoscc%2Ffull-record%2FWOS:000669049600007","View Full Record in Web of Science")</f>
        <v>View Full Record in Web of Science</v>
      </c>
    </row>
    <row r="848" spans="1:72" x14ac:dyDescent="0.15">
      <c r="A848" t="s">
        <v>72</v>
      </c>
      <c r="B848" t="s">
        <v>16477</v>
      </c>
      <c r="C848" t="s">
        <v>74</v>
      </c>
      <c r="D848" t="s">
        <v>74</v>
      </c>
      <c r="E848" t="s">
        <v>74</v>
      </c>
      <c r="F848" t="s">
        <v>16478</v>
      </c>
      <c r="G848" t="s">
        <v>74</v>
      </c>
      <c r="H848" t="s">
        <v>74</v>
      </c>
      <c r="I848" t="s">
        <v>16479</v>
      </c>
      <c r="J848" t="s">
        <v>16057</v>
      </c>
      <c r="K848" t="s">
        <v>74</v>
      </c>
      <c r="L848" t="s">
        <v>74</v>
      </c>
      <c r="M848" t="s">
        <v>78</v>
      </c>
      <c r="N848" t="s">
        <v>79</v>
      </c>
      <c r="O848" t="s">
        <v>74</v>
      </c>
      <c r="P848" t="s">
        <v>74</v>
      </c>
      <c r="Q848" t="s">
        <v>74</v>
      </c>
      <c r="R848" t="s">
        <v>74</v>
      </c>
      <c r="S848" t="s">
        <v>74</v>
      </c>
      <c r="T848" t="s">
        <v>16480</v>
      </c>
      <c r="U848" t="s">
        <v>16481</v>
      </c>
      <c r="V848" t="s">
        <v>16482</v>
      </c>
      <c r="W848" t="s">
        <v>16483</v>
      </c>
      <c r="X848" t="s">
        <v>16484</v>
      </c>
      <c r="Y848" t="s">
        <v>16485</v>
      </c>
      <c r="Z848" t="s">
        <v>16486</v>
      </c>
      <c r="AA848" t="s">
        <v>16487</v>
      </c>
      <c r="AB848" t="s">
        <v>16488</v>
      </c>
      <c r="AC848" t="s">
        <v>74</v>
      </c>
      <c r="AD848" t="s">
        <v>74</v>
      </c>
      <c r="AE848" t="s">
        <v>74</v>
      </c>
      <c r="AF848" t="s">
        <v>74</v>
      </c>
      <c r="AG848">
        <v>72</v>
      </c>
      <c r="AH848">
        <v>1</v>
      </c>
      <c r="AI848">
        <v>1</v>
      </c>
      <c r="AJ848">
        <v>2</v>
      </c>
      <c r="AK848">
        <v>15</v>
      </c>
      <c r="AL848" t="s">
        <v>197</v>
      </c>
      <c r="AM848" t="s">
        <v>198</v>
      </c>
      <c r="AN848" t="s">
        <v>199</v>
      </c>
      <c r="AO848" t="s">
        <v>74</v>
      </c>
      <c r="AP848" t="s">
        <v>16070</v>
      </c>
      <c r="AQ848" t="s">
        <v>74</v>
      </c>
      <c r="AR848" t="s">
        <v>16071</v>
      </c>
      <c r="AS848" t="s">
        <v>16072</v>
      </c>
      <c r="AT848" t="s">
        <v>535</v>
      </c>
      <c r="AU848">
        <v>2021</v>
      </c>
      <c r="AV848">
        <v>3</v>
      </c>
      <c r="AW848">
        <v>8</v>
      </c>
      <c r="AX848" t="s">
        <v>74</v>
      </c>
      <c r="AY848" t="s">
        <v>74</v>
      </c>
      <c r="AZ848" t="s">
        <v>74</v>
      </c>
      <c r="BA848" t="s">
        <v>74</v>
      </c>
      <c r="BB848" t="s">
        <v>74</v>
      </c>
      <c r="BC848" t="s">
        <v>74</v>
      </c>
      <c r="BD848" t="s">
        <v>16489</v>
      </c>
      <c r="BE848" t="s">
        <v>16490</v>
      </c>
      <c r="BF848" t="str">
        <f>HYPERLINK("http://dx.doi.org/10.1111/csp2.448","http://dx.doi.org/10.1111/csp2.448")</f>
        <v>http://dx.doi.org/10.1111/csp2.448</v>
      </c>
      <c r="BG848" t="s">
        <v>74</v>
      </c>
      <c r="BH848" t="s">
        <v>14415</v>
      </c>
      <c r="BI848">
        <v>14</v>
      </c>
      <c r="BJ848" t="s">
        <v>483</v>
      </c>
      <c r="BK848" t="s">
        <v>128</v>
      </c>
      <c r="BL848" t="s">
        <v>484</v>
      </c>
      <c r="BM848" t="s">
        <v>16491</v>
      </c>
      <c r="BN848" t="s">
        <v>74</v>
      </c>
      <c r="BO848" t="s">
        <v>408</v>
      </c>
      <c r="BP848" t="s">
        <v>74</v>
      </c>
      <c r="BQ848" t="s">
        <v>74</v>
      </c>
      <c r="BR848" t="s">
        <v>102</v>
      </c>
      <c r="BS848" t="s">
        <v>16492</v>
      </c>
      <c r="BT848" t="str">
        <f>HYPERLINK("https%3A%2F%2Fwww.webofscience.com%2Fwos%2Fwoscc%2Ffull-record%2FWOS:000650720300001","View Full Record in Web of Science")</f>
        <v>View Full Record in Web of Science</v>
      </c>
    </row>
    <row r="849" spans="1:72" x14ac:dyDescent="0.15">
      <c r="A849" t="s">
        <v>72</v>
      </c>
      <c r="B849" t="s">
        <v>16493</v>
      </c>
      <c r="C849" t="s">
        <v>74</v>
      </c>
      <c r="D849" t="s">
        <v>74</v>
      </c>
      <c r="E849" t="s">
        <v>74</v>
      </c>
      <c r="F849" t="s">
        <v>16494</v>
      </c>
      <c r="G849" t="s">
        <v>74</v>
      </c>
      <c r="H849" t="s">
        <v>74</v>
      </c>
      <c r="I849" t="s">
        <v>16495</v>
      </c>
      <c r="J849" t="s">
        <v>16496</v>
      </c>
      <c r="K849" t="s">
        <v>74</v>
      </c>
      <c r="L849" t="s">
        <v>74</v>
      </c>
      <c r="M849" t="s">
        <v>78</v>
      </c>
      <c r="N849" t="s">
        <v>79</v>
      </c>
      <c r="O849" t="s">
        <v>74</v>
      </c>
      <c r="P849" t="s">
        <v>74</v>
      </c>
      <c r="Q849" t="s">
        <v>74</v>
      </c>
      <c r="R849" t="s">
        <v>74</v>
      </c>
      <c r="S849" t="s">
        <v>74</v>
      </c>
      <c r="T849" t="s">
        <v>16497</v>
      </c>
      <c r="U849" t="s">
        <v>16498</v>
      </c>
      <c r="V849" t="s">
        <v>16499</v>
      </c>
      <c r="W849" t="s">
        <v>16500</v>
      </c>
      <c r="X849" t="s">
        <v>16501</v>
      </c>
      <c r="Y849" t="s">
        <v>16502</v>
      </c>
      <c r="Z849" t="s">
        <v>16503</v>
      </c>
      <c r="AA849" t="s">
        <v>74</v>
      </c>
      <c r="AB849" t="s">
        <v>16504</v>
      </c>
      <c r="AC849" t="s">
        <v>16505</v>
      </c>
      <c r="AD849" t="s">
        <v>16506</v>
      </c>
      <c r="AE849" t="s">
        <v>16507</v>
      </c>
      <c r="AF849" t="s">
        <v>74</v>
      </c>
      <c r="AG849">
        <v>96</v>
      </c>
      <c r="AH849">
        <v>30</v>
      </c>
      <c r="AI849">
        <v>35</v>
      </c>
      <c r="AJ849">
        <v>2</v>
      </c>
      <c r="AK849">
        <v>21</v>
      </c>
      <c r="AL849" t="s">
        <v>4494</v>
      </c>
      <c r="AM849" t="s">
        <v>4495</v>
      </c>
      <c r="AN849" t="s">
        <v>4496</v>
      </c>
      <c r="AO849" t="s">
        <v>16508</v>
      </c>
      <c r="AP849" t="s">
        <v>16509</v>
      </c>
      <c r="AQ849" t="s">
        <v>74</v>
      </c>
      <c r="AR849" t="s">
        <v>16496</v>
      </c>
      <c r="AS849" t="s">
        <v>16510</v>
      </c>
      <c r="AT849" t="s">
        <v>535</v>
      </c>
      <c r="AU849">
        <v>2021</v>
      </c>
      <c r="AV849">
        <v>364</v>
      </c>
      <c r="AW849" t="s">
        <v>74</v>
      </c>
      <c r="AX849" t="s">
        <v>74</v>
      </c>
      <c r="AY849" t="s">
        <v>74</v>
      </c>
      <c r="AZ849" t="s">
        <v>74</v>
      </c>
      <c r="BA849" t="s">
        <v>74</v>
      </c>
      <c r="BB849" t="s">
        <v>74</v>
      </c>
      <c r="BC849" t="s">
        <v>74</v>
      </c>
      <c r="BD849">
        <v>114248</v>
      </c>
      <c r="BE849" t="s">
        <v>16511</v>
      </c>
      <c r="BF849" t="str">
        <f>HYPERLINK("http://dx.doi.org/10.1016/j.icarus.2020.114248","http://dx.doi.org/10.1016/j.icarus.2020.114248")</f>
        <v>http://dx.doi.org/10.1016/j.icarus.2020.114248</v>
      </c>
      <c r="BG849" t="s">
        <v>74</v>
      </c>
      <c r="BH849" t="s">
        <v>14415</v>
      </c>
      <c r="BI849">
        <v>20</v>
      </c>
      <c r="BJ849" t="s">
        <v>1267</v>
      </c>
      <c r="BK849" t="s">
        <v>128</v>
      </c>
      <c r="BL849" t="s">
        <v>1267</v>
      </c>
      <c r="BM849" t="s">
        <v>16512</v>
      </c>
      <c r="BN849" t="s">
        <v>74</v>
      </c>
      <c r="BO849" t="s">
        <v>1083</v>
      </c>
      <c r="BP849" t="s">
        <v>74</v>
      </c>
      <c r="BQ849" t="s">
        <v>74</v>
      </c>
      <c r="BR849" t="s">
        <v>102</v>
      </c>
      <c r="BS849" t="s">
        <v>16513</v>
      </c>
      <c r="BT849" t="str">
        <f>HYPERLINK("https%3A%2F%2Fwww.webofscience.com%2Fwos%2Fwoscc%2Ffull-record%2FWOS:000652057800001","View Full Record in Web of Science")</f>
        <v>View Full Record in Web of Science</v>
      </c>
    </row>
    <row r="850" spans="1:72" x14ac:dyDescent="0.15">
      <c r="A850" t="s">
        <v>72</v>
      </c>
      <c r="B850" t="s">
        <v>5853</v>
      </c>
      <c r="C850" t="s">
        <v>74</v>
      </c>
      <c r="D850" t="s">
        <v>74</v>
      </c>
      <c r="E850" t="s">
        <v>74</v>
      </c>
      <c r="F850" t="s">
        <v>5854</v>
      </c>
      <c r="G850" t="s">
        <v>74</v>
      </c>
      <c r="H850" t="s">
        <v>74</v>
      </c>
      <c r="I850" t="s">
        <v>16514</v>
      </c>
      <c r="J850" t="s">
        <v>5856</v>
      </c>
      <c r="K850" t="s">
        <v>74</v>
      </c>
      <c r="L850" t="s">
        <v>74</v>
      </c>
      <c r="M850" t="s">
        <v>78</v>
      </c>
      <c r="N850" t="s">
        <v>79</v>
      </c>
      <c r="O850" t="s">
        <v>74</v>
      </c>
      <c r="P850" t="s">
        <v>74</v>
      </c>
      <c r="Q850" t="s">
        <v>74</v>
      </c>
      <c r="R850" t="s">
        <v>74</v>
      </c>
      <c r="S850" t="s">
        <v>74</v>
      </c>
      <c r="T850" t="s">
        <v>74</v>
      </c>
      <c r="U850" t="s">
        <v>16515</v>
      </c>
      <c r="V850" t="s">
        <v>16516</v>
      </c>
      <c r="W850" t="s">
        <v>16517</v>
      </c>
      <c r="X850" t="s">
        <v>5860</v>
      </c>
      <c r="Y850" t="s">
        <v>16518</v>
      </c>
      <c r="Z850" t="s">
        <v>5862</v>
      </c>
      <c r="AA850" t="s">
        <v>5863</v>
      </c>
      <c r="AB850" t="s">
        <v>5864</v>
      </c>
      <c r="AC850" t="s">
        <v>16519</v>
      </c>
      <c r="AD850" t="s">
        <v>5866</v>
      </c>
      <c r="AE850" t="s">
        <v>16520</v>
      </c>
      <c r="AF850" t="s">
        <v>74</v>
      </c>
      <c r="AG850">
        <v>112</v>
      </c>
      <c r="AH850">
        <v>6</v>
      </c>
      <c r="AI850">
        <v>6</v>
      </c>
      <c r="AJ850">
        <v>0</v>
      </c>
      <c r="AK850">
        <v>3</v>
      </c>
      <c r="AL850" t="s">
        <v>5868</v>
      </c>
      <c r="AM850" t="s">
        <v>5869</v>
      </c>
      <c r="AN850" t="s">
        <v>5870</v>
      </c>
      <c r="AO850" t="s">
        <v>5871</v>
      </c>
      <c r="AP850" t="s">
        <v>5872</v>
      </c>
      <c r="AQ850" t="s">
        <v>74</v>
      </c>
      <c r="AR850" t="s">
        <v>5873</v>
      </c>
      <c r="AS850" t="s">
        <v>5874</v>
      </c>
      <c r="AT850" t="s">
        <v>16521</v>
      </c>
      <c r="AU850">
        <v>2021</v>
      </c>
      <c r="AV850">
        <v>41</v>
      </c>
      <c r="AW850">
        <v>1</v>
      </c>
      <c r="AX850" t="s">
        <v>74</v>
      </c>
      <c r="AY850" t="s">
        <v>74</v>
      </c>
      <c r="AZ850" t="s">
        <v>74</v>
      </c>
      <c r="BA850" t="s">
        <v>74</v>
      </c>
      <c r="BB850" t="s">
        <v>74</v>
      </c>
      <c r="BC850" t="s">
        <v>74</v>
      </c>
      <c r="BD850" t="s">
        <v>74</v>
      </c>
      <c r="BE850" t="s">
        <v>16522</v>
      </c>
      <c r="BF850" t="str">
        <f>HYPERLINK("http://dx.doi.org/10.1080/02724634.2021.1904251","http://dx.doi.org/10.1080/02724634.2021.1904251")</f>
        <v>http://dx.doi.org/10.1080/02724634.2021.1904251</v>
      </c>
      <c r="BG850" t="s">
        <v>74</v>
      </c>
      <c r="BH850" t="s">
        <v>14415</v>
      </c>
      <c r="BI850">
        <v>16</v>
      </c>
      <c r="BJ850" t="s">
        <v>4393</v>
      </c>
      <c r="BK850" t="s">
        <v>128</v>
      </c>
      <c r="BL850" t="s">
        <v>4393</v>
      </c>
      <c r="BM850" t="s">
        <v>16523</v>
      </c>
      <c r="BN850" t="s">
        <v>74</v>
      </c>
      <c r="BO850" t="s">
        <v>74</v>
      </c>
      <c r="BP850" t="s">
        <v>74</v>
      </c>
      <c r="BQ850" t="s">
        <v>74</v>
      </c>
      <c r="BR850" t="s">
        <v>102</v>
      </c>
      <c r="BS850" t="s">
        <v>16524</v>
      </c>
      <c r="BT850" t="str">
        <f>HYPERLINK("https%3A%2F%2Fwww.webofscience.com%2Fwos%2Fwoscc%2Ffull-record%2FWOS:000653002200001","View Full Record in Web of Science")</f>
        <v>View Full Record in Web of Science</v>
      </c>
    </row>
    <row r="851" spans="1:72" x14ac:dyDescent="0.15">
      <c r="A851" t="s">
        <v>72</v>
      </c>
      <c r="B851" t="s">
        <v>16525</v>
      </c>
      <c r="C851" t="s">
        <v>74</v>
      </c>
      <c r="D851" t="s">
        <v>74</v>
      </c>
      <c r="E851" t="s">
        <v>74</v>
      </c>
      <c r="F851" t="s">
        <v>16526</v>
      </c>
      <c r="G851" t="s">
        <v>74</v>
      </c>
      <c r="H851" t="s">
        <v>74</v>
      </c>
      <c r="I851" t="s">
        <v>16527</v>
      </c>
      <c r="J851" t="s">
        <v>2862</v>
      </c>
      <c r="K851" t="s">
        <v>74</v>
      </c>
      <c r="L851" t="s">
        <v>74</v>
      </c>
      <c r="M851" t="s">
        <v>78</v>
      </c>
      <c r="N851" t="s">
        <v>79</v>
      </c>
      <c r="O851" t="s">
        <v>74</v>
      </c>
      <c r="P851" t="s">
        <v>74</v>
      </c>
      <c r="Q851" t="s">
        <v>74</v>
      </c>
      <c r="R851" t="s">
        <v>74</v>
      </c>
      <c r="S851" t="s">
        <v>74</v>
      </c>
      <c r="T851" t="s">
        <v>16528</v>
      </c>
      <c r="U851" t="s">
        <v>16529</v>
      </c>
      <c r="V851" t="s">
        <v>16530</v>
      </c>
      <c r="W851" t="s">
        <v>16531</v>
      </c>
      <c r="X851" t="s">
        <v>16532</v>
      </c>
      <c r="Y851" t="s">
        <v>16533</v>
      </c>
      <c r="Z851" t="s">
        <v>16534</v>
      </c>
      <c r="AA851" t="s">
        <v>16535</v>
      </c>
      <c r="AB851" t="s">
        <v>16536</v>
      </c>
      <c r="AC851" t="s">
        <v>16537</v>
      </c>
      <c r="AD851" t="s">
        <v>16538</v>
      </c>
      <c r="AE851" t="s">
        <v>16539</v>
      </c>
      <c r="AF851" t="s">
        <v>74</v>
      </c>
      <c r="AG851">
        <v>99</v>
      </c>
      <c r="AH851">
        <v>10</v>
      </c>
      <c r="AI851">
        <v>11</v>
      </c>
      <c r="AJ851">
        <v>0</v>
      </c>
      <c r="AK851">
        <v>14</v>
      </c>
      <c r="AL851" t="s">
        <v>450</v>
      </c>
      <c r="AM851" t="s">
        <v>650</v>
      </c>
      <c r="AN851" t="s">
        <v>1957</v>
      </c>
      <c r="AO851" t="s">
        <v>2874</v>
      </c>
      <c r="AP851" t="s">
        <v>2875</v>
      </c>
      <c r="AQ851" t="s">
        <v>74</v>
      </c>
      <c r="AR851" t="s">
        <v>2876</v>
      </c>
      <c r="AS851" t="s">
        <v>2877</v>
      </c>
      <c r="AT851" t="s">
        <v>430</v>
      </c>
      <c r="AU851">
        <v>2021</v>
      </c>
      <c r="AV851">
        <v>44</v>
      </c>
      <c r="AW851">
        <v>7</v>
      </c>
      <c r="AX851" t="s">
        <v>74</v>
      </c>
      <c r="AY851" t="s">
        <v>74</v>
      </c>
      <c r="AZ851" t="s">
        <v>74</v>
      </c>
      <c r="BA851" t="s">
        <v>74</v>
      </c>
      <c r="BB851">
        <v>1229</v>
      </c>
      <c r="BC851">
        <v>1250</v>
      </c>
      <c r="BD851" t="s">
        <v>74</v>
      </c>
      <c r="BE851" t="s">
        <v>16540</v>
      </c>
      <c r="BF851" t="str">
        <f>HYPERLINK("http://dx.doi.org/10.1007/s00300-021-02873-w","http://dx.doi.org/10.1007/s00300-021-02873-w")</f>
        <v>http://dx.doi.org/10.1007/s00300-021-02873-w</v>
      </c>
      <c r="BG851" t="s">
        <v>74</v>
      </c>
      <c r="BH851" t="s">
        <v>14415</v>
      </c>
      <c r="BI851">
        <v>22</v>
      </c>
      <c r="BJ851" t="s">
        <v>1883</v>
      </c>
      <c r="BK851" t="s">
        <v>128</v>
      </c>
      <c r="BL851" t="s">
        <v>207</v>
      </c>
      <c r="BM851" t="s">
        <v>10717</v>
      </c>
      <c r="BN851" t="s">
        <v>74</v>
      </c>
      <c r="BO851" t="s">
        <v>74</v>
      </c>
      <c r="BP851" t="s">
        <v>74</v>
      </c>
      <c r="BQ851" t="s">
        <v>74</v>
      </c>
      <c r="BR851" t="s">
        <v>102</v>
      </c>
      <c r="BS851" t="s">
        <v>16541</v>
      </c>
      <c r="BT851" t="str">
        <f>HYPERLINK("https%3A%2F%2Fwww.webofscience.com%2Fwos%2Fwoscc%2Ffull-record%2FWOS:000650811200001","View Full Record in Web of Science")</f>
        <v>View Full Record in Web of Science</v>
      </c>
    </row>
    <row r="852" spans="1:72" x14ac:dyDescent="0.15">
      <c r="A852" t="s">
        <v>72</v>
      </c>
      <c r="B852" t="s">
        <v>16542</v>
      </c>
      <c r="C852" t="s">
        <v>74</v>
      </c>
      <c r="D852" t="s">
        <v>74</v>
      </c>
      <c r="E852" t="s">
        <v>74</v>
      </c>
      <c r="F852" t="s">
        <v>16543</v>
      </c>
      <c r="G852" t="s">
        <v>74</v>
      </c>
      <c r="H852" t="s">
        <v>74</v>
      </c>
      <c r="I852" t="s">
        <v>5926</v>
      </c>
      <c r="J852" t="s">
        <v>5927</v>
      </c>
      <c r="K852" t="s">
        <v>74</v>
      </c>
      <c r="L852" t="s">
        <v>74</v>
      </c>
      <c r="M852" t="s">
        <v>78</v>
      </c>
      <c r="N852" t="s">
        <v>5197</v>
      </c>
      <c r="O852" t="s">
        <v>74</v>
      </c>
      <c r="P852" t="s">
        <v>74</v>
      </c>
      <c r="Q852" t="s">
        <v>74</v>
      </c>
      <c r="R852" t="s">
        <v>74</v>
      </c>
      <c r="S852" t="s">
        <v>74</v>
      </c>
      <c r="T852" t="s">
        <v>74</v>
      </c>
      <c r="U852" t="s">
        <v>74</v>
      </c>
      <c r="V852" t="s">
        <v>74</v>
      </c>
      <c r="W852" t="s">
        <v>74</v>
      </c>
      <c r="X852" t="s">
        <v>74</v>
      </c>
      <c r="Y852" t="s">
        <v>74</v>
      </c>
      <c r="Z852" t="s">
        <v>74</v>
      </c>
      <c r="AA852" t="s">
        <v>74</v>
      </c>
      <c r="AB852" t="s">
        <v>74</v>
      </c>
      <c r="AC852" t="s">
        <v>74</v>
      </c>
      <c r="AD852" t="s">
        <v>74</v>
      </c>
      <c r="AE852" t="s">
        <v>74</v>
      </c>
      <c r="AF852" t="s">
        <v>74</v>
      </c>
      <c r="AG852">
        <v>0</v>
      </c>
      <c r="AH852">
        <v>0</v>
      </c>
      <c r="AI852">
        <v>0</v>
      </c>
      <c r="AJ852">
        <v>0</v>
      </c>
      <c r="AK852">
        <v>0</v>
      </c>
      <c r="AL852" t="s">
        <v>5928</v>
      </c>
      <c r="AM852" t="s">
        <v>5929</v>
      </c>
      <c r="AN852" t="s">
        <v>5930</v>
      </c>
      <c r="AO852" t="s">
        <v>5931</v>
      </c>
      <c r="AP852" t="s">
        <v>74</v>
      </c>
      <c r="AQ852" t="s">
        <v>74</v>
      </c>
      <c r="AR852" t="s">
        <v>5932</v>
      </c>
      <c r="AS852" t="s">
        <v>5933</v>
      </c>
      <c r="AT852" t="s">
        <v>16544</v>
      </c>
      <c r="AU852">
        <v>2021</v>
      </c>
      <c r="AV852">
        <v>245</v>
      </c>
      <c r="AW852">
        <v>3334</v>
      </c>
      <c r="AX852" t="s">
        <v>74</v>
      </c>
      <c r="AY852" t="s">
        <v>74</v>
      </c>
      <c r="AZ852" t="s">
        <v>74</v>
      </c>
      <c r="BA852" t="s">
        <v>74</v>
      </c>
      <c r="BB852">
        <v>54</v>
      </c>
      <c r="BC852">
        <v>54</v>
      </c>
      <c r="BD852" t="s">
        <v>74</v>
      </c>
      <c r="BE852" t="s">
        <v>74</v>
      </c>
      <c r="BF852" t="s">
        <v>74</v>
      </c>
      <c r="BG852" t="s">
        <v>74</v>
      </c>
      <c r="BH852" t="s">
        <v>74</v>
      </c>
      <c r="BI852">
        <v>1</v>
      </c>
      <c r="BJ852" t="s">
        <v>2609</v>
      </c>
      <c r="BK852" t="s">
        <v>128</v>
      </c>
      <c r="BL852" t="s">
        <v>2610</v>
      </c>
      <c r="BM852" t="s">
        <v>16545</v>
      </c>
      <c r="BN852" t="s">
        <v>74</v>
      </c>
      <c r="BO852" t="s">
        <v>74</v>
      </c>
      <c r="BP852" t="s">
        <v>74</v>
      </c>
      <c r="BQ852" t="s">
        <v>74</v>
      </c>
      <c r="BR852" t="s">
        <v>102</v>
      </c>
      <c r="BS852" t="s">
        <v>16546</v>
      </c>
      <c r="BT852" t="str">
        <f>HYPERLINK("https%3A%2F%2Fwww.webofscience.com%2Fwos%2Fwoscc%2Ffull-record%2FWOS:000651838600042","View Full Record in Web of Science")</f>
        <v>View Full Record in Web of Science</v>
      </c>
    </row>
    <row r="853" spans="1:72" x14ac:dyDescent="0.15">
      <c r="A853" t="s">
        <v>72</v>
      </c>
      <c r="B853" t="s">
        <v>16547</v>
      </c>
      <c r="C853" t="s">
        <v>74</v>
      </c>
      <c r="D853" t="s">
        <v>74</v>
      </c>
      <c r="E853" t="s">
        <v>74</v>
      </c>
      <c r="F853" t="s">
        <v>16548</v>
      </c>
      <c r="G853" t="s">
        <v>74</v>
      </c>
      <c r="H853" t="s">
        <v>74</v>
      </c>
      <c r="I853" t="s">
        <v>16549</v>
      </c>
      <c r="J853" t="s">
        <v>3624</v>
      </c>
      <c r="K853" t="s">
        <v>74</v>
      </c>
      <c r="L853" t="s">
        <v>74</v>
      </c>
      <c r="M853" t="s">
        <v>78</v>
      </c>
      <c r="N853" t="s">
        <v>79</v>
      </c>
      <c r="O853" t="s">
        <v>74</v>
      </c>
      <c r="P853" t="s">
        <v>74</v>
      </c>
      <c r="Q853" t="s">
        <v>74</v>
      </c>
      <c r="R853" t="s">
        <v>74</v>
      </c>
      <c r="S853" t="s">
        <v>74</v>
      </c>
      <c r="T853" t="s">
        <v>16550</v>
      </c>
      <c r="U853" t="s">
        <v>16551</v>
      </c>
      <c r="V853" t="s">
        <v>16552</v>
      </c>
      <c r="W853" t="s">
        <v>16553</v>
      </c>
      <c r="X853" t="s">
        <v>16554</v>
      </c>
      <c r="Y853" t="s">
        <v>16555</v>
      </c>
      <c r="Z853" t="s">
        <v>16556</v>
      </c>
      <c r="AA853" t="s">
        <v>16557</v>
      </c>
      <c r="AB853" t="s">
        <v>16558</v>
      </c>
      <c r="AC853" t="s">
        <v>16559</v>
      </c>
      <c r="AD853" t="s">
        <v>16560</v>
      </c>
      <c r="AE853" t="s">
        <v>16561</v>
      </c>
      <c r="AF853" t="s">
        <v>74</v>
      </c>
      <c r="AG853">
        <v>95</v>
      </c>
      <c r="AH853">
        <v>4</v>
      </c>
      <c r="AI853">
        <v>4</v>
      </c>
      <c r="AJ853">
        <v>0</v>
      </c>
      <c r="AK853">
        <v>17</v>
      </c>
      <c r="AL853" t="s">
        <v>450</v>
      </c>
      <c r="AM853" t="s">
        <v>650</v>
      </c>
      <c r="AN853" t="s">
        <v>1957</v>
      </c>
      <c r="AO853" t="s">
        <v>3636</v>
      </c>
      <c r="AP853" t="s">
        <v>3637</v>
      </c>
      <c r="AQ853" t="s">
        <v>74</v>
      </c>
      <c r="AR853" t="s">
        <v>3638</v>
      </c>
      <c r="AS853" t="s">
        <v>3639</v>
      </c>
      <c r="AT853" t="s">
        <v>96</v>
      </c>
      <c r="AU853">
        <v>2021</v>
      </c>
      <c r="AV853">
        <v>57</v>
      </c>
      <c r="AW853" t="s">
        <v>16562</v>
      </c>
      <c r="AX853" t="s">
        <v>74</v>
      </c>
      <c r="AY853" t="s">
        <v>74</v>
      </c>
      <c r="AZ853" t="s">
        <v>74</v>
      </c>
      <c r="BA853" t="s">
        <v>74</v>
      </c>
      <c r="BB853">
        <v>2391</v>
      </c>
      <c r="BC853">
        <v>2414</v>
      </c>
      <c r="BD853" t="s">
        <v>74</v>
      </c>
      <c r="BE853" t="s">
        <v>16563</v>
      </c>
      <c r="BF853" t="str">
        <f>HYPERLINK("http://dx.doi.org/10.1007/s00382-021-05811-y","http://dx.doi.org/10.1007/s00382-021-05811-y")</f>
        <v>http://dx.doi.org/10.1007/s00382-021-05811-y</v>
      </c>
      <c r="BG853" t="s">
        <v>74</v>
      </c>
      <c r="BH853" t="s">
        <v>14415</v>
      </c>
      <c r="BI853">
        <v>24</v>
      </c>
      <c r="BJ853" t="s">
        <v>567</v>
      </c>
      <c r="BK853" t="s">
        <v>128</v>
      </c>
      <c r="BL853" t="s">
        <v>567</v>
      </c>
      <c r="BM853" t="s">
        <v>16564</v>
      </c>
      <c r="BN853" t="s">
        <v>74</v>
      </c>
      <c r="BO853" t="s">
        <v>408</v>
      </c>
      <c r="BP853" t="s">
        <v>74</v>
      </c>
      <c r="BQ853" t="s">
        <v>74</v>
      </c>
      <c r="BR853" t="s">
        <v>102</v>
      </c>
      <c r="BS853" t="s">
        <v>16565</v>
      </c>
      <c r="BT853" t="str">
        <f>HYPERLINK("https%3A%2F%2Fwww.webofscience.com%2Fwos%2Fwoscc%2Ffull-record%2FWOS:000650835400003","View Full Record in Web of Science")</f>
        <v>View Full Record in Web of Science</v>
      </c>
    </row>
    <row r="854" spans="1:72" x14ac:dyDescent="0.15">
      <c r="A854" t="s">
        <v>72</v>
      </c>
      <c r="B854" t="s">
        <v>16566</v>
      </c>
      <c r="C854" t="s">
        <v>74</v>
      </c>
      <c r="D854" t="s">
        <v>74</v>
      </c>
      <c r="E854" t="s">
        <v>74</v>
      </c>
      <c r="F854" t="s">
        <v>16567</v>
      </c>
      <c r="G854" t="s">
        <v>74</v>
      </c>
      <c r="H854" t="s">
        <v>74</v>
      </c>
      <c r="I854" t="s">
        <v>16568</v>
      </c>
      <c r="J854" t="s">
        <v>16569</v>
      </c>
      <c r="K854" t="s">
        <v>74</v>
      </c>
      <c r="L854" t="s">
        <v>74</v>
      </c>
      <c r="M854" t="s">
        <v>78</v>
      </c>
      <c r="N854" t="s">
        <v>79</v>
      </c>
      <c r="O854" t="s">
        <v>74</v>
      </c>
      <c r="P854" t="s">
        <v>74</v>
      </c>
      <c r="Q854" t="s">
        <v>74</v>
      </c>
      <c r="R854" t="s">
        <v>74</v>
      </c>
      <c r="S854" t="s">
        <v>74</v>
      </c>
      <c r="T854" t="s">
        <v>16570</v>
      </c>
      <c r="U854" t="s">
        <v>16571</v>
      </c>
      <c r="V854" t="s">
        <v>16572</v>
      </c>
      <c r="W854" t="s">
        <v>16573</v>
      </c>
      <c r="X854" t="s">
        <v>16574</v>
      </c>
      <c r="Y854" t="s">
        <v>16575</v>
      </c>
      <c r="Z854" t="s">
        <v>16576</v>
      </c>
      <c r="AA854" t="s">
        <v>16577</v>
      </c>
      <c r="AB854" t="s">
        <v>16578</v>
      </c>
      <c r="AC854" t="s">
        <v>16579</v>
      </c>
      <c r="AD854" t="s">
        <v>16580</v>
      </c>
      <c r="AE854" t="s">
        <v>16581</v>
      </c>
      <c r="AF854" t="s">
        <v>74</v>
      </c>
      <c r="AG854">
        <v>84</v>
      </c>
      <c r="AH854">
        <v>2</v>
      </c>
      <c r="AI854">
        <v>2</v>
      </c>
      <c r="AJ854">
        <v>4</v>
      </c>
      <c r="AK854">
        <v>20</v>
      </c>
      <c r="AL854" t="s">
        <v>5868</v>
      </c>
      <c r="AM854" t="s">
        <v>5869</v>
      </c>
      <c r="AN854" t="s">
        <v>5870</v>
      </c>
      <c r="AO854" t="s">
        <v>16582</v>
      </c>
      <c r="AP854" t="s">
        <v>16583</v>
      </c>
      <c r="AQ854" t="s">
        <v>74</v>
      </c>
      <c r="AR854" t="s">
        <v>16584</v>
      </c>
      <c r="AS854" t="s">
        <v>16585</v>
      </c>
      <c r="AT854" t="s">
        <v>6527</v>
      </c>
      <c r="AU854">
        <v>2021</v>
      </c>
      <c r="AV854">
        <v>38</v>
      </c>
      <c r="AW854">
        <v>7</v>
      </c>
      <c r="AX854" t="s">
        <v>74</v>
      </c>
      <c r="AY854" t="s">
        <v>74</v>
      </c>
      <c r="AZ854" t="s">
        <v>74</v>
      </c>
      <c r="BA854" t="s">
        <v>74</v>
      </c>
      <c r="BB854">
        <v>607</v>
      </c>
      <c r="BC854">
        <v>619</v>
      </c>
      <c r="BD854" t="s">
        <v>74</v>
      </c>
      <c r="BE854" t="s">
        <v>16586</v>
      </c>
      <c r="BF854" t="str">
        <f>HYPERLINK("http://dx.doi.org/10.1080/01490451.2021.1914783","http://dx.doi.org/10.1080/01490451.2021.1914783")</f>
        <v>http://dx.doi.org/10.1080/01490451.2021.1914783</v>
      </c>
      <c r="BG854" t="s">
        <v>74</v>
      </c>
      <c r="BH854" t="s">
        <v>14415</v>
      </c>
      <c r="BI854">
        <v>13</v>
      </c>
      <c r="BJ854" t="s">
        <v>7148</v>
      </c>
      <c r="BK854" t="s">
        <v>128</v>
      </c>
      <c r="BL854" t="s">
        <v>3327</v>
      </c>
      <c r="BM854" t="s">
        <v>16587</v>
      </c>
      <c r="BN854" t="s">
        <v>74</v>
      </c>
      <c r="BO854" t="s">
        <v>74</v>
      </c>
      <c r="BP854" t="s">
        <v>74</v>
      </c>
      <c r="BQ854" t="s">
        <v>74</v>
      </c>
      <c r="BR854" t="s">
        <v>102</v>
      </c>
      <c r="BS854" t="s">
        <v>16588</v>
      </c>
      <c r="BT854" t="str">
        <f>HYPERLINK("https%3A%2F%2Fwww.webofscience.com%2Fwos%2Fwoscc%2Ffull-record%2FWOS:000652146000001","View Full Record in Web of Science")</f>
        <v>View Full Record in Web of Science</v>
      </c>
    </row>
    <row r="855" spans="1:72" x14ac:dyDescent="0.15">
      <c r="A855" t="s">
        <v>72</v>
      </c>
      <c r="B855" t="s">
        <v>16589</v>
      </c>
      <c r="C855" t="s">
        <v>74</v>
      </c>
      <c r="D855" t="s">
        <v>74</v>
      </c>
      <c r="E855" t="s">
        <v>74</v>
      </c>
      <c r="F855" t="s">
        <v>16590</v>
      </c>
      <c r="G855" t="s">
        <v>74</v>
      </c>
      <c r="H855" t="s">
        <v>74</v>
      </c>
      <c r="I855" t="s">
        <v>16591</v>
      </c>
      <c r="J855" t="s">
        <v>16592</v>
      </c>
      <c r="K855" t="s">
        <v>74</v>
      </c>
      <c r="L855" t="s">
        <v>74</v>
      </c>
      <c r="M855" t="s">
        <v>78</v>
      </c>
      <c r="N855" t="s">
        <v>79</v>
      </c>
      <c r="O855" t="s">
        <v>74</v>
      </c>
      <c r="P855" t="s">
        <v>74</v>
      </c>
      <c r="Q855" t="s">
        <v>74</v>
      </c>
      <c r="R855" t="s">
        <v>74</v>
      </c>
      <c r="S855" t="s">
        <v>74</v>
      </c>
      <c r="T855" t="s">
        <v>16593</v>
      </c>
      <c r="U855" t="s">
        <v>74</v>
      </c>
      <c r="V855" t="s">
        <v>16594</v>
      </c>
      <c r="W855" t="s">
        <v>16595</v>
      </c>
      <c r="X855" t="s">
        <v>74</v>
      </c>
      <c r="Y855" t="s">
        <v>16596</v>
      </c>
      <c r="Z855" t="s">
        <v>16597</v>
      </c>
      <c r="AA855" t="s">
        <v>16598</v>
      </c>
      <c r="AB855" t="s">
        <v>16599</v>
      </c>
      <c r="AC855" t="s">
        <v>16600</v>
      </c>
      <c r="AD855" t="s">
        <v>16601</v>
      </c>
      <c r="AE855" t="s">
        <v>16602</v>
      </c>
      <c r="AF855" t="s">
        <v>74</v>
      </c>
      <c r="AG855">
        <v>37</v>
      </c>
      <c r="AH855">
        <v>20</v>
      </c>
      <c r="AI855">
        <v>20</v>
      </c>
      <c r="AJ855">
        <v>10</v>
      </c>
      <c r="AK855">
        <v>56</v>
      </c>
      <c r="AL855" t="s">
        <v>5440</v>
      </c>
      <c r="AM855" t="s">
        <v>5441</v>
      </c>
      <c r="AN855" t="s">
        <v>5442</v>
      </c>
      <c r="AO855" t="s">
        <v>16603</v>
      </c>
      <c r="AP855" t="s">
        <v>16604</v>
      </c>
      <c r="AQ855" t="s">
        <v>74</v>
      </c>
      <c r="AR855" t="s">
        <v>16605</v>
      </c>
      <c r="AS855" t="s">
        <v>16606</v>
      </c>
      <c r="AT855" t="s">
        <v>16544</v>
      </c>
      <c r="AU855">
        <v>2021</v>
      </c>
      <c r="AV855">
        <v>21</v>
      </c>
      <c r="AW855">
        <v>10</v>
      </c>
      <c r="AX855" t="s">
        <v>74</v>
      </c>
      <c r="AY855" t="s">
        <v>74</v>
      </c>
      <c r="AZ855" t="s">
        <v>74</v>
      </c>
      <c r="BA855" t="s">
        <v>74</v>
      </c>
      <c r="BB855">
        <v>11879</v>
      </c>
      <c r="BC855">
        <v>11888</v>
      </c>
      <c r="BD855" t="s">
        <v>74</v>
      </c>
      <c r="BE855" t="s">
        <v>16607</v>
      </c>
      <c r="BF855" t="str">
        <f>HYPERLINK("http://dx.doi.org/10.1109/JSEN.2020.3031475","http://dx.doi.org/10.1109/JSEN.2020.3031475")</f>
        <v>http://dx.doi.org/10.1109/JSEN.2020.3031475</v>
      </c>
      <c r="BG855" t="s">
        <v>74</v>
      </c>
      <c r="BH855" t="s">
        <v>74</v>
      </c>
      <c r="BI855">
        <v>10</v>
      </c>
      <c r="BJ855" t="s">
        <v>16608</v>
      </c>
      <c r="BK855" t="s">
        <v>128</v>
      </c>
      <c r="BL855" t="s">
        <v>16609</v>
      </c>
      <c r="BM855" t="s">
        <v>16610</v>
      </c>
      <c r="BN855" t="s">
        <v>74</v>
      </c>
      <c r="BO855" t="s">
        <v>74</v>
      </c>
      <c r="BP855" t="s">
        <v>74</v>
      </c>
      <c r="BQ855" t="s">
        <v>74</v>
      </c>
      <c r="BR855" t="s">
        <v>102</v>
      </c>
      <c r="BS855" t="s">
        <v>16611</v>
      </c>
      <c r="BT855" t="str">
        <f>HYPERLINK("https%3A%2F%2Fwww.webofscience.com%2Fwos%2Fwoscc%2Ffull-record%2FWOS:000642012400064","View Full Record in Web of Science")</f>
        <v>View Full Record in Web of Science</v>
      </c>
    </row>
    <row r="856" spans="1:72" x14ac:dyDescent="0.15">
      <c r="A856" t="s">
        <v>72</v>
      </c>
      <c r="B856" t="s">
        <v>16612</v>
      </c>
      <c r="C856" t="s">
        <v>74</v>
      </c>
      <c r="D856" t="s">
        <v>74</v>
      </c>
      <c r="E856" t="s">
        <v>74</v>
      </c>
      <c r="F856" t="s">
        <v>16613</v>
      </c>
      <c r="G856" t="s">
        <v>74</v>
      </c>
      <c r="H856" t="s">
        <v>74</v>
      </c>
      <c r="I856" t="s">
        <v>16614</v>
      </c>
      <c r="J856" t="s">
        <v>5427</v>
      </c>
      <c r="K856" t="s">
        <v>74</v>
      </c>
      <c r="L856" t="s">
        <v>74</v>
      </c>
      <c r="M856" t="s">
        <v>78</v>
      </c>
      <c r="N856" t="s">
        <v>79</v>
      </c>
      <c r="O856" t="s">
        <v>74</v>
      </c>
      <c r="P856" t="s">
        <v>74</v>
      </c>
      <c r="Q856" t="s">
        <v>74</v>
      </c>
      <c r="R856" t="s">
        <v>74</v>
      </c>
      <c r="S856" t="s">
        <v>74</v>
      </c>
      <c r="T856" t="s">
        <v>16615</v>
      </c>
      <c r="U856" t="s">
        <v>16616</v>
      </c>
      <c r="V856" t="s">
        <v>16617</v>
      </c>
      <c r="W856" t="s">
        <v>16618</v>
      </c>
      <c r="X856" t="s">
        <v>16619</v>
      </c>
      <c r="Y856" t="s">
        <v>16620</v>
      </c>
      <c r="Z856" t="s">
        <v>16621</v>
      </c>
      <c r="AA856" t="s">
        <v>16622</v>
      </c>
      <c r="AB856" t="s">
        <v>16623</v>
      </c>
      <c r="AC856" t="s">
        <v>16624</v>
      </c>
      <c r="AD856" t="s">
        <v>16625</v>
      </c>
      <c r="AE856" t="s">
        <v>16626</v>
      </c>
      <c r="AF856" t="s">
        <v>74</v>
      </c>
      <c r="AG856">
        <v>43</v>
      </c>
      <c r="AH856">
        <v>1</v>
      </c>
      <c r="AI856">
        <v>1</v>
      </c>
      <c r="AJ856">
        <v>0</v>
      </c>
      <c r="AK856">
        <v>2</v>
      </c>
      <c r="AL856" t="s">
        <v>5440</v>
      </c>
      <c r="AM856" t="s">
        <v>5441</v>
      </c>
      <c r="AN856" t="s">
        <v>5442</v>
      </c>
      <c r="AO856" t="s">
        <v>5443</v>
      </c>
      <c r="AP856" t="s">
        <v>5444</v>
      </c>
      <c r="AQ856" t="s">
        <v>74</v>
      </c>
      <c r="AR856" t="s">
        <v>5445</v>
      </c>
      <c r="AS856" t="s">
        <v>5446</v>
      </c>
      <c r="AT856" t="s">
        <v>74</v>
      </c>
      <c r="AU856">
        <v>2022</v>
      </c>
      <c r="AV856">
        <v>60</v>
      </c>
      <c r="AW856" t="s">
        <v>74</v>
      </c>
      <c r="AX856" t="s">
        <v>74</v>
      </c>
      <c r="AY856" t="s">
        <v>74</v>
      </c>
      <c r="AZ856" t="s">
        <v>74</v>
      </c>
      <c r="BA856" t="s">
        <v>74</v>
      </c>
      <c r="BB856" t="s">
        <v>74</v>
      </c>
      <c r="BC856" t="s">
        <v>74</v>
      </c>
      <c r="BD856" t="s">
        <v>74</v>
      </c>
      <c r="BE856" t="s">
        <v>16627</v>
      </c>
      <c r="BF856" t="str">
        <f>HYPERLINK("http://dx.doi.org/10.1109/TGRS.2021.3077088","http://dx.doi.org/10.1109/TGRS.2021.3077088")</f>
        <v>http://dx.doi.org/10.1109/TGRS.2021.3077088</v>
      </c>
      <c r="BG856" t="s">
        <v>74</v>
      </c>
      <c r="BH856" t="s">
        <v>14415</v>
      </c>
      <c r="BI856">
        <v>16</v>
      </c>
      <c r="BJ856" t="s">
        <v>5448</v>
      </c>
      <c r="BK856" t="s">
        <v>128</v>
      </c>
      <c r="BL856" t="s">
        <v>5449</v>
      </c>
      <c r="BM856" t="s">
        <v>16628</v>
      </c>
      <c r="BN856" t="s">
        <v>74</v>
      </c>
      <c r="BO856" t="s">
        <v>1083</v>
      </c>
      <c r="BP856" t="s">
        <v>74</v>
      </c>
      <c r="BQ856" t="s">
        <v>74</v>
      </c>
      <c r="BR856" t="s">
        <v>102</v>
      </c>
      <c r="BS856" t="s">
        <v>16629</v>
      </c>
      <c r="BT856" t="str">
        <f>HYPERLINK("https%3A%2F%2Fwww.webofscience.com%2Fwos%2Fwoscc%2Ffull-record%2FWOS:000733491300001","View Full Record in Web of Science")</f>
        <v>View Full Record in Web of Science</v>
      </c>
    </row>
    <row r="857" spans="1:72" x14ac:dyDescent="0.15">
      <c r="A857" t="s">
        <v>72</v>
      </c>
      <c r="B857" t="s">
        <v>16630</v>
      </c>
      <c r="C857" t="s">
        <v>74</v>
      </c>
      <c r="D857" t="s">
        <v>74</v>
      </c>
      <c r="E857" t="s">
        <v>74</v>
      </c>
      <c r="F857" t="s">
        <v>16631</v>
      </c>
      <c r="G857" t="s">
        <v>74</v>
      </c>
      <c r="H857" t="s">
        <v>74</v>
      </c>
      <c r="I857" t="s">
        <v>16632</v>
      </c>
      <c r="J857" t="s">
        <v>8205</v>
      </c>
      <c r="K857" t="s">
        <v>74</v>
      </c>
      <c r="L857" t="s">
        <v>74</v>
      </c>
      <c r="M857" t="s">
        <v>78</v>
      </c>
      <c r="N857" t="s">
        <v>79</v>
      </c>
      <c r="O857" t="s">
        <v>74</v>
      </c>
      <c r="P857" t="s">
        <v>74</v>
      </c>
      <c r="Q857" t="s">
        <v>74</v>
      </c>
      <c r="R857" t="s">
        <v>74</v>
      </c>
      <c r="S857" t="s">
        <v>74</v>
      </c>
      <c r="T857" t="s">
        <v>74</v>
      </c>
      <c r="U857" t="s">
        <v>16633</v>
      </c>
      <c r="V857" t="s">
        <v>16634</v>
      </c>
      <c r="W857" t="s">
        <v>16635</v>
      </c>
      <c r="X857" t="s">
        <v>16636</v>
      </c>
      <c r="Y857" t="s">
        <v>16637</v>
      </c>
      <c r="Z857" t="s">
        <v>16638</v>
      </c>
      <c r="AA857" t="s">
        <v>16639</v>
      </c>
      <c r="AB857" t="s">
        <v>16640</v>
      </c>
      <c r="AC857" t="s">
        <v>3949</v>
      </c>
      <c r="AD857" t="s">
        <v>3949</v>
      </c>
      <c r="AE857" t="s">
        <v>15234</v>
      </c>
      <c r="AF857" t="s">
        <v>74</v>
      </c>
      <c r="AG857">
        <v>64</v>
      </c>
      <c r="AH857">
        <v>4</v>
      </c>
      <c r="AI857">
        <v>4</v>
      </c>
      <c r="AJ857">
        <v>2</v>
      </c>
      <c r="AK857">
        <v>11</v>
      </c>
      <c r="AL857" t="s">
        <v>3453</v>
      </c>
      <c r="AM857" t="s">
        <v>368</v>
      </c>
      <c r="AN857" t="s">
        <v>3454</v>
      </c>
      <c r="AO857" t="s">
        <v>74</v>
      </c>
      <c r="AP857" t="s">
        <v>8217</v>
      </c>
      <c r="AQ857" t="s">
        <v>74</v>
      </c>
      <c r="AR857" t="s">
        <v>8218</v>
      </c>
      <c r="AS857" t="s">
        <v>8219</v>
      </c>
      <c r="AT857" t="s">
        <v>16641</v>
      </c>
      <c r="AU857">
        <v>2021</v>
      </c>
      <c r="AV857">
        <v>2</v>
      </c>
      <c r="AW857">
        <v>1</v>
      </c>
      <c r="AX857" t="s">
        <v>74</v>
      </c>
      <c r="AY857" t="s">
        <v>74</v>
      </c>
      <c r="AZ857" t="s">
        <v>74</v>
      </c>
      <c r="BA857" t="s">
        <v>74</v>
      </c>
      <c r="BB857" t="s">
        <v>74</v>
      </c>
      <c r="BC857" t="s">
        <v>74</v>
      </c>
      <c r="BD857">
        <v>91</v>
      </c>
      <c r="BE857" t="s">
        <v>16642</v>
      </c>
      <c r="BF857" t="str">
        <f>HYPERLINK("http://dx.doi.org/10.1038/s43247-021-00160-4","http://dx.doi.org/10.1038/s43247-021-00160-4")</f>
        <v>http://dx.doi.org/10.1038/s43247-021-00160-4</v>
      </c>
      <c r="BG857" t="s">
        <v>74</v>
      </c>
      <c r="BH857" t="s">
        <v>74</v>
      </c>
      <c r="BI857">
        <v>9</v>
      </c>
      <c r="BJ857" t="s">
        <v>1044</v>
      </c>
      <c r="BK857" t="s">
        <v>128</v>
      </c>
      <c r="BL857" t="s">
        <v>1045</v>
      </c>
      <c r="BM857" t="s">
        <v>16643</v>
      </c>
      <c r="BN857" t="s">
        <v>74</v>
      </c>
      <c r="BO857" t="s">
        <v>1377</v>
      </c>
      <c r="BP857" t="s">
        <v>74</v>
      </c>
      <c r="BQ857" t="s">
        <v>74</v>
      </c>
      <c r="BR857" t="s">
        <v>102</v>
      </c>
      <c r="BS857" t="s">
        <v>16644</v>
      </c>
      <c r="BT857" t="str">
        <f>HYPERLINK("https%3A%2F%2Fwww.webofscience.com%2Fwos%2Fwoscc%2Ffull-record%2FWOS:000651485400005","View Full Record in Web of Science")</f>
        <v>View Full Record in Web of Science</v>
      </c>
    </row>
    <row r="858" spans="1:72" x14ac:dyDescent="0.15">
      <c r="A858" t="s">
        <v>72</v>
      </c>
      <c r="B858" t="s">
        <v>11993</v>
      </c>
      <c r="C858" t="s">
        <v>74</v>
      </c>
      <c r="D858" t="s">
        <v>74</v>
      </c>
      <c r="E858" t="s">
        <v>74</v>
      </c>
      <c r="F858" t="s">
        <v>11993</v>
      </c>
      <c r="G858" t="s">
        <v>74</v>
      </c>
      <c r="H858" t="s">
        <v>74</v>
      </c>
      <c r="I858" t="s">
        <v>16645</v>
      </c>
      <c r="J858" t="s">
        <v>5196</v>
      </c>
      <c r="K858" t="s">
        <v>74</v>
      </c>
      <c r="L858" t="s">
        <v>74</v>
      </c>
      <c r="M858" t="s">
        <v>78</v>
      </c>
      <c r="N858" t="s">
        <v>644</v>
      </c>
      <c r="O858" t="s">
        <v>74</v>
      </c>
      <c r="P858" t="s">
        <v>74</v>
      </c>
      <c r="Q858" t="s">
        <v>74</v>
      </c>
      <c r="R858" t="s">
        <v>74</v>
      </c>
      <c r="S858" t="s">
        <v>74</v>
      </c>
      <c r="T858" t="s">
        <v>74</v>
      </c>
      <c r="U858" t="s">
        <v>74</v>
      </c>
      <c r="V858" t="s">
        <v>74</v>
      </c>
      <c r="W858" t="s">
        <v>74</v>
      </c>
      <c r="X858" t="s">
        <v>74</v>
      </c>
      <c r="Y858" t="s">
        <v>74</v>
      </c>
      <c r="Z858" t="s">
        <v>74</v>
      </c>
      <c r="AA858" t="s">
        <v>74</v>
      </c>
      <c r="AB858" t="s">
        <v>74</v>
      </c>
      <c r="AC858" t="s">
        <v>74</v>
      </c>
      <c r="AD858" t="s">
        <v>74</v>
      </c>
      <c r="AE858" t="s">
        <v>74</v>
      </c>
      <c r="AF858" t="s">
        <v>74</v>
      </c>
      <c r="AG858">
        <v>1</v>
      </c>
      <c r="AH858">
        <v>0</v>
      </c>
      <c r="AI858">
        <v>0</v>
      </c>
      <c r="AJ858">
        <v>1</v>
      </c>
      <c r="AK858">
        <v>6</v>
      </c>
      <c r="AL858" t="s">
        <v>395</v>
      </c>
      <c r="AM858" t="s">
        <v>396</v>
      </c>
      <c r="AN858" t="s">
        <v>397</v>
      </c>
      <c r="AO858" t="s">
        <v>5208</v>
      </c>
      <c r="AP858" t="s">
        <v>5209</v>
      </c>
      <c r="AQ858" t="s">
        <v>74</v>
      </c>
      <c r="AR858" t="s">
        <v>5196</v>
      </c>
      <c r="AS858" t="s">
        <v>5210</v>
      </c>
      <c r="AT858" t="s">
        <v>16646</v>
      </c>
      <c r="AU858">
        <v>2021</v>
      </c>
      <c r="AV858">
        <v>593</v>
      </c>
      <c r="AW858">
        <v>7858</v>
      </c>
      <c r="AX858" t="s">
        <v>74</v>
      </c>
      <c r="AY858" t="s">
        <v>74</v>
      </c>
      <c r="AZ858" t="s">
        <v>74</v>
      </c>
      <c r="BA858" t="s">
        <v>74</v>
      </c>
      <c r="BB858">
        <v>170</v>
      </c>
      <c r="BC858">
        <v>170</v>
      </c>
      <c r="BD858" t="s">
        <v>74</v>
      </c>
      <c r="BE858" t="s">
        <v>16647</v>
      </c>
      <c r="BF858" t="str">
        <f>HYPERLINK("http://dx.doi.org/10.1038/d41586-021-01217-2","http://dx.doi.org/10.1038/d41586-021-01217-2")</f>
        <v>http://dx.doi.org/10.1038/d41586-021-01217-2</v>
      </c>
      <c r="BG858" t="s">
        <v>74</v>
      </c>
      <c r="BH858" t="s">
        <v>74</v>
      </c>
      <c r="BI858">
        <v>1</v>
      </c>
      <c r="BJ858" t="s">
        <v>2609</v>
      </c>
      <c r="BK858" t="s">
        <v>100</v>
      </c>
      <c r="BL858" t="s">
        <v>2610</v>
      </c>
      <c r="BM858" t="s">
        <v>16648</v>
      </c>
      <c r="BN858">
        <v>33963325</v>
      </c>
      <c r="BO858" t="s">
        <v>74</v>
      </c>
      <c r="BP858" t="s">
        <v>74</v>
      </c>
      <c r="BQ858" t="s">
        <v>74</v>
      </c>
      <c r="BR858" t="s">
        <v>102</v>
      </c>
      <c r="BS858" t="s">
        <v>16649</v>
      </c>
      <c r="BT858" t="str">
        <f>HYPERLINK("https%3A%2F%2Fwww.webofscience.com%2Fwos%2Fwoscc%2Ffull-record%2FWOS:000649420400003","View Full Record in Web of Science")</f>
        <v>View Full Record in Web of Science</v>
      </c>
    </row>
    <row r="859" spans="1:72" x14ac:dyDescent="0.15">
      <c r="A859" t="s">
        <v>72</v>
      </c>
      <c r="B859" t="s">
        <v>16650</v>
      </c>
      <c r="C859" t="s">
        <v>74</v>
      </c>
      <c r="D859" t="s">
        <v>74</v>
      </c>
      <c r="E859" t="s">
        <v>74</v>
      </c>
      <c r="F859" t="s">
        <v>16651</v>
      </c>
      <c r="G859" t="s">
        <v>74</v>
      </c>
      <c r="H859" t="s">
        <v>74</v>
      </c>
      <c r="I859" t="s">
        <v>16652</v>
      </c>
      <c r="J859" t="s">
        <v>4182</v>
      </c>
      <c r="K859" t="s">
        <v>74</v>
      </c>
      <c r="L859" t="s">
        <v>74</v>
      </c>
      <c r="M859" t="s">
        <v>78</v>
      </c>
      <c r="N859" t="s">
        <v>79</v>
      </c>
      <c r="O859" t="s">
        <v>74</v>
      </c>
      <c r="P859" t="s">
        <v>74</v>
      </c>
      <c r="Q859" t="s">
        <v>74</v>
      </c>
      <c r="R859" t="s">
        <v>74</v>
      </c>
      <c r="S859" t="s">
        <v>74</v>
      </c>
      <c r="T859" t="s">
        <v>16653</v>
      </c>
      <c r="U859" t="s">
        <v>16654</v>
      </c>
      <c r="V859" t="s">
        <v>16655</v>
      </c>
      <c r="W859" t="s">
        <v>16656</v>
      </c>
      <c r="X859" t="s">
        <v>2640</v>
      </c>
      <c r="Y859" t="s">
        <v>16657</v>
      </c>
      <c r="Z859" t="s">
        <v>16658</v>
      </c>
      <c r="AA859" t="s">
        <v>16659</v>
      </c>
      <c r="AB859" t="s">
        <v>16660</v>
      </c>
      <c r="AC859" t="s">
        <v>16661</v>
      </c>
      <c r="AD859" t="s">
        <v>16662</v>
      </c>
      <c r="AE859" t="s">
        <v>16663</v>
      </c>
      <c r="AF859" t="s">
        <v>74</v>
      </c>
      <c r="AG859">
        <v>86</v>
      </c>
      <c r="AH859">
        <v>6</v>
      </c>
      <c r="AI859">
        <v>6</v>
      </c>
      <c r="AJ859">
        <v>2</v>
      </c>
      <c r="AK859">
        <v>10</v>
      </c>
      <c r="AL859" t="s">
        <v>89</v>
      </c>
      <c r="AM859" t="s">
        <v>90</v>
      </c>
      <c r="AN859" t="s">
        <v>91</v>
      </c>
      <c r="AO859" t="s">
        <v>4192</v>
      </c>
      <c r="AP859" t="s">
        <v>4193</v>
      </c>
      <c r="AQ859" t="s">
        <v>74</v>
      </c>
      <c r="AR859" t="s">
        <v>4182</v>
      </c>
      <c r="AS859" t="s">
        <v>4194</v>
      </c>
      <c r="AT859" t="s">
        <v>2387</v>
      </c>
      <c r="AU859">
        <v>2021</v>
      </c>
      <c r="AV859">
        <v>542</v>
      </c>
      <c r="AW859" t="s">
        <v>74</v>
      </c>
      <c r="AX859" t="s">
        <v>74</v>
      </c>
      <c r="AY859" t="s">
        <v>74</v>
      </c>
      <c r="AZ859" t="s">
        <v>74</v>
      </c>
      <c r="BA859" t="s">
        <v>74</v>
      </c>
      <c r="BB859" t="s">
        <v>74</v>
      </c>
      <c r="BC859" t="s">
        <v>74</v>
      </c>
      <c r="BD859">
        <v>736889</v>
      </c>
      <c r="BE859" t="s">
        <v>16664</v>
      </c>
      <c r="BF859" t="str">
        <f>HYPERLINK("http://dx.doi.org/10.1016/j.aquaculture.2021.736889","http://dx.doi.org/10.1016/j.aquaculture.2021.736889")</f>
        <v>http://dx.doi.org/10.1016/j.aquaculture.2021.736889</v>
      </c>
      <c r="BG859" t="s">
        <v>74</v>
      </c>
      <c r="BH859" t="s">
        <v>14415</v>
      </c>
      <c r="BI859">
        <v>11</v>
      </c>
      <c r="BJ859" t="s">
        <v>459</v>
      </c>
      <c r="BK859" t="s">
        <v>128</v>
      </c>
      <c r="BL859" t="s">
        <v>459</v>
      </c>
      <c r="BM859" t="s">
        <v>16665</v>
      </c>
      <c r="BN859" t="s">
        <v>74</v>
      </c>
      <c r="BO859" t="s">
        <v>74</v>
      </c>
      <c r="BP859" t="s">
        <v>74</v>
      </c>
      <c r="BQ859" t="s">
        <v>74</v>
      </c>
      <c r="BR859" t="s">
        <v>102</v>
      </c>
      <c r="BS859" t="s">
        <v>16666</v>
      </c>
      <c r="BT859" t="str">
        <f>HYPERLINK("https%3A%2F%2Fwww.webofscience.com%2Fwos%2Fwoscc%2Ffull-record%2FWOS:000659362600010","View Full Record in Web of Science")</f>
        <v>View Full Record in Web of Science</v>
      </c>
    </row>
    <row r="860" spans="1:72" x14ac:dyDescent="0.15">
      <c r="A860" t="s">
        <v>72</v>
      </c>
      <c r="B860" t="s">
        <v>16667</v>
      </c>
      <c r="C860" t="s">
        <v>74</v>
      </c>
      <c r="D860" t="s">
        <v>74</v>
      </c>
      <c r="E860" t="s">
        <v>74</v>
      </c>
      <c r="F860" t="s">
        <v>16668</v>
      </c>
      <c r="G860" t="s">
        <v>74</v>
      </c>
      <c r="H860" t="s">
        <v>74</v>
      </c>
      <c r="I860" t="s">
        <v>16669</v>
      </c>
      <c r="J860" t="s">
        <v>107</v>
      </c>
      <c r="K860" t="s">
        <v>74</v>
      </c>
      <c r="L860" t="s">
        <v>74</v>
      </c>
      <c r="M860" t="s">
        <v>78</v>
      </c>
      <c r="N860" t="s">
        <v>79</v>
      </c>
      <c r="O860" t="s">
        <v>74</v>
      </c>
      <c r="P860" t="s">
        <v>74</v>
      </c>
      <c r="Q860" t="s">
        <v>74</v>
      </c>
      <c r="R860" t="s">
        <v>74</v>
      </c>
      <c r="S860" t="s">
        <v>74</v>
      </c>
      <c r="T860" t="s">
        <v>16670</v>
      </c>
      <c r="U860" t="s">
        <v>16671</v>
      </c>
      <c r="V860" t="s">
        <v>16672</v>
      </c>
      <c r="W860" t="s">
        <v>16673</v>
      </c>
      <c r="X860" t="s">
        <v>16674</v>
      </c>
      <c r="Y860" t="s">
        <v>16675</v>
      </c>
      <c r="Z860" t="s">
        <v>16676</v>
      </c>
      <c r="AA860" t="s">
        <v>16677</v>
      </c>
      <c r="AB860" t="s">
        <v>16678</v>
      </c>
      <c r="AC860" t="s">
        <v>16679</v>
      </c>
      <c r="AD860" t="s">
        <v>16679</v>
      </c>
      <c r="AE860" t="s">
        <v>16680</v>
      </c>
      <c r="AF860" t="s">
        <v>74</v>
      </c>
      <c r="AG860">
        <v>41</v>
      </c>
      <c r="AH860">
        <v>10</v>
      </c>
      <c r="AI860">
        <v>10</v>
      </c>
      <c r="AJ860">
        <v>3</v>
      </c>
      <c r="AK860">
        <v>23</v>
      </c>
      <c r="AL860" t="s">
        <v>119</v>
      </c>
      <c r="AM860" t="s">
        <v>120</v>
      </c>
      <c r="AN860" t="s">
        <v>121</v>
      </c>
      <c r="AO860" t="s">
        <v>74</v>
      </c>
      <c r="AP860" t="s">
        <v>122</v>
      </c>
      <c r="AQ860" t="s">
        <v>74</v>
      </c>
      <c r="AR860" t="s">
        <v>123</v>
      </c>
      <c r="AS860" t="s">
        <v>124</v>
      </c>
      <c r="AT860" t="s">
        <v>16646</v>
      </c>
      <c r="AU860">
        <v>2021</v>
      </c>
      <c r="AV860">
        <v>8</v>
      </c>
      <c r="AW860" t="s">
        <v>74</v>
      </c>
      <c r="AX860" t="s">
        <v>74</v>
      </c>
      <c r="AY860" t="s">
        <v>74</v>
      </c>
      <c r="AZ860" t="s">
        <v>74</v>
      </c>
      <c r="BA860" t="s">
        <v>74</v>
      </c>
      <c r="BB860" t="s">
        <v>74</v>
      </c>
      <c r="BC860" t="s">
        <v>74</v>
      </c>
      <c r="BD860">
        <v>623733</v>
      </c>
      <c r="BE860" t="s">
        <v>16681</v>
      </c>
      <c r="BF860" t="str">
        <f>HYPERLINK("http://dx.doi.org/10.3389/fmars.2021.623733","http://dx.doi.org/10.3389/fmars.2021.623733")</f>
        <v>http://dx.doi.org/10.3389/fmars.2021.623733</v>
      </c>
      <c r="BG860" t="s">
        <v>74</v>
      </c>
      <c r="BH860" t="s">
        <v>74</v>
      </c>
      <c r="BI860">
        <v>14</v>
      </c>
      <c r="BJ860" t="s">
        <v>127</v>
      </c>
      <c r="BK860" t="s">
        <v>100</v>
      </c>
      <c r="BL860" t="s">
        <v>129</v>
      </c>
      <c r="BM860" t="s">
        <v>16682</v>
      </c>
      <c r="BN860" t="s">
        <v>74</v>
      </c>
      <c r="BO860" t="s">
        <v>311</v>
      </c>
      <c r="BP860" t="s">
        <v>74</v>
      </c>
      <c r="BQ860" t="s">
        <v>74</v>
      </c>
      <c r="BR860" t="s">
        <v>102</v>
      </c>
      <c r="BS860" t="s">
        <v>16683</v>
      </c>
      <c r="BT860" t="str">
        <f>HYPERLINK("https%3A%2F%2Fwww.webofscience.com%2Fwos%2Fwoscc%2Ffull-record%2FWOS:000656249100001","View Full Record in Web of Science")</f>
        <v>View Full Record in Web of Science</v>
      </c>
    </row>
    <row r="861" spans="1:72" x14ac:dyDescent="0.15">
      <c r="A861" t="s">
        <v>72</v>
      </c>
      <c r="B861" t="s">
        <v>16684</v>
      </c>
      <c r="C861" t="s">
        <v>74</v>
      </c>
      <c r="D861" t="s">
        <v>74</v>
      </c>
      <c r="E861" t="s">
        <v>74</v>
      </c>
      <c r="F861" t="s">
        <v>16685</v>
      </c>
      <c r="G861" t="s">
        <v>74</v>
      </c>
      <c r="H861" t="s">
        <v>74</v>
      </c>
      <c r="I861" t="s">
        <v>16686</v>
      </c>
      <c r="J861" t="s">
        <v>107</v>
      </c>
      <c r="K861" t="s">
        <v>74</v>
      </c>
      <c r="L861" t="s">
        <v>74</v>
      </c>
      <c r="M861" t="s">
        <v>78</v>
      </c>
      <c r="N861" t="s">
        <v>700</v>
      </c>
      <c r="O861" t="s">
        <v>74</v>
      </c>
      <c r="P861" t="s">
        <v>74</v>
      </c>
      <c r="Q861" t="s">
        <v>74</v>
      </c>
      <c r="R861" t="s">
        <v>74</v>
      </c>
      <c r="S861" t="s">
        <v>74</v>
      </c>
      <c r="T861" t="s">
        <v>16687</v>
      </c>
      <c r="U861" t="s">
        <v>16688</v>
      </c>
      <c r="V861" t="s">
        <v>16689</v>
      </c>
      <c r="W861" t="s">
        <v>16690</v>
      </c>
      <c r="X861" t="s">
        <v>16691</v>
      </c>
      <c r="Y861" t="s">
        <v>16692</v>
      </c>
      <c r="Z861" t="s">
        <v>16693</v>
      </c>
      <c r="AA861" t="s">
        <v>16694</v>
      </c>
      <c r="AB861" t="s">
        <v>16695</v>
      </c>
      <c r="AC861" t="s">
        <v>16696</v>
      </c>
      <c r="AD861" t="s">
        <v>16697</v>
      </c>
      <c r="AE861" t="s">
        <v>16698</v>
      </c>
      <c r="AF861" t="s">
        <v>74</v>
      </c>
      <c r="AG861">
        <v>290</v>
      </c>
      <c r="AH861">
        <v>21</v>
      </c>
      <c r="AI861">
        <v>21</v>
      </c>
      <c r="AJ861">
        <v>4</v>
      </c>
      <c r="AK861">
        <v>47</v>
      </c>
      <c r="AL861" t="s">
        <v>119</v>
      </c>
      <c r="AM861" t="s">
        <v>120</v>
      </c>
      <c r="AN861" t="s">
        <v>121</v>
      </c>
      <c r="AO861" t="s">
        <v>74</v>
      </c>
      <c r="AP861" t="s">
        <v>122</v>
      </c>
      <c r="AQ861" t="s">
        <v>74</v>
      </c>
      <c r="AR861" t="s">
        <v>123</v>
      </c>
      <c r="AS861" t="s">
        <v>124</v>
      </c>
      <c r="AT861" t="s">
        <v>16646</v>
      </c>
      <c r="AU861">
        <v>2021</v>
      </c>
      <c r="AV861">
        <v>8</v>
      </c>
      <c r="AW861" t="s">
        <v>74</v>
      </c>
      <c r="AX861" t="s">
        <v>74</v>
      </c>
      <c r="AY861" t="s">
        <v>74</v>
      </c>
      <c r="AZ861" t="s">
        <v>74</v>
      </c>
      <c r="BA861" t="s">
        <v>74</v>
      </c>
      <c r="BB861" t="s">
        <v>74</v>
      </c>
      <c r="BC861" t="s">
        <v>74</v>
      </c>
      <c r="BD861">
        <v>622721</v>
      </c>
      <c r="BE861" t="s">
        <v>16699</v>
      </c>
      <c r="BF861" t="str">
        <f>HYPERLINK("http://dx.doi.org/10.3389/fmars.2021.622721","http://dx.doi.org/10.3389/fmars.2021.622721")</f>
        <v>http://dx.doi.org/10.3389/fmars.2021.622721</v>
      </c>
      <c r="BG861" t="s">
        <v>74</v>
      </c>
      <c r="BH861" t="s">
        <v>74</v>
      </c>
      <c r="BI861">
        <v>30</v>
      </c>
      <c r="BJ861" t="s">
        <v>127</v>
      </c>
      <c r="BK861" t="s">
        <v>128</v>
      </c>
      <c r="BL861" t="s">
        <v>129</v>
      </c>
      <c r="BM861" t="s">
        <v>16700</v>
      </c>
      <c r="BN861" t="s">
        <v>74</v>
      </c>
      <c r="BO861" t="s">
        <v>4640</v>
      </c>
      <c r="BP861" t="s">
        <v>74</v>
      </c>
      <c r="BQ861" t="s">
        <v>74</v>
      </c>
      <c r="BR861" t="s">
        <v>102</v>
      </c>
      <c r="BS861" t="s">
        <v>16701</v>
      </c>
      <c r="BT861" t="str">
        <f>HYPERLINK("https%3A%2F%2Fwww.webofscience.com%2Fwos%2Fwoscc%2Ffull-record%2FWOS:000656249900001","View Full Record in Web of Science")</f>
        <v>View Full Record in Web of Science</v>
      </c>
    </row>
    <row r="862" spans="1:72" x14ac:dyDescent="0.15">
      <c r="A862" t="s">
        <v>72</v>
      </c>
      <c r="B862" t="s">
        <v>16702</v>
      </c>
      <c r="C862" t="s">
        <v>74</v>
      </c>
      <c r="D862" t="s">
        <v>74</v>
      </c>
      <c r="E862" t="s">
        <v>74</v>
      </c>
      <c r="F862" t="s">
        <v>16703</v>
      </c>
      <c r="G862" t="s">
        <v>74</v>
      </c>
      <c r="H862" t="s">
        <v>74</v>
      </c>
      <c r="I862" t="s">
        <v>16704</v>
      </c>
      <c r="J862" t="s">
        <v>2594</v>
      </c>
      <c r="K862" t="s">
        <v>74</v>
      </c>
      <c r="L862" t="s">
        <v>74</v>
      </c>
      <c r="M862" t="s">
        <v>78</v>
      </c>
      <c r="N862" t="s">
        <v>79</v>
      </c>
      <c r="O862" t="s">
        <v>74</v>
      </c>
      <c r="P862" t="s">
        <v>74</v>
      </c>
      <c r="Q862" t="s">
        <v>74</v>
      </c>
      <c r="R862" t="s">
        <v>74</v>
      </c>
      <c r="S862" t="s">
        <v>74</v>
      </c>
      <c r="T862" t="s">
        <v>74</v>
      </c>
      <c r="U862" t="s">
        <v>16705</v>
      </c>
      <c r="V862" t="s">
        <v>16706</v>
      </c>
      <c r="W862" t="s">
        <v>16707</v>
      </c>
      <c r="X862" t="s">
        <v>16708</v>
      </c>
      <c r="Y862" t="s">
        <v>16709</v>
      </c>
      <c r="Z862" t="s">
        <v>16710</v>
      </c>
      <c r="AA862" t="s">
        <v>16711</v>
      </c>
      <c r="AB862" t="s">
        <v>16712</v>
      </c>
      <c r="AC862" t="s">
        <v>16713</v>
      </c>
      <c r="AD862" t="s">
        <v>16714</v>
      </c>
      <c r="AE862" t="s">
        <v>16715</v>
      </c>
      <c r="AF862" t="s">
        <v>74</v>
      </c>
      <c r="AG862">
        <v>53</v>
      </c>
      <c r="AH862">
        <v>4</v>
      </c>
      <c r="AI862">
        <v>4</v>
      </c>
      <c r="AJ862">
        <v>0</v>
      </c>
      <c r="AK862">
        <v>9</v>
      </c>
      <c r="AL862" t="s">
        <v>395</v>
      </c>
      <c r="AM862" t="s">
        <v>396</v>
      </c>
      <c r="AN862" t="s">
        <v>397</v>
      </c>
      <c r="AO862" t="s">
        <v>2605</v>
      </c>
      <c r="AP862" t="s">
        <v>74</v>
      </c>
      <c r="AQ862" t="s">
        <v>74</v>
      </c>
      <c r="AR862" t="s">
        <v>2606</v>
      </c>
      <c r="AS862" t="s">
        <v>2607</v>
      </c>
      <c r="AT862" t="s">
        <v>16646</v>
      </c>
      <c r="AU862">
        <v>2021</v>
      </c>
      <c r="AV862">
        <v>11</v>
      </c>
      <c r="AW862">
        <v>1</v>
      </c>
      <c r="AX862" t="s">
        <v>74</v>
      </c>
      <c r="AY862" t="s">
        <v>74</v>
      </c>
      <c r="AZ862" t="s">
        <v>74</v>
      </c>
      <c r="BA862" t="s">
        <v>74</v>
      </c>
      <c r="BB862" t="s">
        <v>74</v>
      </c>
      <c r="BC862" t="s">
        <v>74</v>
      </c>
      <c r="BD862">
        <v>10266</v>
      </c>
      <c r="BE862" t="s">
        <v>16716</v>
      </c>
      <c r="BF862" t="str">
        <f>HYPERLINK("http://dx.doi.org/10.1038/s41598-021-89720-4","http://dx.doi.org/10.1038/s41598-021-89720-4")</f>
        <v>http://dx.doi.org/10.1038/s41598-021-89720-4</v>
      </c>
      <c r="BG862" t="s">
        <v>74</v>
      </c>
      <c r="BH862" t="s">
        <v>74</v>
      </c>
      <c r="BI862">
        <v>8</v>
      </c>
      <c r="BJ862" t="s">
        <v>2609</v>
      </c>
      <c r="BK862" t="s">
        <v>128</v>
      </c>
      <c r="BL862" t="s">
        <v>2610</v>
      </c>
      <c r="BM862" t="s">
        <v>16717</v>
      </c>
      <c r="BN862">
        <v>33986420</v>
      </c>
      <c r="BO862" t="s">
        <v>311</v>
      </c>
      <c r="BP862" t="s">
        <v>74</v>
      </c>
      <c r="BQ862" t="s">
        <v>74</v>
      </c>
      <c r="BR862" t="s">
        <v>102</v>
      </c>
      <c r="BS862" t="s">
        <v>16718</v>
      </c>
      <c r="BT862" t="str">
        <f>HYPERLINK("https%3A%2F%2Fwww.webofscience.com%2Fwos%2Fwoscc%2Ffull-record%2FWOS:000656952400023","View Full Record in Web of Science")</f>
        <v>View Full Record in Web of Science</v>
      </c>
    </row>
    <row r="863" spans="1:72" x14ac:dyDescent="0.15">
      <c r="A863" t="s">
        <v>72</v>
      </c>
      <c r="B863" t="s">
        <v>16719</v>
      </c>
      <c r="C863" t="s">
        <v>74</v>
      </c>
      <c r="D863" t="s">
        <v>74</v>
      </c>
      <c r="E863" t="s">
        <v>74</v>
      </c>
      <c r="F863" t="s">
        <v>16720</v>
      </c>
      <c r="G863" t="s">
        <v>74</v>
      </c>
      <c r="H863" t="s">
        <v>74</v>
      </c>
      <c r="I863" t="s">
        <v>16721</v>
      </c>
      <c r="J863" t="s">
        <v>107</v>
      </c>
      <c r="K863" t="s">
        <v>74</v>
      </c>
      <c r="L863" t="s">
        <v>74</v>
      </c>
      <c r="M863" t="s">
        <v>78</v>
      </c>
      <c r="N863" t="s">
        <v>79</v>
      </c>
      <c r="O863" t="s">
        <v>74</v>
      </c>
      <c r="P863" t="s">
        <v>74</v>
      </c>
      <c r="Q863" t="s">
        <v>74</v>
      </c>
      <c r="R863" t="s">
        <v>74</v>
      </c>
      <c r="S863" t="s">
        <v>74</v>
      </c>
      <c r="T863" t="s">
        <v>16722</v>
      </c>
      <c r="U863" t="s">
        <v>16723</v>
      </c>
      <c r="V863" t="s">
        <v>16724</v>
      </c>
      <c r="W863" t="s">
        <v>16725</v>
      </c>
      <c r="X863" t="s">
        <v>16726</v>
      </c>
      <c r="Y863" t="s">
        <v>16727</v>
      </c>
      <c r="Z863" t="s">
        <v>16728</v>
      </c>
      <c r="AA863" t="s">
        <v>16729</v>
      </c>
      <c r="AB863" t="s">
        <v>16730</v>
      </c>
      <c r="AC863" t="s">
        <v>16731</v>
      </c>
      <c r="AD863" t="s">
        <v>16732</v>
      </c>
      <c r="AE863" t="s">
        <v>16733</v>
      </c>
      <c r="AF863" t="s">
        <v>74</v>
      </c>
      <c r="AG863">
        <v>82</v>
      </c>
      <c r="AH863">
        <v>12</v>
      </c>
      <c r="AI863">
        <v>13</v>
      </c>
      <c r="AJ863">
        <v>2</v>
      </c>
      <c r="AK863">
        <v>11</v>
      </c>
      <c r="AL863" t="s">
        <v>119</v>
      </c>
      <c r="AM863" t="s">
        <v>120</v>
      </c>
      <c r="AN863" t="s">
        <v>121</v>
      </c>
      <c r="AO863" t="s">
        <v>74</v>
      </c>
      <c r="AP863" t="s">
        <v>122</v>
      </c>
      <c r="AQ863" t="s">
        <v>74</v>
      </c>
      <c r="AR863" t="s">
        <v>123</v>
      </c>
      <c r="AS863" t="s">
        <v>124</v>
      </c>
      <c r="AT863" t="s">
        <v>16646</v>
      </c>
      <c r="AU863">
        <v>2021</v>
      </c>
      <c r="AV863">
        <v>8</v>
      </c>
      <c r="AW863" t="s">
        <v>74</v>
      </c>
      <c r="AX863" t="s">
        <v>74</v>
      </c>
      <c r="AY863" t="s">
        <v>74</v>
      </c>
      <c r="AZ863" t="s">
        <v>74</v>
      </c>
      <c r="BA863" t="s">
        <v>74</v>
      </c>
      <c r="BB863" t="s">
        <v>74</v>
      </c>
      <c r="BC863" t="s">
        <v>74</v>
      </c>
      <c r="BD863">
        <v>676731</v>
      </c>
      <c r="BE863" t="s">
        <v>16734</v>
      </c>
      <c r="BF863" t="str">
        <f>HYPERLINK("http://dx.doi.org/10.3389/fmars.2021.676731","http://dx.doi.org/10.3389/fmars.2021.676731")</f>
        <v>http://dx.doi.org/10.3389/fmars.2021.676731</v>
      </c>
      <c r="BG863" t="s">
        <v>74</v>
      </c>
      <c r="BH863" t="s">
        <v>74</v>
      </c>
      <c r="BI863">
        <v>14</v>
      </c>
      <c r="BJ863" t="s">
        <v>127</v>
      </c>
      <c r="BK863" t="s">
        <v>128</v>
      </c>
      <c r="BL863" t="s">
        <v>129</v>
      </c>
      <c r="BM863" t="s">
        <v>16735</v>
      </c>
      <c r="BN863">
        <v>36248701</v>
      </c>
      <c r="BO863" t="s">
        <v>16736</v>
      </c>
      <c r="BP863" t="s">
        <v>74</v>
      </c>
      <c r="BQ863" t="s">
        <v>74</v>
      </c>
      <c r="BR863" t="s">
        <v>102</v>
      </c>
      <c r="BS863" t="s">
        <v>16737</v>
      </c>
      <c r="BT863" t="str">
        <f>HYPERLINK("https%3A%2F%2Fwww.webofscience.com%2Fwos%2Fwoscc%2Ffull-record%2FWOS:000657099900001","View Full Record in Web of Science")</f>
        <v>View Full Record in Web of Science</v>
      </c>
    </row>
    <row r="864" spans="1:72" x14ac:dyDescent="0.15">
      <c r="A864" t="s">
        <v>72</v>
      </c>
      <c r="B864" t="s">
        <v>16738</v>
      </c>
      <c r="C864" t="s">
        <v>74</v>
      </c>
      <c r="D864" t="s">
        <v>74</v>
      </c>
      <c r="E864" t="s">
        <v>74</v>
      </c>
      <c r="F864" t="s">
        <v>16739</v>
      </c>
      <c r="G864" t="s">
        <v>74</v>
      </c>
      <c r="H864" t="s">
        <v>74</v>
      </c>
      <c r="I864" t="s">
        <v>16740</v>
      </c>
      <c r="J864" t="s">
        <v>107</v>
      </c>
      <c r="K864" t="s">
        <v>74</v>
      </c>
      <c r="L864" t="s">
        <v>74</v>
      </c>
      <c r="M864" t="s">
        <v>78</v>
      </c>
      <c r="N864" t="s">
        <v>79</v>
      </c>
      <c r="O864" t="s">
        <v>74</v>
      </c>
      <c r="P864" t="s">
        <v>74</v>
      </c>
      <c r="Q864" t="s">
        <v>74</v>
      </c>
      <c r="R864" t="s">
        <v>74</v>
      </c>
      <c r="S864" t="s">
        <v>74</v>
      </c>
      <c r="T864" t="s">
        <v>16741</v>
      </c>
      <c r="U864" t="s">
        <v>16742</v>
      </c>
      <c r="V864" t="s">
        <v>16743</v>
      </c>
      <c r="W864" t="s">
        <v>16744</v>
      </c>
      <c r="X864" t="s">
        <v>16745</v>
      </c>
      <c r="Y864" t="s">
        <v>16746</v>
      </c>
      <c r="Z864" t="s">
        <v>16747</v>
      </c>
      <c r="AA864" t="s">
        <v>16748</v>
      </c>
      <c r="AB864" t="s">
        <v>16749</v>
      </c>
      <c r="AC864" t="s">
        <v>16750</v>
      </c>
      <c r="AD864" t="s">
        <v>16751</v>
      </c>
      <c r="AE864" t="s">
        <v>16752</v>
      </c>
      <c r="AF864" t="s">
        <v>74</v>
      </c>
      <c r="AG864">
        <v>122</v>
      </c>
      <c r="AH864">
        <v>8</v>
      </c>
      <c r="AI864">
        <v>8</v>
      </c>
      <c r="AJ864">
        <v>1</v>
      </c>
      <c r="AK864">
        <v>17</v>
      </c>
      <c r="AL864" t="s">
        <v>119</v>
      </c>
      <c r="AM864" t="s">
        <v>120</v>
      </c>
      <c r="AN864" t="s">
        <v>121</v>
      </c>
      <c r="AO864" t="s">
        <v>74</v>
      </c>
      <c r="AP864" t="s">
        <v>122</v>
      </c>
      <c r="AQ864" t="s">
        <v>74</v>
      </c>
      <c r="AR864" t="s">
        <v>123</v>
      </c>
      <c r="AS864" t="s">
        <v>124</v>
      </c>
      <c r="AT864" t="s">
        <v>16646</v>
      </c>
      <c r="AU864">
        <v>2021</v>
      </c>
      <c r="AV864">
        <v>8</v>
      </c>
      <c r="AW864" t="s">
        <v>74</v>
      </c>
      <c r="AX864" t="s">
        <v>74</v>
      </c>
      <c r="AY864" t="s">
        <v>74</v>
      </c>
      <c r="AZ864" t="s">
        <v>74</v>
      </c>
      <c r="BA864" t="s">
        <v>74</v>
      </c>
      <c r="BB864" t="s">
        <v>74</v>
      </c>
      <c r="BC864" t="s">
        <v>74</v>
      </c>
      <c r="BD864">
        <v>659430</v>
      </c>
      <c r="BE864" t="s">
        <v>16753</v>
      </c>
      <c r="BF864" t="str">
        <f>HYPERLINK("http://dx.doi.org/10.3389/fmars.2021.659430","http://dx.doi.org/10.3389/fmars.2021.659430")</f>
        <v>http://dx.doi.org/10.3389/fmars.2021.659430</v>
      </c>
      <c r="BG864" t="s">
        <v>74</v>
      </c>
      <c r="BH864" t="s">
        <v>74</v>
      </c>
      <c r="BI864">
        <v>15</v>
      </c>
      <c r="BJ864" t="s">
        <v>127</v>
      </c>
      <c r="BK864" t="s">
        <v>128</v>
      </c>
      <c r="BL864" t="s">
        <v>129</v>
      </c>
      <c r="BM864" t="s">
        <v>16754</v>
      </c>
      <c r="BN864" t="s">
        <v>74</v>
      </c>
      <c r="BO864" t="s">
        <v>311</v>
      </c>
      <c r="BP864" t="s">
        <v>74</v>
      </c>
      <c r="BQ864" t="s">
        <v>74</v>
      </c>
      <c r="BR864" t="s">
        <v>102</v>
      </c>
      <c r="BS864" t="s">
        <v>16755</v>
      </c>
      <c r="BT864" t="str">
        <f>HYPERLINK("https%3A%2F%2Fwww.webofscience.com%2Fwos%2Fwoscc%2Ffull-record%2FWOS:000656249700001","View Full Record in Web of Science")</f>
        <v>View Full Record in Web of Science</v>
      </c>
    </row>
    <row r="865" spans="1:72" x14ac:dyDescent="0.15">
      <c r="A865" t="s">
        <v>72</v>
      </c>
      <c r="B865" t="s">
        <v>16756</v>
      </c>
      <c r="C865" t="s">
        <v>74</v>
      </c>
      <c r="D865" t="s">
        <v>74</v>
      </c>
      <c r="E865" t="s">
        <v>74</v>
      </c>
      <c r="F865" t="s">
        <v>16757</v>
      </c>
      <c r="G865" t="s">
        <v>74</v>
      </c>
      <c r="H865" t="s">
        <v>74</v>
      </c>
      <c r="I865" t="s">
        <v>16758</v>
      </c>
      <c r="J865" t="s">
        <v>16057</v>
      </c>
      <c r="K865" t="s">
        <v>74</v>
      </c>
      <c r="L865" t="s">
        <v>74</v>
      </c>
      <c r="M865" t="s">
        <v>78</v>
      </c>
      <c r="N865" t="s">
        <v>700</v>
      </c>
      <c r="O865" t="s">
        <v>74</v>
      </c>
      <c r="P865" t="s">
        <v>74</v>
      </c>
      <c r="Q865" t="s">
        <v>74</v>
      </c>
      <c r="R865" t="s">
        <v>74</v>
      </c>
      <c r="S865" t="s">
        <v>74</v>
      </c>
      <c r="T865" t="s">
        <v>16759</v>
      </c>
      <c r="U865" t="s">
        <v>16760</v>
      </c>
      <c r="V865" t="s">
        <v>16761</v>
      </c>
      <c r="W865" t="s">
        <v>16762</v>
      </c>
      <c r="X865" t="s">
        <v>16763</v>
      </c>
      <c r="Y865" t="s">
        <v>16764</v>
      </c>
      <c r="Z865" t="s">
        <v>16765</v>
      </c>
      <c r="AA865" t="s">
        <v>16766</v>
      </c>
      <c r="AB865" t="s">
        <v>16767</v>
      </c>
      <c r="AC865" t="s">
        <v>16768</v>
      </c>
      <c r="AD865" t="s">
        <v>16769</v>
      </c>
      <c r="AE865" t="s">
        <v>16770</v>
      </c>
      <c r="AF865" t="s">
        <v>74</v>
      </c>
      <c r="AG865">
        <v>68</v>
      </c>
      <c r="AH865">
        <v>5</v>
      </c>
      <c r="AI865">
        <v>5</v>
      </c>
      <c r="AJ865">
        <v>0</v>
      </c>
      <c r="AK865">
        <v>9</v>
      </c>
      <c r="AL865" t="s">
        <v>197</v>
      </c>
      <c r="AM865" t="s">
        <v>198</v>
      </c>
      <c r="AN865" t="s">
        <v>199</v>
      </c>
      <c r="AO865" t="s">
        <v>74</v>
      </c>
      <c r="AP865" t="s">
        <v>16070</v>
      </c>
      <c r="AQ865" t="s">
        <v>74</v>
      </c>
      <c r="AR865" t="s">
        <v>16071</v>
      </c>
      <c r="AS865" t="s">
        <v>16072</v>
      </c>
      <c r="AT865" t="s">
        <v>430</v>
      </c>
      <c r="AU865">
        <v>2021</v>
      </c>
      <c r="AV865">
        <v>3</v>
      </c>
      <c r="AW865">
        <v>7</v>
      </c>
      <c r="AX865" t="s">
        <v>74</v>
      </c>
      <c r="AY865" t="s">
        <v>74</v>
      </c>
      <c r="AZ865" t="s">
        <v>74</v>
      </c>
      <c r="BA865" t="s">
        <v>74</v>
      </c>
      <c r="BB865" t="s">
        <v>74</v>
      </c>
      <c r="BC865" t="s">
        <v>74</v>
      </c>
      <c r="BD865" t="s">
        <v>16771</v>
      </c>
      <c r="BE865" t="s">
        <v>16772</v>
      </c>
      <c r="BF865" t="str">
        <f>HYPERLINK("http://dx.doi.org/10.1111/csp2.434","http://dx.doi.org/10.1111/csp2.434")</f>
        <v>http://dx.doi.org/10.1111/csp2.434</v>
      </c>
      <c r="BG865" t="s">
        <v>74</v>
      </c>
      <c r="BH865" t="s">
        <v>14415</v>
      </c>
      <c r="BI865">
        <v>15</v>
      </c>
      <c r="BJ865" t="s">
        <v>483</v>
      </c>
      <c r="BK865" t="s">
        <v>128</v>
      </c>
      <c r="BL865" t="s">
        <v>484</v>
      </c>
      <c r="BM865" t="s">
        <v>16075</v>
      </c>
      <c r="BN865" t="s">
        <v>74</v>
      </c>
      <c r="BO865" t="s">
        <v>1377</v>
      </c>
      <c r="BP865" t="s">
        <v>74</v>
      </c>
      <c r="BQ865" t="s">
        <v>74</v>
      </c>
      <c r="BR865" t="s">
        <v>102</v>
      </c>
      <c r="BS865" t="s">
        <v>16773</v>
      </c>
      <c r="BT865" t="str">
        <f>HYPERLINK("https%3A%2F%2Fwww.webofscience.com%2Fwos%2Fwoscc%2Ffull-record%2FWOS:000649826900001","View Full Record in Web of Science")</f>
        <v>View Full Record in Web of Science</v>
      </c>
    </row>
    <row r="866" spans="1:72" x14ac:dyDescent="0.15">
      <c r="A866" t="s">
        <v>72</v>
      </c>
      <c r="B866" t="s">
        <v>16774</v>
      </c>
      <c r="C866" t="s">
        <v>74</v>
      </c>
      <c r="D866" t="s">
        <v>74</v>
      </c>
      <c r="E866" t="s">
        <v>74</v>
      </c>
      <c r="F866" t="s">
        <v>16775</v>
      </c>
      <c r="G866" t="s">
        <v>74</v>
      </c>
      <c r="H866" t="s">
        <v>74</v>
      </c>
      <c r="I866" t="s">
        <v>16776</v>
      </c>
      <c r="J866" t="s">
        <v>383</v>
      </c>
      <c r="K866" t="s">
        <v>74</v>
      </c>
      <c r="L866" t="s">
        <v>74</v>
      </c>
      <c r="M866" t="s">
        <v>78</v>
      </c>
      <c r="N866" t="s">
        <v>79</v>
      </c>
      <c r="O866" t="s">
        <v>74</v>
      </c>
      <c r="P866" t="s">
        <v>74</v>
      </c>
      <c r="Q866" t="s">
        <v>74</v>
      </c>
      <c r="R866" t="s">
        <v>74</v>
      </c>
      <c r="S866" t="s">
        <v>74</v>
      </c>
      <c r="T866" t="s">
        <v>74</v>
      </c>
      <c r="U866" t="s">
        <v>16777</v>
      </c>
      <c r="V866" t="s">
        <v>16778</v>
      </c>
      <c r="W866" t="s">
        <v>16779</v>
      </c>
      <c r="X866" t="s">
        <v>16780</v>
      </c>
      <c r="Y866" t="s">
        <v>16781</v>
      </c>
      <c r="Z866" t="s">
        <v>16782</v>
      </c>
      <c r="AA866" t="s">
        <v>16783</v>
      </c>
      <c r="AB866" t="s">
        <v>16784</v>
      </c>
      <c r="AC866" t="s">
        <v>16785</v>
      </c>
      <c r="AD866" t="s">
        <v>16786</v>
      </c>
      <c r="AE866" t="s">
        <v>16787</v>
      </c>
      <c r="AF866" t="s">
        <v>74</v>
      </c>
      <c r="AG866">
        <v>50</v>
      </c>
      <c r="AH866">
        <v>56</v>
      </c>
      <c r="AI866">
        <v>57</v>
      </c>
      <c r="AJ866">
        <v>18</v>
      </c>
      <c r="AK866">
        <v>139</v>
      </c>
      <c r="AL866" t="s">
        <v>395</v>
      </c>
      <c r="AM866" t="s">
        <v>396</v>
      </c>
      <c r="AN866" t="s">
        <v>397</v>
      </c>
      <c r="AO866" t="s">
        <v>398</v>
      </c>
      <c r="AP866" t="s">
        <v>399</v>
      </c>
      <c r="AQ866" t="s">
        <v>74</v>
      </c>
      <c r="AR866" t="s">
        <v>400</v>
      </c>
      <c r="AS866" t="s">
        <v>401</v>
      </c>
      <c r="AT866" t="s">
        <v>4571</v>
      </c>
      <c r="AU866">
        <v>2021</v>
      </c>
      <c r="AV866">
        <v>14</v>
      </c>
      <c r="AW866">
        <v>6</v>
      </c>
      <c r="AX866" t="s">
        <v>74</v>
      </c>
      <c r="AY866" t="s">
        <v>74</v>
      </c>
      <c r="AZ866" t="s">
        <v>74</v>
      </c>
      <c r="BA866" t="s">
        <v>74</v>
      </c>
      <c r="BB866">
        <v>383</v>
      </c>
      <c r="BC866" t="s">
        <v>403</v>
      </c>
      <c r="BD866" t="s">
        <v>74</v>
      </c>
      <c r="BE866" t="s">
        <v>16788</v>
      </c>
      <c r="BF866" t="str">
        <f>HYPERLINK("http://dx.doi.org/10.1038/s41561-021-00751-y","http://dx.doi.org/10.1038/s41561-021-00751-y")</f>
        <v>http://dx.doi.org/10.1038/s41561-021-00751-y</v>
      </c>
      <c r="BG866" t="s">
        <v>74</v>
      </c>
      <c r="BH866" t="s">
        <v>14415</v>
      </c>
      <c r="BI866">
        <v>18</v>
      </c>
      <c r="BJ866" t="s">
        <v>405</v>
      </c>
      <c r="BK866" t="s">
        <v>128</v>
      </c>
      <c r="BL866" t="s">
        <v>406</v>
      </c>
      <c r="BM866" t="s">
        <v>14882</v>
      </c>
      <c r="BN866" t="s">
        <v>74</v>
      </c>
      <c r="BO866" t="s">
        <v>408</v>
      </c>
      <c r="BP866" t="s">
        <v>74</v>
      </c>
      <c r="BQ866" t="s">
        <v>74</v>
      </c>
      <c r="BR866" t="s">
        <v>102</v>
      </c>
      <c r="BS866" t="s">
        <v>16789</v>
      </c>
      <c r="BT866" t="str">
        <f>HYPERLINK("https%3A%2F%2Fwww.webofscience.com%2Fwos%2Fwoscc%2Ffull-record%2FWOS:000650124200002","View Full Record in Web of Science")</f>
        <v>View Full Record in Web of Science</v>
      </c>
    </row>
    <row r="867" spans="1:72" x14ac:dyDescent="0.15">
      <c r="A867" t="s">
        <v>72</v>
      </c>
      <c r="B867" t="s">
        <v>16790</v>
      </c>
      <c r="C867" t="s">
        <v>74</v>
      </c>
      <c r="D867" t="s">
        <v>74</v>
      </c>
      <c r="E867" t="s">
        <v>74</v>
      </c>
      <c r="F867" t="s">
        <v>16791</v>
      </c>
      <c r="G867" t="s">
        <v>74</v>
      </c>
      <c r="H867" t="s">
        <v>74</v>
      </c>
      <c r="I867" t="s">
        <v>16792</v>
      </c>
      <c r="J867" t="s">
        <v>383</v>
      </c>
      <c r="K867" t="s">
        <v>74</v>
      </c>
      <c r="L867" t="s">
        <v>74</v>
      </c>
      <c r="M867" t="s">
        <v>78</v>
      </c>
      <c r="N867" t="s">
        <v>79</v>
      </c>
      <c r="O867" t="s">
        <v>74</v>
      </c>
      <c r="P867" t="s">
        <v>74</v>
      </c>
      <c r="Q867" t="s">
        <v>74</v>
      </c>
      <c r="R867" t="s">
        <v>74</v>
      </c>
      <c r="S867" t="s">
        <v>74</v>
      </c>
      <c r="T867" t="s">
        <v>74</v>
      </c>
      <c r="U867" t="s">
        <v>16793</v>
      </c>
      <c r="V867" t="s">
        <v>16794</v>
      </c>
      <c r="W867" t="s">
        <v>16795</v>
      </c>
      <c r="X867" t="s">
        <v>16796</v>
      </c>
      <c r="Y867" t="s">
        <v>16797</v>
      </c>
      <c r="Z867" t="s">
        <v>16798</v>
      </c>
      <c r="AA867" t="s">
        <v>16799</v>
      </c>
      <c r="AB867" t="s">
        <v>16800</v>
      </c>
      <c r="AC867" t="s">
        <v>16801</v>
      </c>
      <c r="AD867" t="s">
        <v>16802</v>
      </c>
      <c r="AE867" t="s">
        <v>16803</v>
      </c>
      <c r="AF867" t="s">
        <v>74</v>
      </c>
      <c r="AG867">
        <v>58</v>
      </c>
      <c r="AH867">
        <v>13</v>
      </c>
      <c r="AI867">
        <v>13</v>
      </c>
      <c r="AJ867">
        <v>5</v>
      </c>
      <c r="AK867">
        <v>19</v>
      </c>
      <c r="AL867" t="s">
        <v>395</v>
      </c>
      <c r="AM867" t="s">
        <v>396</v>
      </c>
      <c r="AN867" t="s">
        <v>397</v>
      </c>
      <c r="AO867" t="s">
        <v>398</v>
      </c>
      <c r="AP867" t="s">
        <v>399</v>
      </c>
      <c r="AQ867" t="s">
        <v>74</v>
      </c>
      <c r="AR867" t="s">
        <v>400</v>
      </c>
      <c r="AS867" t="s">
        <v>401</v>
      </c>
      <c r="AT867" t="s">
        <v>4571</v>
      </c>
      <c r="AU867">
        <v>2021</v>
      </c>
      <c r="AV867">
        <v>14</v>
      </c>
      <c r="AW867">
        <v>6</v>
      </c>
      <c r="AX867" t="s">
        <v>74</v>
      </c>
      <c r="AY867" t="s">
        <v>74</v>
      </c>
      <c r="AZ867" t="s">
        <v>74</v>
      </c>
      <c r="BA867" t="s">
        <v>74</v>
      </c>
      <c r="BB867">
        <v>429</v>
      </c>
      <c r="BC867" t="s">
        <v>403</v>
      </c>
      <c r="BD867" t="s">
        <v>74</v>
      </c>
      <c r="BE867" t="s">
        <v>16804</v>
      </c>
      <c r="BF867" t="str">
        <f>HYPERLINK("http://dx.doi.org/10.1038/s41561-021-00745-w","http://dx.doi.org/10.1038/s41561-021-00745-w")</f>
        <v>http://dx.doi.org/10.1038/s41561-021-00745-w</v>
      </c>
      <c r="BG867" t="s">
        <v>74</v>
      </c>
      <c r="BH867" t="s">
        <v>14415</v>
      </c>
      <c r="BI867">
        <v>10</v>
      </c>
      <c r="BJ867" t="s">
        <v>405</v>
      </c>
      <c r="BK867" t="s">
        <v>128</v>
      </c>
      <c r="BL867" t="s">
        <v>406</v>
      </c>
      <c r="BM867" t="s">
        <v>14882</v>
      </c>
      <c r="BN867" t="s">
        <v>74</v>
      </c>
      <c r="BO867" t="s">
        <v>2125</v>
      </c>
      <c r="BP867" t="s">
        <v>74</v>
      </c>
      <c r="BQ867" t="s">
        <v>74</v>
      </c>
      <c r="BR867" t="s">
        <v>102</v>
      </c>
      <c r="BS867" t="s">
        <v>16805</v>
      </c>
      <c r="BT867" t="str">
        <f>HYPERLINK("https%3A%2F%2Fwww.webofscience.com%2Fwos%2Fwoscc%2Ffull-record%2FWOS:000650124200001","View Full Record in Web of Science")</f>
        <v>View Full Record in Web of Science</v>
      </c>
    </row>
    <row r="868" spans="1:72" x14ac:dyDescent="0.15">
      <c r="A868" t="s">
        <v>72</v>
      </c>
      <c r="B868" t="s">
        <v>16806</v>
      </c>
      <c r="C868" t="s">
        <v>74</v>
      </c>
      <c r="D868" t="s">
        <v>74</v>
      </c>
      <c r="E868" t="s">
        <v>74</v>
      </c>
      <c r="F868" t="s">
        <v>16807</v>
      </c>
      <c r="G868" t="s">
        <v>74</v>
      </c>
      <c r="H868" t="s">
        <v>74</v>
      </c>
      <c r="I868" t="s">
        <v>16808</v>
      </c>
      <c r="J868" t="s">
        <v>15922</v>
      </c>
      <c r="K868" t="s">
        <v>74</v>
      </c>
      <c r="L868" t="s">
        <v>74</v>
      </c>
      <c r="M868" t="s">
        <v>78</v>
      </c>
      <c r="N868" t="s">
        <v>79</v>
      </c>
      <c r="O868" t="s">
        <v>74</v>
      </c>
      <c r="P868" t="s">
        <v>74</v>
      </c>
      <c r="Q868" t="s">
        <v>74</v>
      </c>
      <c r="R868" t="s">
        <v>74</v>
      </c>
      <c r="S868" t="s">
        <v>74</v>
      </c>
      <c r="T868" t="s">
        <v>16809</v>
      </c>
      <c r="U868" t="s">
        <v>16810</v>
      </c>
      <c r="V868" t="s">
        <v>16811</v>
      </c>
      <c r="W868" t="s">
        <v>16812</v>
      </c>
      <c r="X868" t="s">
        <v>16813</v>
      </c>
      <c r="Y868" t="s">
        <v>16814</v>
      </c>
      <c r="Z868" t="s">
        <v>16815</v>
      </c>
      <c r="AA868" t="s">
        <v>16816</v>
      </c>
      <c r="AB868" t="s">
        <v>16817</v>
      </c>
      <c r="AC868" t="s">
        <v>16818</v>
      </c>
      <c r="AD868" t="s">
        <v>16819</v>
      </c>
      <c r="AE868" t="s">
        <v>16820</v>
      </c>
      <c r="AF868" t="s">
        <v>74</v>
      </c>
      <c r="AG868">
        <v>68</v>
      </c>
      <c r="AH868">
        <v>5</v>
      </c>
      <c r="AI868">
        <v>5</v>
      </c>
      <c r="AJ868">
        <v>1</v>
      </c>
      <c r="AK868">
        <v>6</v>
      </c>
      <c r="AL868" t="s">
        <v>2190</v>
      </c>
      <c r="AM868" t="s">
        <v>228</v>
      </c>
      <c r="AN868" t="s">
        <v>2191</v>
      </c>
      <c r="AO868" t="s">
        <v>15935</v>
      </c>
      <c r="AP868" t="s">
        <v>15936</v>
      </c>
      <c r="AQ868" t="s">
        <v>74</v>
      </c>
      <c r="AR868" t="s">
        <v>15937</v>
      </c>
      <c r="AS868" t="s">
        <v>15938</v>
      </c>
      <c r="AT868" t="s">
        <v>430</v>
      </c>
      <c r="AU868">
        <v>2021</v>
      </c>
      <c r="AV868">
        <v>504</v>
      </c>
      <c r="AW868">
        <v>3</v>
      </c>
      <c r="AX868" t="s">
        <v>74</v>
      </c>
      <c r="AY868" t="s">
        <v>74</v>
      </c>
      <c r="AZ868" t="s">
        <v>74</v>
      </c>
      <c r="BA868" t="s">
        <v>74</v>
      </c>
      <c r="BB868">
        <v>4226</v>
      </c>
      <c r="BC868">
        <v>4241</v>
      </c>
      <c r="BD868" t="s">
        <v>74</v>
      </c>
      <c r="BE868" t="s">
        <v>16821</v>
      </c>
      <c r="BF868" t="str">
        <f>HYPERLINK("http://dx.doi.org/10.1093/mnras/stab1162","http://dx.doi.org/10.1093/mnras/stab1162")</f>
        <v>http://dx.doi.org/10.1093/mnras/stab1162</v>
      </c>
      <c r="BG868" t="s">
        <v>74</v>
      </c>
      <c r="BH868" t="s">
        <v>14415</v>
      </c>
      <c r="BI868">
        <v>16</v>
      </c>
      <c r="BJ868" t="s">
        <v>1267</v>
      </c>
      <c r="BK868" t="s">
        <v>128</v>
      </c>
      <c r="BL868" t="s">
        <v>1267</v>
      </c>
      <c r="BM868" t="s">
        <v>16822</v>
      </c>
      <c r="BN868" t="s">
        <v>74</v>
      </c>
      <c r="BO868" t="s">
        <v>408</v>
      </c>
      <c r="BP868" t="s">
        <v>74</v>
      </c>
      <c r="BQ868" t="s">
        <v>74</v>
      </c>
      <c r="BR868" t="s">
        <v>102</v>
      </c>
      <c r="BS868" t="s">
        <v>16823</v>
      </c>
      <c r="BT868" t="str">
        <f>HYPERLINK("https%3A%2F%2Fwww.webofscience.com%2Fwos%2Fwoscc%2Ffull-record%2FWOS:000656139300074","View Full Record in Web of Science")</f>
        <v>View Full Record in Web of Science</v>
      </c>
    </row>
    <row r="869" spans="1:72" x14ac:dyDescent="0.15">
      <c r="A869" t="s">
        <v>72</v>
      </c>
      <c r="B869" t="s">
        <v>16824</v>
      </c>
      <c r="C869" t="s">
        <v>74</v>
      </c>
      <c r="D869" t="s">
        <v>74</v>
      </c>
      <c r="E869" t="s">
        <v>74</v>
      </c>
      <c r="F869" t="s">
        <v>16825</v>
      </c>
      <c r="G869" t="s">
        <v>74</v>
      </c>
      <c r="H869" t="s">
        <v>74</v>
      </c>
      <c r="I869" t="s">
        <v>16826</v>
      </c>
      <c r="J869" t="s">
        <v>14476</v>
      </c>
      <c r="K869" t="s">
        <v>74</v>
      </c>
      <c r="L869" t="s">
        <v>74</v>
      </c>
      <c r="M869" t="s">
        <v>78</v>
      </c>
      <c r="N869" t="s">
        <v>79</v>
      </c>
      <c r="O869" t="s">
        <v>74</v>
      </c>
      <c r="P869" t="s">
        <v>74</v>
      </c>
      <c r="Q869" t="s">
        <v>74</v>
      </c>
      <c r="R869" t="s">
        <v>74</v>
      </c>
      <c r="S869" t="s">
        <v>74</v>
      </c>
      <c r="T869" t="s">
        <v>16827</v>
      </c>
      <c r="U869" t="s">
        <v>16828</v>
      </c>
      <c r="V869" t="s">
        <v>16829</v>
      </c>
      <c r="W869" t="s">
        <v>16830</v>
      </c>
      <c r="X869" t="s">
        <v>16831</v>
      </c>
      <c r="Y869" t="s">
        <v>16832</v>
      </c>
      <c r="Z869" t="s">
        <v>16833</v>
      </c>
      <c r="AA869" t="s">
        <v>16834</v>
      </c>
      <c r="AB869" t="s">
        <v>16835</v>
      </c>
      <c r="AC869" t="s">
        <v>16836</v>
      </c>
      <c r="AD869" t="s">
        <v>16837</v>
      </c>
      <c r="AE869" t="s">
        <v>16838</v>
      </c>
      <c r="AF869" t="s">
        <v>74</v>
      </c>
      <c r="AG869">
        <v>59</v>
      </c>
      <c r="AH869">
        <v>5</v>
      </c>
      <c r="AI869">
        <v>6</v>
      </c>
      <c r="AJ869">
        <v>2</v>
      </c>
      <c r="AK869">
        <v>13</v>
      </c>
      <c r="AL869" t="s">
        <v>89</v>
      </c>
      <c r="AM869" t="s">
        <v>90</v>
      </c>
      <c r="AN869" t="s">
        <v>91</v>
      </c>
      <c r="AO869" t="s">
        <v>74</v>
      </c>
      <c r="AP869" t="s">
        <v>14489</v>
      </c>
      <c r="AQ869" t="s">
        <v>74</v>
      </c>
      <c r="AR869" t="s">
        <v>14490</v>
      </c>
      <c r="AS869" t="s">
        <v>14491</v>
      </c>
      <c r="AT869" t="s">
        <v>430</v>
      </c>
      <c r="AU869">
        <v>2021</v>
      </c>
      <c r="AV869">
        <v>34</v>
      </c>
      <c r="AW869" t="s">
        <v>74</v>
      </c>
      <c r="AX869" t="s">
        <v>74</v>
      </c>
      <c r="AY869" t="s">
        <v>74</v>
      </c>
      <c r="AZ869" t="s">
        <v>74</v>
      </c>
      <c r="BA869" t="s">
        <v>74</v>
      </c>
      <c r="BB869" t="s">
        <v>74</v>
      </c>
      <c r="BC869" t="s">
        <v>74</v>
      </c>
      <c r="BD869">
        <v>102029</v>
      </c>
      <c r="BE869" t="s">
        <v>16839</v>
      </c>
      <c r="BF869" t="str">
        <f>HYPERLINK("http://dx.doi.org/10.1016/j.bcab.2021.102029","http://dx.doi.org/10.1016/j.bcab.2021.102029")</f>
        <v>http://dx.doi.org/10.1016/j.bcab.2021.102029</v>
      </c>
      <c r="BG869" t="s">
        <v>74</v>
      </c>
      <c r="BH869" t="s">
        <v>14415</v>
      </c>
      <c r="BI869">
        <v>10</v>
      </c>
      <c r="BJ869" t="s">
        <v>844</v>
      </c>
      <c r="BK869" t="s">
        <v>1819</v>
      </c>
      <c r="BL869" t="s">
        <v>844</v>
      </c>
      <c r="BM869" t="s">
        <v>16840</v>
      </c>
      <c r="BN869" t="s">
        <v>74</v>
      </c>
      <c r="BO869" t="s">
        <v>74</v>
      </c>
      <c r="BP869" t="s">
        <v>74</v>
      </c>
      <c r="BQ869" t="s">
        <v>74</v>
      </c>
      <c r="BR869" t="s">
        <v>102</v>
      </c>
      <c r="BS869" t="s">
        <v>16841</v>
      </c>
      <c r="BT869" t="str">
        <f>HYPERLINK("https%3A%2F%2Fwww.webofscience.com%2Fwos%2Fwoscc%2Ffull-record%2FWOS:000663765100008","View Full Record in Web of Science")</f>
        <v>View Full Record in Web of Science</v>
      </c>
    </row>
    <row r="870" spans="1:72" x14ac:dyDescent="0.15">
      <c r="A870" t="s">
        <v>72</v>
      </c>
      <c r="B870" t="s">
        <v>16842</v>
      </c>
      <c r="C870" t="s">
        <v>74</v>
      </c>
      <c r="D870" t="s">
        <v>74</v>
      </c>
      <c r="E870" t="s">
        <v>74</v>
      </c>
      <c r="F870" t="s">
        <v>16843</v>
      </c>
      <c r="G870" t="s">
        <v>74</v>
      </c>
      <c r="H870" t="s">
        <v>74</v>
      </c>
      <c r="I870" t="s">
        <v>16844</v>
      </c>
      <c r="J870" t="s">
        <v>107</v>
      </c>
      <c r="K870" t="s">
        <v>74</v>
      </c>
      <c r="L870" t="s">
        <v>74</v>
      </c>
      <c r="M870" t="s">
        <v>78</v>
      </c>
      <c r="N870" t="s">
        <v>79</v>
      </c>
      <c r="O870" t="s">
        <v>74</v>
      </c>
      <c r="P870" t="s">
        <v>74</v>
      </c>
      <c r="Q870" t="s">
        <v>74</v>
      </c>
      <c r="R870" t="s">
        <v>74</v>
      </c>
      <c r="S870" t="s">
        <v>74</v>
      </c>
      <c r="T870" t="s">
        <v>16845</v>
      </c>
      <c r="U870" t="s">
        <v>16846</v>
      </c>
      <c r="V870" t="s">
        <v>16847</v>
      </c>
      <c r="W870" t="s">
        <v>16848</v>
      </c>
      <c r="X870" t="s">
        <v>16849</v>
      </c>
      <c r="Y870" t="s">
        <v>16850</v>
      </c>
      <c r="Z870" t="s">
        <v>16851</v>
      </c>
      <c r="AA870" t="s">
        <v>6168</v>
      </c>
      <c r="AB870" t="s">
        <v>16852</v>
      </c>
      <c r="AC870" t="s">
        <v>16853</v>
      </c>
      <c r="AD870" t="s">
        <v>16853</v>
      </c>
      <c r="AE870" t="s">
        <v>16854</v>
      </c>
      <c r="AF870" t="s">
        <v>74</v>
      </c>
      <c r="AG870">
        <v>77</v>
      </c>
      <c r="AH870">
        <v>6</v>
      </c>
      <c r="AI870">
        <v>6</v>
      </c>
      <c r="AJ870">
        <v>4</v>
      </c>
      <c r="AK870">
        <v>22</v>
      </c>
      <c r="AL870" t="s">
        <v>119</v>
      </c>
      <c r="AM870" t="s">
        <v>120</v>
      </c>
      <c r="AN870" t="s">
        <v>121</v>
      </c>
      <c r="AO870" t="s">
        <v>74</v>
      </c>
      <c r="AP870" t="s">
        <v>122</v>
      </c>
      <c r="AQ870" t="s">
        <v>74</v>
      </c>
      <c r="AR870" t="s">
        <v>123</v>
      </c>
      <c r="AS870" t="s">
        <v>124</v>
      </c>
      <c r="AT870" t="s">
        <v>16855</v>
      </c>
      <c r="AU870">
        <v>2021</v>
      </c>
      <c r="AV870">
        <v>8</v>
      </c>
      <c r="AW870" t="s">
        <v>74</v>
      </c>
      <c r="AX870" t="s">
        <v>74</v>
      </c>
      <c r="AY870" t="s">
        <v>74</v>
      </c>
      <c r="AZ870" t="s">
        <v>74</v>
      </c>
      <c r="BA870" t="s">
        <v>74</v>
      </c>
      <c r="BB870" t="s">
        <v>74</v>
      </c>
      <c r="BC870" t="s">
        <v>74</v>
      </c>
      <c r="BD870">
        <v>629470</v>
      </c>
      <c r="BE870" t="s">
        <v>16856</v>
      </c>
      <c r="BF870" t="str">
        <f>HYPERLINK("http://dx.doi.org/10.3389/fmars.2021.629470","http://dx.doi.org/10.3389/fmars.2021.629470")</f>
        <v>http://dx.doi.org/10.3389/fmars.2021.629470</v>
      </c>
      <c r="BG870" t="s">
        <v>74</v>
      </c>
      <c r="BH870" t="s">
        <v>74</v>
      </c>
      <c r="BI870">
        <v>12</v>
      </c>
      <c r="BJ870" t="s">
        <v>127</v>
      </c>
      <c r="BK870" t="s">
        <v>128</v>
      </c>
      <c r="BL870" t="s">
        <v>129</v>
      </c>
      <c r="BM870" t="s">
        <v>16857</v>
      </c>
      <c r="BN870" t="s">
        <v>74</v>
      </c>
      <c r="BO870" t="s">
        <v>1377</v>
      </c>
      <c r="BP870" t="s">
        <v>74</v>
      </c>
      <c r="BQ870" t="s">
        <v>74</v>
      </c>
      <c r="BR870" t="s">
        <v>102</v>
      </c>
      <c r="BS870" t="s">
        <v>16858</v>
      </c>
      <c r="BT870" t="str">
        <f>HYPERLINK("https%3A%2F%2Fwww.webofscience.com%2Fwos%2Fwoscc%2Ffull-record%2FWOS:000655656600001","View Full Record in Web of Science")</f>
        <v>View Full Record in Web of Science</v>
      </c>
    </row>
    <row r="871" spans="1:72" x14ac:dyDescent="0.15">
      <c r="A871" t="s">
        <v>72</v>
      </c>
      <c r="B871" t="s">
        <v>16859</v>
      </c>
      <c r="C871" t="s">
        <v>74</v>
      </c>
      <c r="D871" t="s">
        <v>74</v>
      </c>
      <c r="E871" t="s">
        <v>74</v>
      </c>
      <c r="F871" t="s">
        <v>16860</v>
      </c>
      <c r="G871" t="s">
        <v>74</v>
      </c>
      <c r="H871" t="s">
        <v>74</v>
      </c>
      <c r="I871" t="s">
        <v>16861</v>
      </c>
      <c r="J871" t="s">
        <v>13863</v>
      </c>
      <c r="K871" t="s">
        <v>74</v>
      </c>
      <c r="L871" t="s">
        <v>74</v>
      </c>
      <c r="M871" t="s">
        <v>78</v>
      </c>
      <c r="N871" t="s">
        <v>79</v>
      </c>
      <c r="O871" t="s">
        <v>74</v>
      </c>
      <c r="P871" t="s">
        <v>74</v>
      </c>
      <c r="Q871" t="s">
        <v>74</v>
      </c>
      <c r="R871" t="s">
        <v>74</v>
      </c>
      <c r="S871" t="s">
        <v>74</v>
      </c>
      <c r="T871" t="s">
        <v>16862</v>
      </c>
      <c r="U871" t="s">
        <v>16863</v>
      </c>
      <c r="V871" t="s">
        <v>16864</v>
      </c>
      <c r="W871" t="s">
        <v>16865</v>
      </c>
      <c r="X871" t="s">
        <v>16866</v>
      </c>
      <c r="Y871" t="s">
        <v>16867</v>
      </c>
      <c r="Z871" t="s">
        <v>16868</v>
      </c>
      <c r="AA871" t="s">
        <v>16869</v>
      </c>
      <c r="AB871" t="s">
        <v>16870</v>
      </c>
      <c r="AC871" t="s">
        <v>16871</v>
      </c>
      <c r="AD871" t="s">
        <v>16872</v>
      </c>
      <c r="AE871" t="s">
        <v>16873</v>
      </c>
      <c r="AF871" t="s">
        <v>74</v>
      </c>
      <c r="AG871">
        <v>69</v>
      </c>
      <c r="AH871">
        <v>1</v>
      </c>
      <c r="AI871">
        <v>1</v>
      </c>
      <c r="AJ871">
        <v>0</v>
      </c>
      <c r="AK871">
        <v>2</v>
      </c>
      <c r="AL871" t="s">
        <v>13872</v>
      </c>
      <c r="AM871" t="s">
        <v>13873</v>
      </c>
      <c r="AN871" t="s">
        <v>14670</v>
      </c>
      <c r="AO871" t="s">
        <v>13875</v>
      </c>
      <c r="AP871" t="s">
        <v>13876</v>
      </c>
      <c r="AQ871" t="s">
        <v>74</v>
      </c>
      <c r="AR871" t="s">
        <v>13863</v>
      </c>
      <c r="AS871" t="s">
        <v>13877</v>
      </c>
      <c r="AT871" t="s">
        <v>16855</v>
      </c>
      <c r="AU871">
        <v>2021</v>
      </c>
      <c r="AV871">
        <v>4969</v>
      </c>
      <c r="AW871">
        <v>3</v>
      </c>
      <c r="AX871" t="s">
        <v>74</v>
      </c>
      <c r="AY871" t="s">
        <v>74</v>
      </c>
      <c r="AZ871" t="s">
        <v>74</v>
      </c>
      <c r="BA871" t="s">
        <v>74</v>
      </c>
      <c r="BB871">
        <v>401</v>
      </c>
      <c r="BC871">
        <v>452</v>
      </c>
      <c r="BD871" t="s">
        <v>74</v>
      </c>
      <c r="BE871" t="s">
        <v>16874</v>
      </c>
      <c r="BF871" t="str">
        <f>HYPERLINK("http://dx.doi.org/10.11646/zootaxa.4969.3.1","http://dx.doi.org/10.11646/zootaxa.4969.3.1")</f>
        <v>http://dx.doi.org/10.11646/zootaxa.4969.3.1</v>
      </c>
      <c r="BG871" t="s">
        <v>74</v>
      </c>
      <c r="BH871" t="s">
        <v>74</v>
      </c>
      <c r="BI871">
        <v>52</v>
      </c>
      <c r="BJ871" t="s">
        <v>2197</v>
      </c>
      <c r="BK871" t="s">
        <v>128</v>
      </c>
      <c r="BL871" t="s">
        <v>2197</v>
      </c>
      <c r="BM871" t="s">
        <v>16875</v>
      </c>
      <c r="BN871">
        <v>34186921</v>
      </c>
      <c r="BO871" t="s">
        <v>74</v>
      </c>
      <c r="BP871" t="s">
        <v>74</v>
      </c>
      <c r="BQ871" t="s">
        <v>74</v>
      </c>
      <c r="BR871" t="s">
        <v>102</v>
      </c>
      <c r="BS871" t="s">
        <v>16876</v>
      </c>
      <c r="BT871" t="str">
        <f>HYPERLINK("https%3A%2F%2Fwww.webofscience.com%2Fwos%2Fwoscc%2Ffull-record%2FWOS:000655678500001","View Full Record in Web of Science")</f>
        <v>View Full Record in Web of Science</v>
      </c>
    </row>
    <row r="872" spans="1:72" x14ac:dyDescent="0.15">
      <c r="A872" t="s">
        <v>72</v>
      </c>
      <c r="B872" t="s">
        <v>16877</v>
      </c>
      <c r="C872" t="s">
        <v>74</v>
      </c>
      <c r="D872" t="s">
        <v>74</v>
      </c>
      <c r="E872" t="s">
        <v>74</v>
      </c>
      <c r="F872" t="s">
        <v>16878</v>
      </c>
      <c r="G872" t="s">
        <v>74</v>
      </c>
      <c r="H872" t="s">
        <v>74</v>
      </c>
      <c r="I872" t="s">
        <v>16879</v>
      </c>
      <c r="J872" t="s">
        <v>16880</v>
      </c>
      <c r="K872" t="s">
        <v>74</v>
      </c>
      <c r="L872" t="s">
        <v>74</v>
      </c>
      <c r="M872" t="s">
        <v>78</v>
      </c>
      <c r="N872" t="s">
        <v>79</v>
      </c>
      <c r="O872" t="s">
        <v>74</v>
      </c>
      <c r="P872" t="s">
        <v>74</v>
      </c>
      <c r="Q872" t="s">
        <v>74</v>
      </c>
      <c r="R872" t="s">
        <v>74</v>
      </c>
      <c r="S872" t="s">
        <v>74</v>
      </c>
      <c r="T872" t="s">
        <v>16881</v>
      </c>
      <c r="U872" t="s">
        <v>16882</v>
      </c>
      <c r="V872" t="s">
        <v>16883</v>
      </c>
      <c r="W872" t="s">
        <v>16884</v>
      </c>
      <c r="X872" t="s">
        <v>16885</v>
      </c>
      <c r="Y872" t="s">
        <v>16886</v>
      </c>
      <c r="Z872" t="s">
        <v>9540</v>
      </c>
      <c r="AA872" t="s">
        <v>16887</v>
      </c>
      <c r="AB872" t="s">
        <v>16888</v>
      </c>
      <c r="AC872" t="s">
        <v>16889</v>
      </c>
      <c r="AD872" t="s">
        <v>16890</v>
      </c>
      <c r="AE872" t="s">
        <v>16891</v>
      </c>
      <c r="AF872" t="s">
        <v>74</v>
      </c>
      <c r="AG872">
        <v>71</v>
      </c>
      <c r="AH872">
        <v>5</v>
      </c>
      <c r="AI872">
        <v>6</v>
      </c>
      <c r="AJ872">
        <v>0</v>
      </c>
      <c r="AK872">
        <v>2</v>
      </c>
      <c r="AL872" t="s">
        <v>649</v>
      </c>
      <c r="AM872" t="s">
        <v>650</v>
      </c>
      <c r="AN872" t="s">
        <v>651</v>
      </c>
      <c r="AO872" t="s">
        <v>16892</v>
      </c>
      <c r="AP872" t="s">
        <v>74</v>
      </c>
      <c r="AQ872" t="s">
        <v>74</v>
      </c>
      <c r="AR872" t="s">
        <v>16893</v>
      </c>
      <c r="AS872" t="s">
        <v>16894</v>
      </c>
      <c r="AT872" t="s">
        <v>16855</v>
      </c>
      <c r="AU872">
        <v>2021</v>
      </c>
      <c r="AV872">
        <v>10</v>
      </c>
      <c r="AW872" t="s">
        <v>74</v>
      </c>
      <c r="AX872" t="s">
        <v>74</v>
      </c>
      <c r="AY872" t="s">
        <v>74</v>
      </c>
      <c r="AZ872" t="s">
        <v>74</v>
      </c>
      <c r="BA872" t="s">
        <v>74</v>
      </c>
      <c r="BB872" t="s">
        <v>74</v>
      </c>
      <c r="BC872" t="s">
        <v>74</v>
      </c>
      <c r="BD872" t="s">
        <v>16895</v>
      </c>
      <c r="BE872" t="s">
        <v>16896</v>
      </c>
      <c r="BF872" t="str">
        <f>HYPERLINK("http://dx.doi.org/10.1017/jns.2021.27","http://dx.doi.org/10.1017/jns.2021.27")</f>
        <v>http://dx.doi.org/10.1017/jns.2021.27</v>
      </c>
      <c r="BG872" t="s">
        <v>74</v>
      </c>
      <c r="BH872" t="s">
        <v>74</v>
      </c>
      <c r="BI872">
        <v>15</v>
      </c>
      <c r="BJ872" t="s">
        <v>8479</v>
      </c>
      <c r="BK872" t="s">
        <v>1819</v>
      </c>
      <c r="BL872" t="s">
        <v>8479</v>
      </c>
      <c r="BM872" t="s">
        <v>16897</v>
      </c>
      <c r="BN872">
        <v>35401973</v>
      </c>
      <c r="BO872" t="s">
        <v>1353</v>
      </c>
      <c r="BP872" t="s">
        <v>74</v>
      </c>
      <c r="BQ872" t="s">
        <v>74</v>
      </c>
      <c r="BR872" t="s">
        <v>102</v>
      </c>
      <c r="BS872" t="s">
        <v>16898</v>
      </c>
      <c r="BT872" t="str">
        <f>HYPERLINK("https%3A%2F%2Fwww.webofscience.com%2Fwos%2Fwoscc%2Ffull-record%2FWOS:000649335600001","View Full Record in Web of Science")</f>
        <v>View Full Record in Web of Science</v>
      </c>
    </row>
    <row r="873" spans="1:72" x14ac:dyDescent="0.15">
      <c r="A873" t="s">
        <v>72</v>
      </c>
      <c r="B873" t="s">
        <v>16899</v>
      </c>
      <c r="C873" t="s">
        <v>74</v>
      </c>
      <c r="D873" t="s">
        <v>74</v>
      </c>
      <c r="E873" t="s">
        <v>74</v>
      </c>
      <c r="F873" t="s">
        <v>16900</v>
      </c>
      <c r="G873" t="s">
        <v>74</v>
      </c>
      <c r="H873" t="s">
        <v>74</v>
      </c>
      <c r="I873" t="s">
        <v>16901</v>
      </c>
      <c r="J873" t="s">
        <v>2862</v>
      </c>
      <c r="K873" t="s">
        <v>74</v>
      </c>
      <c r="L873" t="s">
        <v>74</v>
      </c>
      <c r="M873" t="s">
        <v>78</v>
      </c>
      <c r="N873" t="s">
        <v>79</v>
      </c>
      <c r="O873" t="s">
        <v>74</v>
      </c>
      <c r="P873" t="s">
        <v>74</v>
      </c>
      <c r="Q873" t="s">
        <v>74</v>
      </c>
      <c r="R873" t="s">
        <v>74</v>
      </c>
      <c r="S873" t="s">
        <v>74</v>
      </c>
      <c r="T873" t="s">
        <v>16902</v>
      </c>
      <c r="U873" t="s">
        <v>16903</v>
      </c>
      <c r="V873" t="s">
        <v>16904</v>
      </c>
      <c r="W873" t="s">
        <v>16905</v>
      </c>
      <c r="X873" t="s">
        <v>16906</v>
      </c>
      <c r="Y873" t="s">
        <v>16907</v>
      </c>
      <c r="Z873" t="s">
        <v>16908</v>
      </c>
      <c r="AA873" t="s">
        <v>16909</v>
      </c>
      <c r="AB873" t="s">
        <v>16910</v>
      </c>
      <c r="AC873" t="s">
        <v>16911</v>
      </c>
      <c r="AD873" t="s">
        <v>16912</v>
      </c>
      <c r="AE873" t="s">
        <v>16913</v>
      </c>
      <c r="AF873" t="s">
        <v>74</v>
      </c>
      <c r="AG873">
        <v>93</v>
      </c>
      <c r="AH873">
        <v>9</v>
      </c>
      <c r="AI873">
        <v>9</v>
      </c>
      <c r="AJ873">
        <v>2</v>
      </c>
      <c r="AK873">
        <v>12</v>
      </c>
      <c r="AL873" t="s">
        <v>450</v>
      </c>
      <c r="AM873" t="s">
        <v>650</v>
      </c>
      <c r="AN873" t="s">
        <v>1957</v>
      </c>
      <c r="AO873" t="s">
        <v>2874</v>
      </c>
      <c r="AP873" t="s">
        <v>2875</v>
      </c>
      <c r="AQ873" t="s">
        <v>74</v>
      </c>
      <c r="AR873" t="s">
        <v>2876</v>
      </c>
      <c r="AS873" t="s">
        <v>2877</v>
      </c>
      <c r="AT873" t="s">
        <v>4571</v>
      </c>
      <c r="AU873">
        <v>2021</v>
      </c>
      <c r="AV873">
        <v>44</v>
      </c>
      <c r="AW873">
        <v>6</v>
      </c>
      <c r="AX873" t="s">
        <v>74</v>
      </c>
      <c r="AY873" t="s">
        <v>74</v>
      </c>
      <c r="AZ873" t="s">
        <v>74</v>
      </c>
      <c r="BA873" t="s">
        <v>74</v>
      </c>
      <c r="BB873">
        <v>1175</v>
      </c>
      <c r="BC873">
        <v>1193</v>
      </c>
      <c r="BD873" t="s">
        <v>74</v>
      </c>
      <c r="BE873" t="s">
        <v>16914</v>
      </c>
      <c r="BF873" t="str">
        <f>HYPERLINK("http://dx.doi.org/10.1007/s00300-021-02868-7","http://dx.doi.org/10.1007/s00300-021-02868-7")</f>
        <v>http://dx.doi.org/10.1007/s00300-021-02868-7</v>
      </c>
      <c r="BG873" t="s">
        <v>74</v>
      </c>
      <c r="BH873" t="s">
        <v>14415</v>
      </c>
      <c r="BI873">
        <v>19</v>
      </c>
      <c r="BJ873" t="s">
        <v>1883</v>
      </c>
      <c r="BK873" t="s">
        <v>128</v>
      </c>
      <c r="BL873" t="s">
        <v>207</v>
      </c>
      <c r="BM873" t="s">
        <v>16915</v>
      </c>
      <c r="BN873" t="s">
        <v>74</v>
      </c>
      <c r="BO873" t="s">
        <v>1154</v>
      </c>
      <c r="BP873" t="s">
        <v>74</v>
      </c>
      <c r="BQ873" t="s">
        <v>74</v>
      </c>
      <c r="BR873" t="s">
        <v>102</v>
      </c>
      <c r="BS873" t="s">
        <v>16916</v>
      </c>
      <c r="BT873" t="str">
        <f>HYPERLINK("https%3A%2F%2Fwww.webofscience.com%2Fwos%2Fwoscc%2Ffull-record%2FWOS:000650122500001","View Full Record in Web of Science")</f>
        <v>View Full Record in Web of Science</v>
      </c>
    </row>
    <row r="874" spans="1:72" x14ac:dyDescent="0.15">
      <c r="A874" t="s">
        <v>72</v>
      </c>
      <c r="B874" t="s">
        <v>16917</v>
      </c>
      <c r="C874" t="s">
        <v>74</v>
      </c>
      <c r="D874" t="s">
        <v>74</v>
      </c>
      <c r="E874" t="s">
        <v>74</v>
      </c>
      <c r="F874" t="s">
        <v>16918</v>
      </c>
      <c r="G874" t="s">
        <v>74</v>
      </c>
      <c r="H874" t="s">
        <v>74</v>
      </c>
      <c r="I874" t="s">
        <v>16919</v>
      </c>
      <c r="J874" t="s">
        <v>5717</v>
      </c>
      <c r="K874" t="s">
        <v>74</v>
      </c>
      <c r="L874" t="s">
        <v>74</v>
      </c>
      <c r="M874" t="s">
        <v>78</v>
      </c>
      <c r="N874" t="s">
        <v>79</v>
      </c>
      <c r="O874" t="s">
        <v>74</v>
      </c>
      <c r="P874" t="s">
        <v>74</v>
      </c>
      <c r="Q874" t="s">
        <v>74</v>
      </c>
      <c r="R874" t="s">
        <v>74</v>
      </c>
      <c r="S874" t="s">
        <v>74</v>
      </c>
      <c r="T874" t="s">
        <v>16920</v>
      </c>
      <c r="U874" t="s">
        <v>16921</v>
      </c>
      <c r="V874" t="s">
        <v>16922</v>
      </c>
      <c r="W874" t="s">
        <v>16923</v>
      </c>
      <c r="X874" t="s">
        <v>16924</v>
      </c>
      <c r="Y874" t="s">
        <v>16925</v>
      </c>
      <c r="Z874" t="s">
        <v>16926</v>
      </c>
      <c r="AA874" t="s">
        <v>16927</v>
      </c>
      <c r="AB874" t="s">
        <v>16928</v>
      </c>
      <c r="AC874" t="s">
        <v>16929</v>
      </c>
      <c r="AD874" t="s">
        <v>16930</v>
      </c>
      <c r="AE874" t="s">
        <v>16931</v>
      </c>
      <c r="AF874" t="s">
        <v>74</v>
      </c>
      <c r="AG874">
        <v>38</v>
      </c>
      <c r="AH874">
        <v>5</v>
      </c>
      <c r="AI874">
        <v>6</v>
      </c>
      <c r="AJ874">
        <v>0</v>
      </c>
      <c r="AK874">
        <v>22</v>
      </c>
      <c r="AL874" t="s">
        <v>197</v>
      </c>
      <c r="AM874" t="s">
        <v>198</v>
      </c>
      <c r="AN874" t="s">
        <v>199</v>
      </c>
      <c r="AO874" t="s">
        <v>5729</v>
      </c>
      <c r="AP874" t="s">
        <v>5730</v>
      </c>
      <c r="AQ874" t="s">
        <v>74</v>
      </c>
      <c r="AR874" t="s">
        <v>5731</v>
      </c>
      <c r="AS874" t="s">
        <v>5732</v>
      </c>
      <c r="AT874" t="s">
        <v>430</v>
      </c>
      <c r="AU874">
        <v>2021</v>
      </c>
      <c r="AV874">
        <v>29</v>
      </c>
      <c r="AW874">
        <v>5</v>
      </c>
      <c r="AX874" t="s">
        <v>74</v>
      </c>
      <c r="AY874" t="s">
        <v>74</v>
      </c>
      <c r="AZ874" t="s">
        <v>74</v>
      </c>
      <c r="BA874" t="s">
        <v>74</v>
      </c>
      <c r="BB874" t="s">
        <v>74</v>
      </c>
      <c r="BC874" t="s">
        <v>74</v>
      </c>
      <c r="BD874" t="s">
        <v>16932</v>
      </c>
      <c r="BE874" t="s">
        <v>16933</v>
      </c>
      <c r="BF874" t="str">
        <f>HYPERLINK("http://dx.doi.org/10.1111/rec.13388","http://dx.doi.org/10.1111/rec.13388")</f>
        <v>http://dx.doi.org/10.1111/rec.13388</v>
      </c>
      <c r="BG874" t="s">
        <v>74</v>
      </c>
      <c r="BH874" t="s">
        <v>14415</v>
      </c>
      <c r="BI874">
        <v>9</v>
      </c>
      <c r="BJ874" t="s">
        <v>1462</v>
      </c>
      <c r="BK874" t="s">
        <v>128</v>
      </c>
      <c r="BL874" t="s">
        <v>263</v>
      </c>
      <c r="BM874" t="s">
        <v>5735</v>
      </c>
      <c r="BN874" t="s">
        <v>74</v>
      </c>
      <c r="BO874" t="s">
        <v>238</v>
      </c>
      <c r="BP874" t="s">
        <v>74</v>
      </c>
      <c r="BQ874" t="s">
        <v>74</v>
      </c>
      <c r="BR874" t="s">
        <v>102</v>
      </c>
      <c r="BS874" t="s">
        <v>16934</v>
      </c>
      <c r="BT874" t="str">
        <f>HYPERLINK("https%3A%2F%2Fwww.webofscience.com%2Fwos%2Fwoscc%2Ffull-record%2FWOS:000649435600001","View Full Record in Web of Science")</f>
        <v>View Full Record in Web of Science</v>
      </c>
    </row>
    <row r="875" spans="1:72" x14ac:dyDescent="0.15">
      <c r="A875" t="s">
        <v>72</v>
      </c>
      <c r="B875" t="s">
        <v>16935</v>
      </c>
      <c r="C875" t="s">
        <v>74</v>
      </c>
      <c r="D875" t="s">
        <v>74</v>
      </c>
      <c r="E875" t="s">
        <v>74</v>
      </c>
      <c r="F875" t="s">
        <v>16936</v>
      </c>
      <c r="G875" t="s">
        <v>74</v>
      </c>
      <c r="H875" t="s">
        <v>74</v>
      </c>
      <c r="I875" t="s">
        <v>16937</v>
      </c>
      <c r="J875" t="s">
        <v>3187</v>
      </c>
      <c r="K875" t="s">
        <v>74</v>
      </c>
      <c r="L875" t="s">
        <v>74</v>
      </c>
      <c r="M875" t="s">
        <v>78</v>
      </c>
      <c r="N875" t="s">
        <v>79</v>
      </c>
      <c r="O875" t="s">
        <v>74</v>
      </c>
      <c r="P875" t="s">
        <v>74</v>
      </c>
      <c r="Q875" t="s">
        <v>74</v>
      </c>
      <c r="R875" t="s">
        <v>74</v>
      </c>
      <c r="S875" t="s">
        <v>74</v>
      </c>
      <c r="T875" t="s">
        <v>16938</v>
      </c>
      <c r="U875" t="s">
        <v>16939</v>
      </c>
      <c r="V875" t="s">
        <v>16940</v>
      </c>
      <c r="W875" t="s">
        <v>16941</v>
      </c>
      <c r="X875" t="s">
        <v>16942</v>
      </c>
      <c r="Y875" t="s">
        <v>16943</v>
      </c>
      <c r="Z875" t="s">
        <v>16944</v>
      </c>
      <c r="AA875" t="s">
        <v>16945</v>
      </c>
      <c r="AB875" t="s">
        <v>16946</v>
      </c>
      <c r="AC875" t="s">
        <v>16947</v>
      </c>
      <c r="AD875" t="s">
        <v>16948</v>
      </c>
      <c r="AE875" t="s">
        <v>16949</v>
      </c>
      <c r="AF875" t="s">
        <v>74</v>
      </c>
      <c r="AG875">
        <v>92</v>
      </c>
      <c r="AH875">
        <v>4</v>
      </c>
      <c r="AI875">
        <v>4</v>
      </c>
      <c r="AJ875">
        <v>2</v>
      </c>
      <c r="AK875">
        <v>16</v>
      </c>
      <c r="AL875" t="s">
        <v>89</v>
      </c>
      <c r="AM875" t="s">
        <v>90</v>
      </c>
      <c r="AN875" t="s">
        <v>91</v>
      </c>
      <c r="AO875" t="s">
        <v>3200</v>
      </c>
      <c r="AP875" t="s">
        <v>3201</v>
      </c>
      <c r="AQ875" t="s">
        <v>74</v>
      </c>
      <c r="AR875" t="s">
        <v>3202</v>
      </c>
      <c r="AS875" t="s">
        <v>3203</v>
      </c>
      <c r="AT875" t="s">
        <v>430</v>
      </c>
      <c r="AU875">
        <v>2021</v>
      </c>
      <c r="AV875">
        <v>202</v>
      </c>
      <c r="AW875" t="s">
        <v>74</v>
      </c>
      <c r="AX875" t="s">
        <v>74</v>
      </c>
      <c r="AY875" t="s">
        <v>74</v>
      </c>
      <c r="AZ875" t="s">
        <v>74</v>
      </c>
      <c r="BA875" t="s">
        <v>74</v>
      </c>
      <c r="BB875" t="s">
        <v>74</v>
      </c>
      <c r="BC875" t="s">
        <v>74</v>
      </c>
      <c r="BD875">
        <v>103510</v>
      </c>
      <c r="BE875" t="s">
        <v>16950</v>
      </c>
      <c r="BF875" t="str">
        <f>HYPERLINK("http://dx.doi.org/10.1016/j.gloplacha.2021.103510","http://dx.doi.org/10.1016/j.gloplacha.2021.103510")</f>
        <v>http://dx.doi.org/10.1016/j.gloplacha.2021.103510</v>
      </c>
      <c r="BG875" t="s">
        <v>74</v>
      </c>
      <c r="BH875" t="s">
        <v>14415</v>
      </c>
      <c r="BI875">
        <v>13</v>
      </c>
      <c r="BJ875" t="s">
        <v>151</v>
      </c>
      <c r="BK875" t="s">
        <v>128</v>
      </c>
      <c r="BL875" t="s">
        <v>152</v>
      </c>
      <c r="BM875" t="s">
        <v>16951</v>
      </c>
      <c r="BN875" t="s">
        <v>74</v>
      </c>
      <c r="BO875" t="s">
        <v>74</v>
      </c>
      <c r="BP875" t="s">
        <v>74</v>
      </c>
      <c r="BQ875" t="s">
        <v>74</v>
      </c>
      <c r="BR875" t="s">
        <v>102</v>
      </c>
      <c r="BS875" t="s">
        <v>16952</v>
      </c>
      <c r="BT875" t="str">
        <f>HYPERLINK("https%3A%2F%2Fwww.webofscience.com%2Fwos%2Fwoscc%2Ffull-record%2FWOS:000663730800001","View Full Record in Web of Science")</f>
        <v>View Full Record in Web of Science</v>
      </c>
    </row>
    <row r="876" spans="1:72" x14ac:dyDescent="0.15">
      <c r="A876" t="s">
        <v>72</v>
      </c>
      <c r="B876" t="s">
        <v>16953</v>
      </c>
      <c r="C876" t="s">
        <v>74</v>
      </c>
      <c r="D876" t="s">
        <v>74</v>
      </c>
      <c r="E876" t="s">
        <v>74</v>
      </c>
      <c r="F876" t="s">
        <v>16954</v>
      </c>
      <c r="G876" t="s">
        <v>74</v>
      </c>
      <c r="H876" t="s">
        <v>74</v>
      </c>
      <c r="I876" t="s">
        <v>16955</v>
      </c>
      <c r="J876" t="s">
        <v>4055</v>
      </c>
      <c r="K876" t="s">
        <v>74</v>
      </c>
      <c r="L876" t="s">
        <v>74</v>
      </c>
      <c r="M876" t="s">
        <v>78</v>
      </c>
      <c r="N876" t="s">
        <v>79</v>
      </c>
      <c r="O876" t="s">
        <v>74</v>
      </c>
      <c r="P876" t="s">
        <v>74</v>
      </c>
      <c r="Q876" t="s">
        <v>74</v>
      </c>
      <c r="R876" t="s">
        <v>74</v>
      </c>
      <c r="S876" t="s">
        <v>74</v>
      </c>
      <c r="T876" t="s">
        <v>74</v>
      </c>
      <c r="U876" t="s">
        <v>16956</v>
      </c>
      <c r="V876" t="s">
        <v>16957</v>
      </c>
      <c r="W876" t="s">
        <v>16958</v>
      </c>
      <c r="X876" t="s">
        <v>7184</v>
      </c>
      <c r="Y876" t="s">
        <v>16959</v>
      </c>
      <c r="Z876" t="s">
        <v>16960</v>
      </c>
      <c r="AA876" t="s">
        <v>16961</v>
      </c>
      <c r="AB876" t="s">
        <v>16962</v>
      </c>
      <c r="AC876" t="s">
        <v>16963</v>
      </c>
      <c r="AD876" t="s">
        <v>16964</v>
      </c>
      <c r="AE876" t="s">
        <v>16965</v>
      </c>
      <c r="AF876" t="s">
        <v>74</v>
      </c>
      <c r="AG876">
        <v>40</v>
      </c>
      <c r="AH876">
        <v>24</v>
      </c>
      <c r="AI876">
        <v>28</v>
      </c>
      <c r="AJ876">
        <v>4</v>
      </c>
      <c r="AK876">
        <v>13</v>
      </c>
      <c r="AL876" t="s">
        <v>4067</v>
      </c>
      <c r="AM876" t="s">
        <v>396</v>
      </c>
      <c r="AN876" t="s">
        <v>397</v>
      </c>
      <c r="AO876" t="s">
        <v>4068</v>
      </c>
      <c r="AP876" t="s">
        <v>74</v>
      </c>
      <c r="AQ876" t="s">
        <v>74</v>
      </c>
      <c r="AR876" t="s">
        <v>4069</v>
      </c>
      <c r="AS876" t="s">
        <v>4070</v>
      </c>
      <c r="AT876" t="s">
        <v>16966</v>
      </c>
      <c r="AU876">
        <v>2021</v>
      </c>
      <c r="AV876">
        <v>12</v>
      </c>
      <c r="AW876">
        <v>1</v>
      </c>
      <c r="AX876" t="s">
        <v>74</v>
      </c>
      <c r="AY876" t="s">
        <v>74</v>
      </c>
      <c r="AZ876" t="s">
        <v>74</v>
      </c>
      <c r="BA876" t="s">
        <v>74</v>
      </c>
      <c r="BB876" t="s">
        <v>74</v>
      </c>
      <c r="BC876" t="s">
        <v>74</v>
      </c>
      <c r="BD876">
        <v>2701</v>
      </c>
      <c r="BE876" t="s">
        <v>16967</v>
      </c>
      <c r="BF876" t="str">
        <f>HYPERLINK("http://dx.doi.org/10.1038/s41467-021-23070-7","http://dx.doi.org/10.1038/s41467-021-23070-7")</f>
        <v>http://dx.doi.org/10.1038/s41467-021-23070-7</v>
      </c>
      <c r="BG876" t="s">
        <v>74</v>
      </c>
      <c r="BH876" t="s">
        <v>74</v>
      </c>
      <c r="BI876">
        <v>9</v>
      </c>
      <c r="BJ876" t="s">
        <v>2609</v>
      </c>
      <c r="BK876" t="s">
        <v>128</v>
      </c>
      <c r="BL876" t="s">
        <v>2610</v>
      </c>
      <c r="BM876" t="s">
        <v>16968</v>
      </c>
      <c r="BN876">
        <v>33976208</v>
      </c>
      <c r="BO876" t="s">
        <v>1377</v>
      </c>
      <c r="BP876" t="s">
        <v>74</v>
      </c>
      <c r="BQ876" t="s">
        <v>74</v>
      </c>
      <c r="BR876" t="s">
        <v>102</v>
      </c>
      <c r="BS876" t="s">
        <v>16969</v>
      </c>
      <c r="BT876" t="str">
        <f>HYPERLINK("https%3A%2F%2Fwww.webofscience.com%2Fwos%2Fwoscc%2Ffull-record%2FWOS:000658724200016","View Full Record in Web of Science")</f>
        <v>View Full Record in Web of Science</v>
      </c>
    </row>
    <row r="877" spans="1:72" x14ac:dyDescent="0.15">
      <c r="A877" t="s">
        <v>72</v>
      </c>
      <c r="B877" t="s">
        <v>16970</v>
      </c>
      <c r="C877" t="s">
        <v>74</v>
      </c>
      <c r="D877" t="s">
        <v>74</v>
      </c>
      <c r="E877" t="s">
        <v>74</v>
      </c>
      <c r="F877" t="s">
        <v>16971</v>
      </c>
      <c r="G877" t="s">
        <v>74</v>
      </c>
      <c r="H877" t="s">
        <v>74</v>
      </c>
      <c r="I877" t="s">
        <v>16972</v>
      </c>
      <c r="J877" t="s">
        <v>16973</v>
      </c>
      <c r="K877" t="s">
        <v>74</v>
      </c>
      <c r="L877" t="s">
        <v>74</v>
      </c>
      <c r="M877" t="s">
        <v>78</v>
      </c>
      <c r="N877" t="s">
        <v>79</v>
      </c>
      <c r="O877" t="s">
        <v>74</v>
      </c>
      <c r="P877" t="s">
        <v>74</v>
      </c>
      <c r="Q877" t="s">
        <v>74</v>
      </c>
      <c r="R877" t="s">
        <v>74</v>
      </c>
      <c r="S877" t="s">
        <v>74</v>
      </c>
      <c r="T877" t="s">
        <v>16974</v>
      </c>
      <c r="U877" t="s">
        <v>16975</v>
      </c>
      <c r="V877" t="s">
        <v>16976</v>
      </c>
      <c r="W877" t="s">
        <v>16977</v>
      </c>
      <c r="X877" t="s">
        <v>16978</v>
      </c>
      <c r="Y877" t="s">
        <v>16979</v>
      </c>
      <c r="Z877" t="s">
        <v>16980</v>
      </c>
      <c r="AA877" t="s">
        <v>16981</v>
      </c>
      <c r="AB877" t="s">
        <v>74</v>
      </c>
      <c r="AC877" t="s">
        <v>16982</v>
      </c>
      <c r="AD877" t="s">
        <v>16983</v>
      </c>
      <c r="AE877" t="s">
        <v>16984</v>
      </c>
      <c r="AF877" t="s">
        <v>74</v>
      </c>
      <c r="AG877">
        <v>29</v>
      </c>
      <c r="AH877">
        <v>1</v>
      </c>
      <c r="AI877">
        <v>1</v>
      </c>
      <c r="AJ877">
        <v>0</v>
      </c>
      <c r="AK877">
        <v>12</v>
      </c>
      <c r="AL877" t="s">
        <v>450</v>
      </c>
      <c r="AM877" t="s">
        <v>451</v>
      </c>
      <c r="AN877" t="s">
        <v>452</v>
      </c>
      <c r="AO877" t="s">
        <v>16985</v>
      </c>
      <c r="AP877" t="s">
        <v>16986</v>
      </c>
      <c r="AQ877" t="s">
        <v>74</v>
      </c>
      <c r="AR877" t="s">
        <v>16987</v>
      </c>
      <c r="AS877" t="s">
        <v>16988</v>
      </c>
      <c r="AT877" t="s">
        <v>430</v>
      </c>
      <c r="AU877">
        <v>2021</v>
      </c>
      <c r="AV877">
        <v>114</v>
      </c>
      <c r="AW877">
        <v>7</v>
      </c>
      <c r="AX877" t="s">
        <v>74</v>
      </c>
      <c r="AY877" t="s">
        <v>74</v>
      </c>
      <c r="AZ877" t="s">
        <v>74</v>
      </c>
      <c r="BA877" t="s">
        <v>74</v>
      </c>
      <c r="BB877">
        <v>1107</v>
      </c>
      <c r="BC877">
        <v>1115</v>
      </c>
      <c r="BD877" t="s">
        <v>74</v>
      </c>
      <c r="BE877" t="s">
        <v>16989</v>
      </c>
      <c r="BF877" t="str">
        <f>HYPERLINK("http://dx.doi.org/10.1007/s10482-021-01581-z","http://dx.doi.org/10.1007/s10482-021-01581-z")</f>
        <v>http://dx.doi.org/10.1007/s10482-021-01581-z</v>
      </c>
      <c r="BG877" t="s">
        <v>74</v>
      </c>
      <c r="BH877" t="s">
        <v>14415</v>
      </c>
      <c r="BI877">
        <v>9</v>
      </c>
      <c r="BJ877" t="s">
        <v>1499</v>
      </c>
      <c r="BK877" t="s">
        <v>128</v>
      </c>
      <c r="BL877" t="s">
        <v>1499</v>
      </c>
      <c r="BM877" t="s">
        <v>16990</v>
      </c>
      <c r="BN877">
        <v>33973094</v>
      </c>
      <c r="BO877" t="s">
        <v>74</v>
      </c>
      <c r="BP877" t="s">
        <v>74</v>
      </c>
      <c r="BQ877" t="s">
        <v>74</v>
      </c>
      <c r="BR877" t="s">
        <v>102</v>
      </c>
      <c r="BS877" t="s">
        <v>16991</v>
      </c>
      <c r="BT877" t="str">
        <f>HYPERLINK("https%3A%2F%2Fwww.webofscience.com%2Fwos%2Fwoscc%2Ffull-record%2FWOS:000648821000001","View Full Record in Web of Science")</f>
        <v>View Full Record in Web of Science</v>
      </c>
    </row>
    <row r="878" spans="1:72" x14ac:dyDescent="0.15">
      <c r="A878" t="s">
        <v>72</v>
      </c>
      <c r="B878" t="s">
        <v>16992</v>
      </c>
      <c r="C878" t="s">
        <v>74</v>
      </c>
      <c r="D878" t="s">
        <v>74</v>
      </c>
      <c r="E878" t="s">
        <v>74</v>
      </c>
      <c r="F878" t="s">
        <v>16993</v>
      </c>
      <c r="G878" t="s">
        <v>74</v>
      </c>
      <c r="H878" t="s">
        <v>74</v>
      </c>
      <c r="I878" t="s">
        <v>16994</v>
      </c>
      <c r="J878" t="s">
        <v>2396</v>
      </c>
      <c r="K878" t="s">
        <v>74</v>
      </c>
      <c r="L878" t="s">
        <v>74</v>
      </c>
      <c r="M878" t="s">
        <v>78</v>
      </c>
      <c r="N878" t="s">
        <v>79</v>
      </c>
      <c r="O878" t="s">
        <v>74</v>
      </c>
      <c r="P878" t="s">
        <v>74</v>
      </c>
      <c r="Q878" t="s">
        <v>74</v>
      </c>
      <c r="R878" t="s">
        <v>74</v>
      </c>
      <c r="S878" t="s">
        <v>74</v>
      </c>
      <c r="T878" t="s">
        <v>74</v>
      </c>
      <c r="U878" t="s">
        <v>16995</v>
      </c>
      <c r="V878" t="s">
        <v>16996</v>
      </c>
      <c r="W878" t="s">
        <v>16997</v>
      </c>
      <c r="X878" t="s">
        <v>16998</v>
      </c>
      <c r="Y878" t="s">
        <v>16999</v>
      </c>
      <c r="Z878" t="s">
        <v>17000</v>
      </c>
      <c r="AA878" t="s">
        <v>17001</v>
      </c>
      <c r="AB878" t="s">
        <v>17002</v>
      </c>
      <c r="AC878" t="s">
        <v>17003</v>
      </c>
      <c r="AD878" t="s">
        <v>17004</v>
      </c>
      <c r="AE878" t="s">
        <v>17005</v>
      </c>
      <c r="AF878" t="s">
        <v>74</v>
      </c>
      <c r="AG878">
        <v>58</v>
      </c>
      <c r="AH878">
        <v>1</v>
      </c>
      <c r="AI878">
        <v>1</v>
      </c>
      <c r="AJ878">
        <v>1</v>
      </c>
      <c r="AK878">
        <v>8</v>
      </c>
      <c r="AL878" t="s">
        <v>143</v>
      </c>
      <c r="AM878" t="s">
        <v>144</v>
      </c>
      <c r="AN878" t="s">
        <v>145</v>
      </c>
      <c r="AO878" t="s">
        <v>2408</v>
      </c>
      <c r="AP878" t="s">
        <v>2409</v>
      </c>
      <c r="AQ878" t="s">
        <v>74</v>
      </c>
      <c r="AR878" t="s">
        <v>2396</v>
      </c>
      <c r="AS878" t="s">
        <v>2410</v>
      </c>
      <c r="AT878" t="s">
        <v>17006</v>
      </c>
      <c r="AU878">
        <v>2021</v>
      </c>
      <c r="AV878">
        <v>15</v>
      </c>
      <c r="AW878">
        <v>5</v>
      </c>
      <c r="AX878" t="s">
        <v>74</v>
      </c>
      <c r="AY878" t="s">
        <v>74</v>
      </c>
      <c r="AZ878" t="s">
        <v>74</v>
      </c>
      <c r="BA878" t="s">
        <v>74</v>
      </c>
      <c r="BB878">
        <v>2235</v>
      </c>
      <c r="BC878">
        <v>2250</v>
      </c>
      <c r="BD878" t="s">
        <v>74</v>
      </c>
      <c r="BE878" t="s">
        <v>17007</v>
      </c>
      <c r="BF878" t="str">
        <f>HYPERLINK("http://dx.doi.org/10.5194/tc-15-2235-2021","http://dx.doi.org/10.5194/tc-15-2235-2021")</f>
        <v>http://dx.doi.org/10.5194/tc-15-2235-2021</v>
      </c>
      <c r="BG878" t="s">
        <v>74</v>
      </c>
      <c r="BH878" t="s">
        <v>74</v>
      </c>
      <c r="BI878">
        <v>16</v>
      </c>
      <c r="BJ878" t="s">
        <v>151</v>
      </c>
      <c r="BK878" t="s">
        <v>128</v>
      </c>
      <c r="BL878" t="s">
        <v>152</v>
      </c>
      <c r="BM878" t="s">
        <v>17008</v>
      </c>
      <c r="BN878" t="s">
        <v>74</v>
      </c>
      <c r="BO878" t="s">
        <v>2630</v>
      </c>
      <c r="BP878" t="s">
        <v>74</v>
      </c>
      <c r="BQ878" t="s">
        <v>74</v>
      </c>
      <c r="BR878" t="s">
        <v>102</v>
      </c>
      <c r="BS878" t="s">
        <v>17009</v>
      </c>
      <c r="BT878" t="str">
        <f>HYPERLINK("https%3A%2F%2Fwww.webofscience.com%2Fwos%2Fwoscc%2Ffull-record%2FWOS:000651042300002","View Full Record in Web of Science")</f>
        <v>View Full Record in Web of Science</v>
      </c>
    </row>
    <row r="879" spans="1:72" x14ac:dyDescent="0.15">
      <c r="A879" t="s">
        <v>72</v>
      </c>
      <c r="B879" t="s">
        <v>17010</v>
      </c>
      <c r="C879" t="s">
        <v>74</v>
      </c>
      <c r="D879" t="s">
        <v>74</v>
      </c>
      <c r="E879" t="s">
        <v>74</v>
      </c>
      <c r="F879" t="s">
        <v>17011</v>
      </c>
      <c r="G879" t="s">
        <v>74</v>
      </c>
      <c r="H879" t="s">
        <v>74</v>
      </c>
      <c r="I879" t="s">
        <v>17012</v>
      </c>
      <c r="J879" t="s">
        <v>17013</v>
      </c>
      <c r="K879" t="s">
        <v>74</v>
      </c>
      <c r="L879" t="s">
        <v>74</v>
      </c>
      <c r="M879" t="s">
        <v>78</v>
      </c>
      <c r="N879" t="s">
        <v>79</v>
      </c>
      <c r="O879" t="s">
        <v>74</v>
      </c>
      <c r="P879" t="s">
        <v>74</v>
      </c>
      <c r="Q879" t="s">
        <v>74</v>
      </c>
      <c r="R879" t="s">
        <v>74</v>
      </c>
      <c r="S879" t="s">
        <v>74</v>
      </c>
      <c r="T879" t="s">
        <v>17014</v>
      </c>
      <c r="U879" t="s">
        <v>17015</v>
      </c>
      <c r="V879" t="s">
        <v>17016</v>
      </c>
      <c r="W879" t="s">
        <v>17017</v>
      </c>
      <c r="X879" t="s">
        <v>6589</v>
      </c>
      <c r="Y879" t="s">
        <v>17018</v>
      </c>
      <c r="Z879" t="s">
        <v>17019</v>
      </c>
      <c r="AA879" t="s">
        <v>17020</v>
      </c>
      <c r="AB879" t="s">
        <v>17021</v>
      </c>
      <c r="AC879" t="s">
        <v>17022</v>
      </c>
      <c r="AD879" t="s">
        <v>17023</v>
      </c>
      <c r="AE879" t="s">
        <v>17024</v>
      </c>
      <c r="AF879" t="s">
        <v>74</v>
      </c>
      <c r="AG879">
        <v>81</v>
      </c>
      <c r="AH879">
        <v>3</v>
      </c>
      <c r="AI879">
        <v>4</v>
      </c>
      <c r="AJ879">
        <v>0</v>
      </c>
      <c r="AK879">
        <v>8</v>
      </c>
      <c r="AL879" t="s">
        <v>17025</v>
      </c>
      <c r="AM879" t="s">
        <v>368</v>
      </c>
      <c r="AN879" t="s">
        <v>17026</v>
      </c>
      <c r="AO879" t="s">
        <v>17027</v>
      </c>
      <c r="AP879" t="s">
        <v>74</v>
      </c>
      <c r="AQ879" t="s">
        <v>74</v>
      </c>
      <c r="AR879" t="s">
        <v>17013</v>
      </c>
      <c r="AS879" t="s">
        <v>17028</v>
      </c>
      <c r="AT879" t="s">
        <v>17006</v>
      </c>
      <c r="AU879">
        <v>2021</v>
      </c>
      <c r="AV879">
        <v>9</v>
      </c>
      <c r="AW879" t="s">
        <v>74</v>
      </c>
      <c r="AX879" t="s">
        <v>74</v>
      </c>
      <c r="AY879" t="s">
        <v>74</v>
      </c>
      <c r="AZ879" t="s">
        <v>74</v>
      </c>
      <c r="BA879" t="s">
        <v>74</v>
      </c>
      <c r="BB879" t="s">
        <v>74</v>
      </c>
      <c r="BC879" t="s">
        <v>74</v>
      </c>
      <c r="BD879" t="s">
        <v>17029</v>
      </c>
      <c r="BE879" t="s">
        <v>17030</v>
      </c>
      <c r="BF879" t="str">
        <f>HYPERLINK("http://dx.doi.org/10.7717/peerj.11411","http://dx.doi.org/10.7717/peerj.11411")</f>
        <v>http://dx.doi.org/10.7717/peerj.11411</v>
      </c>
      <c r="BG879" t="s">
        <v>74</v>
      </c>
      <c r="BH879" t="s">
        <v>74</v>
      </c>
      <c r="BI879">
        <v>35</v>
      </c>
      <c r="BJ879" t="s">
        <v>2609</v>
      </c>
      <c r="BK879" t="s">
        <v>128</v>
      </c>
      <c r="BL879" t="s">
        <v>2610</v>
      </c>
      <c r="BM879" t="s">
        <v>17031</v>
      </c>
      <c r="BN879">
        <v>34026363</v>
      </c>
      <c r="BO879" t="s">
        <v>1377</v>
      </c>
      <c r="BP879" t="s">
        <v>74</v>
      </c>
      <c r="BQ879" t="s">
        <v>74</v>
      </c>
      <c r="BR879" t="s">
        <v>102</v>
      </c>
      <c r="BS879" t="s">
        <v>17032</v>
      </c>
      <c r="BT879" t="str">
        <f>HYPERLINK("https%3A%2F%2Fwww.webofscience.com%2Fwos%2Fwoscc%2Ffull-record%2FWOS:000649824100006","View Full Record in Web of Science")</f>
        <v>View Full Record in Web of Science</v>
      </c>
    </row>
    <row r="880" spans="1:72" x14ac:dyDescent="0.15">
      <c r="A880" t="s">
        <v>72</v>
      </c>
      <c r="B880" t="s">
        <v>17033</v>
      </c>
      <c r="C880" t="s">
        <v>74</v>
      </c>
      <c r="D880" t="s">
        <v>74</v>
      </c>
      <c r="E880" t="s">
        <v>74</v>
      </c>
      <c r="F880" t="s">
        <v>17034</v>
      </c>
      <c r="G880" t="s">
        <v>74</v>
      </c>
      <c r="H880" t="s">
        <v>74</v>
      </c>
      <c r="I880" t="s">
        <v>17035</v>
      </c>
      <c r="J880" t="s">
        <v>17036</v>
      </c>
      <c r="K880" t="s">
        <v>74</v>
      </c>
      <c r="L880" t="s">
        <v>74</v>
      </c>
      <c r="M880" t="s">
        <v>78</v>
      </c>
      <c r="N880" t="s">
        <v>700</v>
      </c>
      <c r="O880" t="s">
        <v>74</v>
      </c>
      <c r="P880" t="s">
        <v>74</v>
      </c>
      <c r="Q880" t="s">
        <v>74</v>
      </c>
      <c r="R880" t="s">
        <v>74</v>
      </c>
      <c r="S880" t="s">
        <v>74</v>
      </c>
      <c r="T880" t="s">
        <v>74</v>
      </c>
      <c r="U880" t="s">
        <v>17037</v>
      </c>
      <c r="V880" t="s">
        <v>17038</v>
      </c>
      <c r="W880" t="s">
        <v>17039</v>
      </c>
      <c r="X880" t="s">
        <v>17040</v>
      </c>
      <c r="Y880" t="s">
        <v>17041</v>
      </c>
      <c r="Z880" t="s">
        <v>17042</v>
      </c>
      <c r="AA880" t="s">
        <v>17043</v>
      </c>
      <c r="AB880" t="s">
        <v>17044</v>
      </c>
      <c r="AC880" t="s">
        <v>17045</v>
      </c>
      <c r="AD880" t="s">
        <v>17046</v>
      </c>
      <c r="AE880" t="s">
        <v>17047</v>
      </c>
      <c r="AF880" t="s">
        <v>74</v>
      </c>
      <c r="AG880">
        <v>78</v>
      </c>
      <c r="AH880">
        <v>36</v>
      </c>
      <c r="AI880">
        <v>37</v>
      </c>
      <c r="AJ880">
        <v>5</v>
      </c>
      <c r="AK880">
        <v>37</v>
      </c>
      <c r="AL880" t="s">
        <v>4657</v>
      </c>
      <c r="AM880" t="s">
        <v>2239</v>
      </c>
      <c r="AN880" t="s">
        <v>4658</v>
      </c>
      <c r="AO880" t="s">
        <v>17048</v>
      </c>
      <c r="AP880" t="s">
        <v>17049</v>
      </c>
      <c r="AQ880" t="s">
        <v>74</v>
      </c>
      <c r="AR880" t="s">
        <v>17050</v>
      </c>
      <c r="AS880" t="s">
        <v>17051</v>
      </c>
      <c r="AT880" t="s">
        <v>4571</v>
      </c>
      <c r="AU880">
        <v>2021</v>
      </c>
      <c r="AV880">
        <v>29</v>
      </c>
      <c r="AW880">
        <v>6</v>
      </c>
      <c r="AX880" t="s">
        <v>74</v>
      </c>
      <c r="AY880" t="s">
        <v>74</v>
      </c>
      <c r="AZ880" t="s">
        <v>74</v>
      </c>
      <c r="BA880" t="s">
        <v>74</v>
      </c>
      <c r="BB880">
        <v>482</v>
      </c>
      <c r="BC880">
        <v>492</v>
      </c>
      <c r="BD880" t="s">
        <v>74</v>
      </c>
      <c r="BE880" t="s">
        <v>17052</v>
      </c>
      <c r="BF880" t="str">
        <f>HYPERLINK("http://dx.doi.org/10.1016/j.tim.2020.10.007","http://dx.doi.org/10.1016/j.tim.2020.10.007")</f>
        <v>http://dx.doi.org/10.1016/j.tim.2020.10.007</v>
      </c>
      <c r="BG880" t="s">
        <v>74</v>
      </c>
      <c r="BH880" t="s">
        <v>14415</v>
      </c>
      <c r="BI880">
        <v>11</v>
      </c>
      <c r="BJ880" t="s">
        <v>10902</v>
      </c>
      <c r="BK880" t="s">
        <v>128</v>
      </c>
      <c r="BL880" t="s">
        <v>10902</v>
      </c>
      <c r="BM880" t="s">
        <v>17053</v>
      </c>
      <c r="BN880">
        <v>33281016</v>
      </c>
      <c r="BO880" t="s">
        <v>74</v>
      </c>
      <c r="BP880" t="s">
        <v>74</v>
      </c>
      <c r="BQ880" t="s">
        <v>74</v>
      </c>
      <c r="BR880" t="s">
        <v>102</v>
      </c>
      <c r="BS880" t="s">
        <v>17054</v>
      </c>
      <c r="BT880" t="str">
        <f>HYPERLINK("https%3A%2F%2Fwww.webofscience.com%2Fwos%2Fwoscc%2Ffull-record%2FWOS:000651114900003","View Full Record in Web of Science")</f>
        <v>View Full Record in Web of Science</v>
      </c>
    </row>
    <row r="881" spans="1:72" x14ac:dyDescent="0.15">
      <c r="A881" t="s">
        <v>72</v>
      </c>
      <c r="B881" t="s">
        <v>17055</v>
      </c>
      <c r="C881" t="s">
        <v>74</v>
      </c>
      <c r="D881" t="s">
        <v>74</v>
      </c>
      <c r="E881" t="s">
        <v>74</v>
      </c>
      <c r="F881" t="s">
        <v>17056</v>
      </c>
      <c r="G881" t="s">
        <v>74</v>
      </c>
      <c r="H881" t="s">
        <v>74</v>
      </c>
      <c r="I881" t="s">
        <v>17057</v>
      </c>
      <c r="J881" t="s">
        <v>17058</v>
      </c>
      <c r="K881" t="s">
        <v>74</v>
      </c>
      <c r="L881" t="s">
        <v>74</v>
      </c>
      <c r="M881" t="s">
        <v>78</v>
      </c>
      <c r="N881" t="s">
        <v>79</v>
      </c>
      <c r="O881" t="s">
        <v>74</v>
      </c>
      <c r="P881" t="s">
        <v>74</v>
      </c>
      <c r="Q881" t="s">
        <v>74</v>
      </c>
      <c r="R881" t="s">
        <v>74</v>
      </c>
      <c r="S881" t="s">
        <v>74</v>
      </c>
      <c r="T881" t="s">
        <v>74</v>
      </c>
      <c r="U881" t="s">
        <v>17059</v>
      </c>
      <c r="V881" t="s">
        <v>17060</v>
      </c>
      <c r="W881" t="s">
        <v>17061</v>
      </c>
      <c r="X881" t="s">
        <v>17062</v>
      </c>
      <c r="Y881" t="s">
        <v>17063</v>
      </c>
      <c r="Z881" t="s">
        <v>17064</v>
      </c>
      <c r="AA881" t="s">
        <v>17065</v>
      </c>
      <c r="AB881" t="s">
        <v>17066</v>
      </c>
      <c r="AC881" t="s">
        <v>17067</v>
      </c>
      <c r="AD881" t="s">
        <v>17068</v>
      </c>
      <c r="AE881" t="s">
        <v>17069</v>
      </c>
      <c r="AF881" t="s">
        <v>74</v>
      </c>
      <c r="AG881">
        <v>51</v>
      </c>
      <c r="AH881">
        <v>9</v>
      </c>
      <c r="AI881">
        <v>10</v>
      </c>
      <c r="AJ881">
        <v>0</v>
      </c>
      <c r="AK881">
        <v>11</v>
      </c>
      <c r="AL881" t="s">
        <v>5850</v>
      </c>
      <c r="AM881" t="s">
        <v>865</v>
      </c>
      <c r="AN881" t="s">
        <v>5827</v>
      </c>
      <c r="AO881" t="s">
        <v>17070</v>
      </c>
      <c r="AP881" t="s">
        <v>17071</v>
      </c>
      <c r="AQ881" t="s">
        <v>74</v>
      </c>
      <c r="AR881" t="s">
        <v>17072</v>
      </c>
      <c r="AS881" t="s">
        <v>17073</v>
      </c>
      <c r="AT881" t="s">
        <v>17006</v>
      </c>
      <c r="AU881">
        <v>2021</v>
      </c>
      <c r="AV881">
        <v>60</v>
      </c>
      <c r="AW881">
        <v>14</v>
      </c>
      <c r="AX881" t="s">
        <v>74</v>
      </c>
      <c r="AY881" t="s">
        <v>74</v>
      </c>
      <c r="AZ881" t="s">
        <v>74</v>
      </c>
      <c r="BA881" t="s">
        <v>74</v>
      </c>
      <c r="BB881">
        <v>4084</v>
      </c>
      <c r="BC881">
        <v>4094</v>
      </c>
      <c r="BD881" t="s">
        <v>74</v>
      </c>
      <c r="BE881" t="s">
        <v>17074</v>
      </c>
      <c r="BF881" t="str">
        <f>HYPERLINK("http://dx.doi.org/10.1364/AO.419473","http://dx.doi.org/10.1364/AO.419473")</f>
        <v>http://dx.doi.org/10.1364/AO.419473</v>
      </c>
      <c r="BG881" t="s">
        <v>74</v>
      </c>
      <c r="BH881" t="s">
        <v>74</v>
      </c>
      <c r="BI881">
        <v>11</v>
      </c>
      <c r="BJ881" t="s">
        <v>5833</v>
      </c>
      <c r="BK881" t="s">
        <v>128</v>
      </c>
      <c r="BL881" t="s">
        <v>5833</v>
      </c>
      <c r="BM881" t="s">
        <v>17075</v>
      </c>
      <c r="BN881">
        <v>33983160</v>
      </c>
      <c r="BO881" t="s">
        <v>74</v>
      </c>
      <c r="BP881" t="s">
        <v>74</v>
      </c>
      <c r="BQ881" t="s">
        <v>74</v>
      </c>
      <c r="BR881" t="s">
        <v>102</v>
      </c>
      <c r="BS881" t="s">
        <v>17076</v>
      </c>
      <c r="BT881" t="str">
        <f>HYPERLINK("https%3A%2F%2Fwww.webofscience.com%2Fwos%2Fwoscc%2Ffull-record%2FWOS:000650110100004","View Full Record in Web of Science")</f>
        <v>View Full Record in Web of Science</v>
      </c>
    </row>
    <row r="882" spans="1:72" x14ac:dyDescent="0.15">
      <c r="A882" t="s">
        <v>72</v>
      </c>
      <c r="B882" t="s">
        <v>17077</v>
      </c>
      <c r="C882" t="s">
        <v>74</v>
      </c>
      <c r="D882" t="s">
        <v>74</v>
      </c>
      <c r="E882" t="s">
        <v>74</v>
      </c>
      <c r="F882" t="s">
        <v>17078</v>
      </c>
      <c r="G882" t="s">
        <v>74</v>
      </c>
      <c r="H882" t="s">
        <v>74</v>
      </c>
      <c r="I882" t="s">
        <v>17079</v>
      </c>
      <c r="J882" t="s">
        <v>17080</v>
      </c>
      <c r="K882" t="s">
        <v>74</v>
      </c>
      <c r="L882" t="s">
        <v>74</v>
      </c>
      <c r="M882" t="s">
        <v>78</v>
      </c>
      <c r="N882" t="s">
        <v>79</v>
      </c>
      <c r="O882" t="s">
        <v>74</v>
      </c>
      <c r="P882" t="s">
        <v>74</v>
      </c>
      <c r="Q882" t="s">
        <v>74</v>
      </c>
      <c r="R882" t="s">
        <v>74</v>
      </c>
      <c r="S882" t="s">
        <v>74</v>
      </c>
      <c r="T882" t="s">
        <v>17081</v>
      </c>
      <c r="U882" t="s">
        <v>17082</v>
      </c>
      <c r="V882" t="s">
        <v>17083</v>
      </c>
      <c r="W882" t="s">
        <v>17084</v>
      </c>
      <c r="X882" t="s">
        <v>17085</v>
      </c>
      <c r="Y882" t="s">
        <v>17086</v>
      </c>
      <c r="Z882" t="s">
        <v>17087</v>
      </c>
      <c r="AA882" t="s">
        <v>17088</v>
      </c>
      <c r="AB882" t="s">
        <v>17089</v>
      </c>
      <c r="AC882" t="s">
        <v>17090</v>
      </c>
      <c r="AD882" t="s">
        <v>17091</v>
      </c>
      <c r="AE882" t="s">
        <v>17092</v>
      </c>
      <c r="AF882" t="s">
        <v>74</v>
      </c>
      <c r="AG882">
        <v>67</v>
      </c>
      <c r="AH882">
        <v>4</v>
      </c>
      <c r="AI882">
        <v>5</v>
      </c>
      <c r="AJ882">
        <v>1</v>
      </c>
      <c r="AK882">
        <v>9</v>
      </c>
      <c r="AL882" t="s">
        <v>197</v>
      </c>
      <c r="AM882" t="s">
        <v>198</v>
      </c>
      <c r="AN882" t="s">
        <v>199</v>
      </c>
      <c r="AO882" t="s">
        <v>17093</v>
      </c>
      <c r="AP882" t="s">
        <v>74</v>
      </c>
      <c r="AQ882" t="s">
        <v>74</v>
      </c>
      <c r="AR882" t="s">
        <v>17094</v>
      </c>
      <c r="AS882" t="s">
        <v>17095</v>
      </c>
      <c r="AT882" t="s">
        <v>430</v>
      </c>
      <c r="AU882">
        <v>2021</v>
      </c>
      <c r="AV882">
        <v>14</v>
      </c>
      <c r="AW882">
        <v>7</v>
      </c>
      <c r="AX882" t="s">
        <v>74</v>
      </c>
      <c r="AY882" t="s">
        <v>74</v>
      </c>
      <c r="AZ882" t="s">
        <v>74</v>
      </c>
      <c r="BA882" t="s">
        <v>74</v>
      </c>
      <c r="BB882">
        <v>1830</v>
      </c>
      <c r="BC882">
        <v>1843</v>
      </c>
      <c r="BD882" t="s">
        <v>74</v>
      </c>
      <c r="BE882" t="s">
        <v>17096</v>
      </c>
      <c r="BF882" t="str">
        <f>HYPERLINK("http://dx.doi.org/10.1111/eva.13245","http://dx.doi.org/10.1111/eva.13245")</f>
        <v>http://dx.doi.org/10.1111/eva.13245</v>
      </c>
      <c r="BG882" t="s">
        <v>74</v>
      </c>
      <c r="BH882" t="s">
        <v>14415</v>
      </c>
      <c r="BI882">
        <v>14</v>
      </c>
      <c r="BJ882" t="s">
        <v>4763</v>
      </c>
      <c r="BK882" t="s">
        <v>128</v>
      </c>
      <c r="BL882" t="s">
        <v>4763</v>
      </c>
      <c r="BM882" t="s">
        <v>17097</v>
      </c>
      <c r="BN882">
        <v>34295367</v>
      </c>
      <c r="BO882" t="s">
        <v>2749</v>
      </c>
      <c r="BP882" t="s">
        <v>74</v>
      </c>
      <c r="BQ882" t="s">
        <v>74</v>
      </c>
      <c r="BR882" t="s">
        <v>102</v>
      </c>
      <c r="BS882" t="s">
        <v>17098</v>
      </c>
      <c r="BT882" t="str">
        <f>HYPERLINK("https%3A%2F%2Fwww.webofscience.com%2Fwos%2Fwoscc%2Ffull-record%2FWOS:000648742300001","View Full Record in Web of Science")</f>
        <v>View Full Record in Web of Science</v>
      </c>
    </row>
    <row r="883" spans="1:72" x14ac:dyDescent="0.15">
      <c r="A883" t="s">
        <v>72</v>
      </c>
      <c r="B883" t="s">
        <v>17099</v>
      </c>
      <c r="C883" t="s">
        <v>74</v>
      </c>
      <c r="D883" t="s">
        <v>74</v>
      </c>
      <c r="E883" t="s">
        <v>74</v>
      </c>
      <c r="F883" t="s">
        <v>17100</v>
      </c>
      <c r="G883" t="s">
        <v>74</v>
      </c>
      <c r="H883" t="s">
        <v>74</v>
      </c>
      <c r="I883" t="s">
        <v>17101</v>
      </c>
      <c r="J883" t="s">
        <v>14948</v>
      </c>
      <c r="K883" t="s">
        <v>74</v>
      </c>
      <c r="L883" t="s">
        <v>74</v>
      </c>
      <c r="M883" t="s">
        <v>78</v>
      </c>
      <c r="N883" t="s">
        <v>79</v>
      </c>
      <c r="O883" t="s">
        <v>74</v>
      </c>
      <c r="P883" t="s">
        <v>74</v>
      </c>
      <c r="Q883" t="s">
        <v>74</v>
      </c>
      <c r="R883" t="s">
        <v>74</v>
      </c>
      <c r="S883" t="s">
        <v>74</v>
      </c>
      <c r="T883" t="s">
        <v>17102</v>
      </c>
      <c r="U883" t="s">
        <v>17103</v>
      </c>
      <c r="V883" t="s">
        <v>17104</v>
      </c>
      <c r="W883" t="s">
        <v>17105</v>
      </c>
      <c r="X883" t="s">
        <v>17106</v>
      </c>
      <c r="Y883" t="s">
        <v>17107</v>
      </c>
      <c r="Z883" t="s">
        <v>17108</v>
      </c>
      <c r="AA883" t="s">
        <v>17109</v>
      </c>
      <c r="AB883" t="s">
        <v>17110</v>
      </c>
      <c r="AC883" t="s">
        <v>17111</v>
      </c>
      <c r="AD883" t="s">
        <v>17112</v>
      </c>
      <c r="AE883" t="s">
        <v>17113</v>
      </c>
      <c r="AF883" t="s">
        <v>74</v>
      </c>
      <c r="AG883">
        <v>62</v>
      </c>
      <c r="AH883">
        <v>12</v>
      </c>
      <c r="AI883">
        <v>12</v>
      </c>
      <c r="AJ883">
        <v>5</v>
      </c>
      <c r="AK883">
        <v>33</v>
      </c>
      <c r="AL883" t="s">
        <v>281</v>
      </c>
      <c r="AM883" t="s">
        <v>228</v>
      </c>
      <c r="AN883" t="s">
        <v>282</v>
      </c>
      <c r="AO883" t="s">
        <v>14958</v>
      </c>
      <c r="AP883" t="s">
        <v>14959</v>
      </c>
      <c r="AQ883" t="s">
        <v>74</v>
      </c>
      <c r="AR883" t="s">
        <v>14960</v>
      </c>
      <c r="AS883" t="s">
        <v>14961</v>
      </c>
      <c r="AT883" t="s">
        <v>96</v>
      </c>
      <c r="AU883">
        <v>2021</v>
      </c>
      <c r="AV883">
        <v>156</v>
      </c>
      <c r="AW883" t="s">
        <v>74</v>
      </c>
      <c r="AX883" t="s">
        <v>74</v>
      </c>
      <c r="AY883" t="s">
        <v>74</v>
      </c>
      <c r="AZ883" t="s">
        <v>74</v>
      </c>
      <c r="BA883" t="s">
        <v>74</v>
      </c>
      <c r="BB883" t="s">
        <v>74</v>
      </c>
      <c r="BC883" t="s">
        <v>74</v>
      </c>
      <c r="BD883">
        <v>106611</v>
      </c>
      <c r="BE883" t="s">
        <v>17114</v>
      </c>
      <c r="BF883" t="str">
        <f>HYPERLINK("http://dx.doi.org/10.1016/j.envint.2021.106611","http://dx.doi.org/10.1016/j.envint.2021.106611")</f>
        <v>http://dx.doi.org/10.1016/j.envint.2021.106611</v>
      </c>
      <c r="BG883" t="s">
        <v>74</v>
      </c>
      <c r="BH883" t="s">
        <v>14415</v>
      </c>
      <c r="BI883">
        <v>7</v>
      </c>
      <c r="BJ883" t="s">
        <v>262</v>
      </c>
      <c r="BK883" t="s">
        <v>128</v>
      </c>
      <c r="BL883" t="s">
        <v>263</v>
      </c>
      <c r="BM883" t="s">
        <v>14963</v>
      </c>
      <c r="BN883">
        <v>33975129</v>
      </c>
      <c r="BO883" t="s">
        <v>638</v>
      </c>
      <c r="BP883" t="s">
        <v>74</v>
      </c>
      <c r="BQ883" t="s">
        <v>74</v>
      </c>
      <c r="BR883" t="s">
        <v>102</v>
      </c>
      <c r="BS883" t="s">
        <v>17115</v>
      </c>
      <c r="BT883" t="str">
        <f>HYPERLINK("https%3A%2F%2Fwww.webofscience.com%2Fwos%2Fwoscc%2Ffull-record%2FWOS:000685649300001","View Full Record in Web of Science")</f>
        <v>View Full Record in Web of Science</v>
      </c>
    </row>
    <row r="884" spans="1:72" x14ac:dyDescent="0.15">
      <c r="A884" t="s">
        <v>72</v>
      </c>
      <c r="B884" t="s">
        <v>17116</v>
      </c>
      <c r="C884" t="s">
        <v>74</v>
      </c>
      <c r="D884" t="s">
        <v>74</v>
      </c>
      <c r="E884" t="s">
        <v>74</v>
      </c>
      <c r="F884" t="s">
        <v>17117</v>
      </c>
      <c r="G884" t="s">
        <v>74</v>
      </c>
      <c r="H884" t="s">
        <v>74</v>
      </c>
      <c r="I884" t="s">
        <v>17118</v>
      </c>
      <c r="J884" t="s">
        <v>4330</v>
      </c>
      <c r="K884" t="s">
        <v>74</v>
      </c>
      <c r="L884" t="s">
        <v>74</v>
      </c>
      <c r="M884" t="s">
        <v>78</v>
      </c>
      <c r="N884" t="s">
        <v>79</v>
      </c>
      <c r="O884" t="s">
        <v>74</v>
      </c>
      <c r="P884" t="s">
        <v>74</v>
      </c>
      <c r="Q884" t="s">
        <v>74</v>
      </c>
      <c r="R884" t="s">
        <v>74</v>
      </c>
      <c r="S884" t="s">
        <v>74</v>
      </c>
      <c r="T884" t="s">
        <v>17119</v>
      </c>
      <c r="U884" t="s">
        <v>17120</v>
      </c>
      <c r="V884" t="s">
        <v>17121</v>
      </c>
      <c r="W884" t="s">
        <v>17122</v>
      </c>
      <c r="X884" t="s">
        <v>17123</v>
      </c>
      <c r="Y884" t="s">
        <v>17124</v>
      </c>
      <c r="Z884" t="s">
        <v>17125</v>
      </c>
      <c r="AA884" t="s">
        <v>17126</v>
      </c>
      <c r="AB884" t="s">
        <v>17127</v>
      </c>
      <c r="AC884" t="s">
        <v>17128</v>
      </c>
      <c r="AD884" t="s">
        <v>17129</v>
      </c>
      <c r="AE884" t="s">
        <v>17130</v>
      </c>
      <c r="AF884" t="s">
        <v>74</v>
      </c>
      <c r="AG884">
        <v>48</v>
      </c>
      <c r="AH884">
        <v>6</v>
      </c>
      <c r="AI884">
        <v>6</v>
      </c>
      <c r="AJ884">
        <v>4</v>
      </c>
      <c r="AK884">
        <v>30</v>
      </c>
      <c r="AL884" t="s">
        <v>281</v>
      </c>
      <c r="AM884" t="s">
        <v>228</v>
      </c>
      <c r="AN884" t="s">
        <v>282</v>
      </c>
      <c r="AO884" t="s">
        <v>4342</v>
      </c>
      <c r="AP884" t="s">
        <v>4343</v>
      </c>
      <c r="AQ884" t="s">
        <v>74</v>
      </c>
      <c r="AR884" t="s">
        <v>4344</v>
      </c>
      <c r="AS884" t="s">
        <v>4345</v>
      </c>
      <c r="AT884" t="s">
        <v>430</v>
      </c>
      <c r="AU884">
        <v>2021</v>
      </c>
      <c r="AV884">
        <v>168</v>
      </c>
      <c r="AW884" t="s">
        <v>74</v>
      </c>
      <c r="AX884" t="s">
        <v>74</v>
      </c>
      <c r="AY884" t="s">
        <v>74</v>
      </c>
      <c r="AZ884" t="s">
        <v>74</v>
      </c>
      <c r="BA884" t="s">
        <v>74</v>
      </c>
      <c r="BB884" t="s">
        <v>74</v>
      </c>
      <c r="BC884" t="s">
        <v>74</v>
      </c>
      <c r="BD884">
        <v>112453</v>
      </c>
      <c r="BE884" t="s">
        <v>17131</v>
      </c>
      <c r="BF884" t="str">
        <f>HYPERLINK("http://dx.doi.org/10.1016/j.marpolbul.2021.112453","http://dx.doi.org/10.1016/j.marpolbul.2021.112453")</f>
        <v>http://dx.doi.org/10.1016/j.marpolbul.2021.112453</v>
      </c>
      <c r="BG884" t="s">
        <v>74</v>
      </c>
      <c r="BH884" t="s">
        <v>14415</v>
      </c>
      <c r="BI884">
        <v>7</v>
      </c>
      <c r="BJ884" t="s">
        <v>127</v>
      </c>
      <c r="BK884" t="s">
        <v>128</v>
      </c>
      <c r="BL884" t="s">
        <v>129</v>
      </c>
      <c r="BM884" t="s">
        <v>17132</v>
      </c>
      <c r="BN884">
        <v>33971454</v>
      </c>
      <c r="BO884" t="s">
        <v>408</v>
      </c>
      <c r="BP884" t="s">
        <v>74</v>
      </c>
      <c r="BQ884" t="s">
        <v>74</v>
      </c>
      <c r="BR884" t="s">
        <v>102</v>
      </c>
      <c r="BS884" t="s">
        <v>17133</v>
      </c>
      <c r="BT884" t="str">
        <f>HYPERLINK("https%3A%2F%2Fwww.webofscience.com%2Fwos%2Fwoscc%2Ffull-record%2FWOS:000661830900002","View Full Record in Web of Science")</f>
        <v>View Full Record in Web of Science</v>
      </c>
    </row>
    <row r="885" spans="1:72" x14ac:dyDescent="0.15">
      <c r="A885" t="s">
        <v>72</v>
      </c>
      <c r="B885" t="s">
        <v>17134</v>
      </c>
      <c r="C885" t="s">
        <v>74</v>
      </c>
      <c r="D885" t="s">
        <v>74</v>
      </c>
      <c r="E885" t="s">
        <v>74</v>
      </c>
      <c r="F885" t="s">
        <v>17135</v>
      </c>
      <c r="G885" t="s">
        <v>74</v>
      </c>
      <c r="H885" t="s">
        <v>74</v>
      </c>
      <c r="I885" t="s">
        <v>17136</v>
      </c>
      <c r="J885" t="s">
        <v>4376</v>
      </c>
      <c r="K885" t="s">
        <v>74</v>
      </c>
      <c r="L885" t="s">
        <v>74</v>
      </c>
      <c r="M885" t="s">
        <v>78</v>
      </c>
      <c r="N885" t="s">
        <v>79</v>
      </c>
      <c r="O885" t="s">
        <v>74</v>
      </c>
      <c r="P885" t="s">
        <v>74</v>
      </c>
      <c r="Q885" t="s">
        <v>74</v>
      </c>
      <c r="R885" t="s">
        <v>74</v>
      </c>
      <c r="S885" t="s">
        <v>74</v>
      </c>
      <c r="T885" t="s">
        <v>17137</v>
      </c>
      <c r="U885" t="s">
        <v>17138</v>
      </c>
      <c r="V885" t="s">
        <v>17139</v>
      </c>
      <c r="W885" t="s">
        <v>17140</v>
      </c>
      <c r="X885" t="s">
        <v>17141</v>
      </c>
      <c r="Y885" t="s">
        <v>17142</v>
      </c>
      <c r="Z885" t="s">
        <v>17143</v>
      </c>
      <c r="AA885" t="s">
        <v>74</v>
      </c>
      <c r="AB885" t="s">
        <v>17144</v>
      </c>
      <c r="AC885" t="s">
        <v>17145</v>
      </c>
      <c r="AD885" t="s">
        <v>17146</v>
      </c>
      <c r="AE885" t="s">
        <v>17147</v>
      </c>
      <c r="AF885" t="s">
        <v>74</v>
      </c>
      <c r="AG885">
        <v>55</v>
      </c>
      <c r="AH885">
        <v>8</v>
      </c>
      <c r="AI885">
        <v>8</v>
      </c>
      <c r="AJ885">
        <v>1</v>
      </c>
      <c r="AK885">
        <v>18</v>
      </c>
      <c r="AL885" t="s">
        <v>89</v>
      </c>
      <c r="AM885" t="s">
        <v>90</v>
      </c>
      <c r="AN885" t="s">
        <v>91</v>
      </c>
      <c r="AO885" t="s">
        <v>4388</v>
      </c>
      <c r="AP885" t="s">
        <v>4389</v>
      </c>
      <c r="AQ885" t="s">
        <v>74</v>
      </c>
      <c r="AR885" t="s">
        <v>4390</v>
      </c>
      <c r="AS885" t="s">
        <v>4391</v>
      </c>
      <c r="AT885" t="s">
        <v>10878</v>
      </c>
      <c r="AU885">
        <v>2021</v>
      </c>
      <c r="AV885">
        <v>165</v>
      </c>
      <c r="AW885" t="s">
        <v>74</v>
      </c>
      <c r="AX885" t="s">
        <v>74</v>
      </c>
      <c r="AY885" t="s">
        <v>74</v>
      </c>
      <c r="AZ885" t="s">
        <v>74</v>
      </c>
      <c r="BA885" t="s">
        <v>74</v>
      </c>
      <c r="BB885" t="s">
        <v>74</v>
      </c>
      <c r="BC885" t="s">
        <v>74</v>
      </c>
      <c r="BD885">
        <v>101993</v>
      </c>
      <c r="BE885" t="s">
        <v>17148</v>
      </c>
      <c r="BF885" t="str">
        <f>HYPERLINK("http://dx.doi.org/10.1016/j.marmicro.2021.101993","http://dx.doi.org/10.1016/j.marmicro.2021.101993")</f>
        <v>http://dx.doi.org/10.1016/j.marmicro.2021.101993</v>
      </c>
      <c r="BG885" t="s">
        <v>74</v>
      </c>
      <c r="BH885" t="s">
        <v>14415</v>
      </c>
      <c r="BI885">
        <v>10</v>
      </c>
      <c r="BJ885" t="s">
        <v>4393</v>
      </c>
      <c r="BK885" t="s">
        <v>128</v>
      </c>
      <c r="BL885" t="s">
        <v>4393</v>
      </c>
      <c r="BM885" t="s">
        <v>17149</v>
      </c>
      <c r="BN885" t="s">
        <v>74</v>
      </c>
      <c r="BO885" t="s">
        <v>74</v>
      </c>
      <c r="BP885" t="s">
        <v>74</v>
      </c>
      <c r="BQ885" t="s">
        <v>74</v>
      </c>
      <c r="BR885" t="s">
        <v>102</v>
      </c>
      <c r="BS885" t="s">
        <v>17150</v>
      </c>
      <c r="BT885" t="str">
        <f>HYPERLINK("https%3A%2F%2Fwww.webofscience.com%2Fwos%2Fwoscc%2Ffull-record%2FWOS:000659164000010","View Full Record in Web of Science")</f>
        <v>View Full Record in Web of Science</v>
      </c>
    </row>
    <row r="886" spans="1:72" x14ac:dyDescent="0.15">
      <c r="A886" t="s">
        <v>72</v>
      </c>
      <c r="B886" t="s">
        <v>17151</v>
      </c>
      <c r="C886" t="s">
        <v>74</v>
      </c>
      <c r="D886" t="s">
        <v>74</v>
      </c>
      <c r="E886" t="s">
        <v>74</v>
      </c>
      <c r="F886" t="s">
        <v>17152</v>
      </c>
      <c r="G886" t="s">
        <v>74</v>
      </c>
      <c r="H886" t="s">
        <v>74</v>
      </c>
      <c r="I886" t="s">
        <v>17153</v>
      </c>
      <c r="J886" t="s">
        <v>8575</v>
      </c>
      <c r="K886" t="s">
        <v>74</v>
      </c>
      <c r="L886" t="s">
        <v>74</v>
      </c>
      <c r="M886" t="s">
        <v>78</v>
      </c>
      <c r="N886" t="s">
        <v>79</v>
      </c>
      <c r="O886" t="s">
        <v>74</v>
      </c>
      <c r="P886" t="s">
        <v>74</v>
      </c>
      <c r="Q886" t="s">
        <v>74</v>
      </c>
      <c r="R886" t="s">
        <v>74</v>
      </c>
      <c r="S886" t="s">
        <v>74</v>
      </c>
      <c r="T886" t="s">
        <v>17154</v>
      </c>
      <c r="U886" t="s">
        <v>17155</v>
      </c>
      <c r="V886" t="s">
        <v>17156</v>
      </c>
      <c r="W886" t="s">
        <v>17157</v>
      </c>
      <c r="X886" t="s">
        <v>17158</v>
      </c>
      <c r="Y886" t="s">
        <v>17159</v>
      </c>
      <c r="Z886" t="s">
        <v>17160</v>
      </c>
      <c r="AA886" t="s">
        <v>3130</v>
      </c>
      <c r="AB886" t="s">
        <v>17161</v>
      </c>
      <c r="AC886" t="s">
        <v>17162</v>
      </c>
      <c r="AD886" t="s">
        <v>17163</v>
      </c>
      <c r="AE886" t="s">
        <v>17164</v>
      </c>
      <c r="AF886" t="s">
        <v>74</v>
      </c>
      <c r="AG886">
        <v>230</v>
      </c>
      <c r="AH886">
        <v>14</v>
      </c>
      <c r="AI886">
        <v>15</v>
      </c>
      <c r="AJ886">
        <v>1</v>
      </c>
      <c r="AK886">
        <v>8</v>
      </c>
      <c r="AL886" t="s">
        <v>281</v>
      </c>
      <c r="AM886" t="s">
        <v>228</v>
      </c>
      <c r="AN886" t="s">
        <v>282</v>
      </c>
      <c r="AO886" t="s">
        <v>8587</v>
      </c>
      <c r="AP886" t="s">
        <v>8588</v>
      </c>
      <c r="AQ886" t="s">
        <v>74</v>
      </c>
      <c r="AR886" t="s">
        <v>8589</v>
      </c>
      <c r="AS886" t="s">
        <v>8590</v>
      </c>
      <c r="AT886" t="s">
        <v>4571</v>
      </c>
      <c r="AU886">
        <v>2021</v>
      </c>
      <c r="AV886">
        <v>108</v>
      </c>
      <c r="AW886" t="s">
        <v>74</v>
      </c>
      <c r="AX886" t="s">
        <v>74</v>
      </c>
      <c r="AY886" t="s">
        <v>74</v>
      </c>
      <c r="AZ886" t="s">
        <v>74</v>
      </c>
      <c r="BA886" t="s">
        <v>74</v>
      </c>
      <c r="BB886" t="s">
        <v>74</v>
      </c>
      <c r="BC886" t="s">
        <v>74</v>
      </c>
      <c r="BD886">
        <v>103358</v>
      </c>
      <c r="BE886" t="s">
        <v>17165</v>
      </c>
      <c r="BF886" t="str">
        <f>HYPERLINK("http://dx.doi.org/10.1016/j.jsames.2021.103358","http://dx.doi.org/10.1016/j.jsames.2021.103358")</f>
        <v>http://dx.doi.org/10.1016/j.jsames.2021.103358</v>
      </c>
      <c r="BG886" t="s">
        <v>74</v>
      </c>
      <c r="BH886" t="s">
        <v>14415</v>
      </c>
      <c r="BI886">
        <v>23</v>
      </c>
      <c r="BJ886" t="s">
        <v>405</v>
      </c>
      <c r="BK886" t="s">
        <v>128</v>
      </c>
      <c r="BL886" t="s">
        <v>406</v>
      </c>
      <c r="BM886" t="s">
        <v>17166</v>
      </c>
      <c r="BN886" t="s">
        <v>74</v>
      </c>
      <c r="BO886" t="s">
        <v>74</v>
      </c>
      <c r="BP886" t="s">
        <v>74</v>
      </c>
      <c r="BQ886" t="s">
        <v>74</v>
      </c>
      <c r="BR886" t="s">
        <v>102</v>
      </c>
      <c r="BS886" t="s">
        <v>17167</v>
      </c>
      <c r="BT886" t="str">
        <f>HYPERLINK("https%3A%2F%2Fwww.webofscience.com%2Fwos%2Fwoscc%2Ffull-record%2FWOS:000654383900001","View Full Record in Web of Science")</f>
        <v>View Full Record in Web of Science</v>
      </c>
    </row>
    <row r="887" spans="1:72" x14ac:dyDescent="0.15">
      <c r="A887" t="s">
        <v>72</v>
      </c>
      <c r="B887" t="s">
        <v>17168</v>
      </c>
      <c r="C887" t="s">
        <v>74</v>
      </c>
      <c r="D887" t="s">
        <v>74</v>
      </c>
      <c r="E887" t="s">
        <v>74</v>
      </c>
      <c r="F887" t="s">
        <v>17169</v>
      </c>
      <c r="G887" t="s">
        <v>74</v>
      </c>
      <c r="H887" t="s">
        <v>74</v>
      </c>
      <c r="I887" t="s">
        <v>17170</v>
      </c>
      <c r="J887" t="s">
        <v>269</v>
      </c>
      <c r="K887" t="s">
        <v>74</v>
      </c>
      <c r="L887" t="s">
        <v>74</v>
      </c>
      <c r="M887" t="s">
        <v>78</v>
      </c>
      <c r="N887" t="s">
        <v>79</v>
      </c>
      <c r="O887" t="s">
        <v>74</v>
      </c>
      <c r="P887" t="s">
        <v>74</v>
      </c>
      <c r="Q887" t="s">
        <v>74</v>
      </c>
      <c r="R887" t="s">
        <v>74</v>
      </c>
      <c r="S887" t="s">
        <v>74</v>
      </c>
      <c r="T887" t="s">
        <v>17171</v>
      </c>
      <c r="U887" t="s">
        <v>17172</v>
      </c>
      <c r="V887" t="s">
        <v>17173</v>
      </c>
      <c r="W887" t="s">
        <v>17174</v>
      </c>
      <c r="X887" t="s">
        <v>17175</v>
      </c>
      <c r="Y887" t="s">
        <v>17176</v>
      </c>
      <c r="Z887" t="s">
        <v>17177</v>
      </c>
      <c r="AA887" t="s">
        <v>74</v>
      </c>
      <c r="AB887" t="s">
        <v>17178</v>
      </c>
      <c r="AC887" t="s">
        <v>17179</v>
      </c>
      <c r="AD887" t="s">
        <v>17180</v>
      </c>
      <c r="AE887" t="s">
        <v>17181</v>
      </c>
      <c r="AF887" t="s">
        <v>74</v>
      </c>
      <c r="AG887">
        <v>86</v>
      </c>
      <c r="AH887">
        <v>3</v>
      </c>
      <c r="AI887">
        <v>3</v>
      </c>
      <c r="AJ887">
        <v>1</v>
      </c>
      <c r="AK887">
        <v>7</v>
      </c>
      <c r="AL887" t="s">
        <v>281</v>
      </c>
      <c r="AM887" t="s">
        <v>228</v>
      </c>
      <c r="AN887" t="s">
        <v>282</v>
      </c>
      <c r="AO887" t="s">
        <v>283</v>
      </c>
      <c r="AP887" t="s">
        <v>284</v>
      </c>
      <c r="AQ887" t="s">
        <v>74</v>
      </c>
      <c r="AR887" t="s">
        <v>285</v>
      </c>
      <c r="AS887" t="s">
        <v>286</v>
      </c>
      <c r="AT887" t="s">
        <v>6527</v>
      </c>
      <c r="AU887">
        <v>2021</v>
      </c>
      <c r="AV887">
        <v>304</v>
      </c>
      <c r="AW887" t="s">
        <v>74</v>
      </c>
      <c r="AX887" t="s">
        <v>74</v>
      </c>
      <c r="AY887" t="s">
        <v>74</v>
      </c>
      <c r="AZ887" t="s">
        <v>74</v>
      </c>
      <c r="BA887" t="s">
        <v>74</v>
      </c>
      <c r="BB887">
        <v>50</v>
      </c>
      <c r="BC887">
        <v>67</v>
      </c>
      <c r="BD887" t="s">
        <v>74</v>
      </c>
      <c r="BE887" t="s">
        <v>17182</v>
      </c>
      <c r="BF887" t="str">
        <f>HYPERLINK("http://dx.doi.org/10.1016/j.gca.2021.04.021","http://dx.doi.org/10.1016/j.gca.2021.04.021")</f>
        <v>http://dx.doi.org/10.1016/j.gca.2021.04.021</v>
      </c>
      <c r="BG887" t="s">
        <v>74</v>
      </c>
      <c r="BH887" t="s">
        <v>14415</v>
      </c>
      <c r="BI887">
        <v>18</v>
      </c>
      <c r="BJ887" t="s">
        <v>289</v>
      </c>
      <c r="BK887" t="s">
        <v>128</v>
      </c>
      <c r="BL887" t="s">
        <v>289</v>
      </c>
      <c r="BM887" t="s">
        <v>17183</v>
      </c>
      <c r="BN887" t="s">
        <v>74</v>
      </c>
      <c r="BO887" t="s">
        <v>291</v>
      </c>
      <c r="BP887" t="s">
        <v>74</v>
      </c>
      <c r="BQ887" t="s">
        <v>74</v>
      </c>
      <c r="BR887" t="s">
        <v>102</v>
      </c>
      <c r="BS887" t="s">
        <v>17184</v>
      </c>
      <c r="BT887" t="str">
        <f>HYPERLINK("https%3A%2F%2Fwww.webofscience.com%2Fwos%2Fwoscc%2Ffull-record%2FWOS:000655500800003","View Full Record in Web of Science")</f>
        <v>View Full Record in Web of Science</v>
      </c>
    </row>
    <row r="888" spans="1:72" x14ac:dyDescent="0.15">
      <c r="A888" t="s">
        <v>72</v>
      </c>
      <c r="B888" t="s">
        <v>17185</v>
      </c>
      <c r="C888" t="s">
        <v>74</v>
      </c>
      <c r="D888" t="s">
        <v>74</v>
      </c>
      <c r="E888" t="s">
        <v>74</v>
      </c>
      <c r="F888" t="s">
        <v>17186</v>
      </c>
      <c r="G888" t="s">
        <v>74</v>
      </c>
      <c r="H888" t="s">
        <v>74</v>
      </c>
      <c r="I888" t="s">
        <v>17187</v>
      </c>
      <c r="J888" t="s">
        <v>269</v>
      </c>
      <c r="K888" t="s">
        <v>74</v>
      </c>
      <c r="L888" t="s">
        <v>74</v>
      </c>
      <c r="M888" t="s">
        <v>78</v>
      </c>
      <c r="N888" t="s">
        <v>79</v>
      </c>
      <c r="O888" t="s">
        <v>74</v>
      </c>
      <c r="P888" t="s">
        <v>74</v>
      </c>
      <c r="Q888" t="s">
        <v>74</v>
      </c>
      <c r="R888" t="s">
        <v>74</v>
      </c>
      <c r="S888" t="s">
        <v>74</v>
      </c>
      <c r="T888" t="s">
        <v>17188</v>
      </c>
      <c r="U888" t="s">
        <v>17189</v>
      </c>
      <c r="V888" t="s">
        <v>17190</v>
      </c>
      <c r="W888" t="s">
        <v>17191</v>
      </c>
      <c r="X888" t="s">
        <v>17192</v>
      </c>
      <c r="Y888" t="s">
        <v>17193</v>
      </c>
      <c r="Z888" t="s">
        <v>17194</v>
      </c>
      <c r="AA888" t="s">
        <v>17195</v>
      </c>
      <c r="AB888" t="s">
        <v>17196</v>
      </c>
      <c r="AC888" t="s">
        <v>17197</v>
      </c>
      <c r="AD888" t="s">
        <v>17198</v>
      </c>
      <c r="AE888" t="s">
        <v>17199</v>
      </c>
      <c r="AF888" t="s">
        <v>74</v>
      </c>
      <c r="AG888">
        <v>98</v>
      </c>
      <c r="AH888">
        <v>7</v>
      </c>
      <c r="AI888">
        <v>7</v>
      </c>
      <c r="AJ888">
        <v>0</v>
      </c>
      <c r="AK888">
        <v>3</v>
      </c>
      <c r="AL888" t="s">
        <v>281</v>
      </c>
      <c r="AM888" t="s">
        <v>228</v>
      </c>
      <c r="AN888" t="s">
        <v>282</v>
      </c>
      <c r="AO888" t="s">
        <v>283</v>
      </c>
      <c r="AP888" t="s">
        <v>284</v>
      </c>
      <c r="AQ888" t="s">
        <v>74</v>
      </c>
      <c r="AR888" t="s">
        <v>285</v>
      </c>
      <c r="AS888" t="s">
        <v>286</v>
      </c>
      <c r="AT888" t="s">
        <v>6527</v>
      </c>
      <c r="AU888">
        <v>2021</v>
      </c>
      <c r="AV888">
        <v>304</v>
      </c>
      <c r="AW888" t="s">
        <v>74</v>
      </c>
      <c r="AX888" t="s">
        <v>74</v>
      </c>
      <c r="AY888" t="s">
        <v>74</v>
      </c>
      <c r="AZ888" t="s">
        <v>74</v>
      </c>
      <c r="BA888" t="s">
        <v>74</v>
      </c>
      <c r="BB888">
        <v>119</v>
      </c>
      <c r="BC888">
        <v>140</v>
      </c>
      <c r="BD888" t="s">
        <v>74</v>
      </c>
      <c r="BE888" t="s">
        <v>17200</v>
      </c>
      <c r="BF888" t="str">
        <f>HYPERLINK("http://dx.doi.org/10.1016/j.gca.2021.04.004","http://dx.doi.org/10.1016/j.gca.2021.04.004")</f>
        <v>http://dx.doi.org/10.1016/j.gca.2021.04.004</v>
      </c>
      <c r="BG888" t="s">
        <v>74</v>
      </c>
      <c r="BH888" t="s">
        <v>14415</v>
      </c>
      <c r="BI888">
        <v>22</v>
      </c>
      <c r="BJ888" t="s">
        <v>289</v>
      </c>
      <c r="BK888" t="s">
        <v>128</v>
      </c>
      <c r="BL888" t="s">
        <v>289</v>
      </c>
      <c r="BM888" t="s">
        <v>17183</v>
      </c>
      <c r="BN888" t="s">
        <v>74</v>
      </c>
      <c r="BO888" t="s">
        <v>291</v>
      </c>
      <c r="BP888" t="s">
        <v>74</v>
      </c>
      <c r="BQ888" t="s">
        <v>74</v>
      </c>
      <c r="BR888" t="s">
        <v>102</v>
      </c>
      <c r="BS888" t="s">
        <v>17201</v>
      </c>
      <c r="BT888" t="str">
        <f>HYPERLINK("https%3A%2F%2Fwww.webofscience.com%2Fwos%2Fwoscc%2Ffull-record%2FWOS:000655500800007","View Full Record in Web of Science")</f>
        <v>View Full Record in Web of Science</v>
      </c>
    </row>
    <row r="889" spans="1:72" x14ac:dyDescent="0.15">
      <c r="A889" t="s">
        <v>72</v>
      </c>
      <c r="B889" t="s">
        <v>17202</v>
      </c>
      <c r="C889" t="s">
        <v>74</v>
      </c>
      <c r="D889" t="s">
        <v>74</v>
      </c>
      <c r="E889" t="s">
        <v>74</v>
      </c>
      <c r="F889" t="s">
        <v>17203</v>
      </c>
      <c r="G889" t="s">
        <v>74</v>
      </c>
      <c r="H889" t="s">
        <v>74</v>
      </c>
      <c r="I889" t="s">
        <v>17204</v>
      </c>
      <c r="J889" t="s">
        <v>17205</v>
      </c>
      <c r="K889" t="s">
        <v>74</v>
      </c>
      <c r="L889" t="s">
        <v>74</v>
      </c>
      <c r="M889" t="s">
        <v>78</v>
      </c>
      <c r="N889" t="s">
        <v>79</v>
      </c>
      <c r="O889" t="s">
        <v>74</v>
      </c>
      <c r="P889" t="s">
        <v>74</v>
      </c>
      <c r="Q889" t="s">
        <v>74</v>
      </c>
      <c r="R889" t="s">
        <v>74</v>
      </c>
      <c r="S889" t="s">
        <v>74</v>
      </c>
      <c r="T889" t="s">
        <v>17206</v>
      </c>
      <c r="U889" t="s">
        <v>17207</v>
      </c>
      <c r="V889" t="s">
        <v>17208</v>
      </c>
      <c r="W889" t="s">
        <v>17209</v>
      </c>
      <c r="X889" t="s">
        <v>17210</v>
      </c>
      <c r="Y889" t="s">
        <v>17211</v>
      </c>
      <c r="Z889" t="s">
        <v>17212</v>
      </c>
      <c r="AA889" t="s">
        <v>17213</v>
      </c>
      <c r="AB889" t="s">
        <v>17214</v>
      </c>
      <c r="AC889" t="s">
        <v>17215</v>
      </c>
      <c r="AD889" t="s">
        <v>17216</v>
      </c>
      <c r="AE889" t="s">
        <v>17217</v>
      </c>
      <c r="AF889" t="s">
        <v>74</v>
      </c>
      <c r="AG889">
        <v>219</v>
      </c>
      <c r="AH889">
        <v>21</v>
      </c>
      <c r="AI889">
        <v>21</v>
      </c>
      <c r="AJ889">
        <v>5</v>
      </c>
      <c r="AK889">
        <v>49</v>
      </c>
      <c r="AL889" t="s">
        <v>17218</v>
      </c>
      <c r="AM889" t="s">
        <v>17219</v>
      </c>
      <c r="AN889" t="s">
        <v>17220</v>
      </c>
      <c r="AO889" t="s">
        <v>17221</v>
      </c>
      <c r="AP889" t="s">
        <v>74</v>
      </c>
      <c r="AQ889" t="s">
        <v>74</v>
      </c>
      <c r="AR889" t="s">
        <v>17222</v>
      </c>
      <c r="AS889" t="s">
        <v>17223</v>
      </c>
      <c r="AT889" t="s">
        <v>10878</v>
      </c>
      <c r="AU889">
        <v>2021</v>
      </c>
      <c r="AV889">
        <v>12</v>
      </c>
      <c r="AW889">
        <v>5</v>
      </c>
      <c r="AX889" t="s">
        <v>74</v>
      </c>
      <c r="AY889" t="s">
        <v>74</v>
      </c>
      <c r="AZ889" t="s">
        <v>74</v>
      </c>
      <c r="BA889" t="s">
        <v>74</v>
      </c>
      <c r="BB889" t="s">
        <v>74</v>
      </c>
      <c r="BC889" t="s">
        <v>74</v>
      </c>
      <c r="BD889">
        <v>101035</v>
      </c>
      <c r="BE889" t="s">
        <v>17224</v>
      </c>
      <c r="BF889" t="str">
        <f>HYPERLINK("http://dx.doi.org/10.1016/j.apr.2021.02.017","http://dx.doi.org/10.1016/j.apr.2021.02.017")</f>
        <v>http://dx.doi.org/10.1016/j.apr.2021.02.017</v>
      </c>
      <c r="BG889" t="s">
        <v>74</v>
      </c>
      <c r="BH889" t="s">
        <v>14415</v>
      </c>
      <c r="BI889">
        <v>13</v>
      </c>
      <c r="BJ889" t="s">
        <v>262</v>
      </c>
      <c r="BK889" t="s">
        <v>128</v>
      </c>
      <c r="BL889" t="s">
        <v>263</v>
      </c>
      <c r="BM889" t="s">
        <v>17225</v>
      </c>
      <c r="BN889" t="s">
        <v>74</v>
      </c>
      <c r="BO889" t="s">
        <v>1083</v>
      </c>
      <c r="BP889" t="s">
        <v>74</v>
      </c>
      <c r="BQ889" t="s">
        <v>74</v>
      </c>
      <c r="BR889" t="s">
        <v>102</v>
      </c>
      <c r="BS889" t="s">
        <v>17226</v>
      </c>
      <c r="BT889" t="str">
        <f>HYPERLINK("https%3A%2F%2Fwww.webofscience.com%2Fwos%2Fwoscc%2Ffull-record%2FWOS:000649737400003","View Full Record in Web of Science")</f>
        <v>View Full Record in Web of Science</v>
      </c>
    </row>
    <row r="890" spans="1:72" x14ac:dyDescent="0.15">
      <c r="A890" t="s">
        <v>72</v>
      </c>
      <c r="B890" t="s">
        <v>17227</v>
      </c>
      <c r="C890" t="s">
        <v>74</v>
      </c>
      <c r="D890" t="s">
        <v>74</v>
      </c>
      <c r="E890" t="s">
        <v>74</v>
      </c>
      <c r="F890" t="s">
        <v>17228</v>
      </c>
      <c r="G890" t="s">
        <v>74</v>
      </c>
      <c r="H890" t="s">
        <v>74</v>
      </c>
      <c r="I890" t="s">
        <v>17229</v>
      </c>
      <c r="J890" t="s">
        <v>2457</v>
      </c>
      <c r="K890" t="s">
        <v>74</v>
      </c>
      <c r="L890" t="s">
        <v>74</v>
      </c>
      <c r="M890" t="s">
        <v>78</v>
      </c>
      <c r="N890" t="s">
        <v>79</v>
      </c>
      <c r="O890" t="s">
        <v>74</v>
      </c>
      <c r="P890" t="s">
        <v>74</v>
      </c>
      <c r="Q890" t="s">
        <v>74</v>
      </c>
      <c r="R890" t="s">
        <v>74</v>
      </c>
      <c r="S890" t="s">
        <v>74</v>
      </c>
      <c r="T890" t="s">
        <v>17230</v>
      </c>
      <c r="U890" t="s">
        <v>17231</v>
      </c>
      <c r="V890" t="s">
        <v>17232</v>
      </c>
      <c r="W890" t="s">
        <v>17233</v>
      </c>
      <c r="X890" t="s">
        <v>17234</v>
      </c>
      <c r="Y890" t="s">
        <v>17235</v>
      </c>
      <c r="Z890" t="s">
        <v>17236</v>
      </c>
      <c r="AA890" t="s">
        <v>17237</v>
      </c>
      <c r="AB890" t="s">
        <v>17238</v>
      </c>
      <c r="AC890" t="s">
        <v>17239</v>
      </c>
      <c r="AD890" t="s">
        <v>17240</v>
      </c>
      <c r="AE890" t="s">
        <v>17241</v>
      </c>
      <c r="AF890" t="s">
        <v>74</v>
      </c>
      <c r="AG890">
        <v>40</v>
      </c>
      <c r="AH890">
        <v>8</v>
      </c>
      <c r="AI890">
        <v>8</v>
      </c>
      <c r="AJ890">
        <v>2</v>
      </c>
      <c r="AK890">
        <v>33</v>
      </c>
      <c r="AL890" t="s">
        <v>864</v>
      </c>
      <c r="AM890" t="s">
        <v>865</v>
      </c>
      <c r="AN890" t="s">
        <v>866</v>
      </c>
      <c r="AO890" t="s">
        <v>2469</v>
      </c>
      <c r="AP890" t="s">
        <v>2470</v>
      </c>
      <c r="AQ890" t="s">
        <v>74</v>
      </c>
      <c r="AR890" t="s">
        <v>2471</v>
      </c>
      <c r="AS890" t="s">
        <v>2472</v>
      </c>
      <c r="AT890" t="s">
        <v>17242</v>
      </c>
      <c r="AU890">
        <v>2021</v>
      </c>
      <c r="AV890">
        <v>48</v>
      </c>
      <c r="AW890">
        <v>9</v>
      </c>
      <c r="AX890" t="s">
        <v>74</v>
      </c>
      <c r="AY890" t="s">
        <v>74</v>
      </c>
      <c r="AZ890" t="s">
        <v>74</v>
      </c>
      <c r="BA890" t="s">
        <v>74</v>
      </c>
      <c r="BB890" t="s">
        <v>74</v>
      </c>
      <c r="BC890" t="s">
        <v>74</v>
      </c>
      <c r="BD890" t="s">
        <v>17243</v>
      </c>
      <c r="BE890" t="s">
        <v>17244</v>
      </c>
      <c r="BF890" t="str">
        <f>HYPERLINK("http://dx.doi.org/10.1029/2020GL091963","http://dx.doi.org/10.1029/2020GL091963")</f>
        <v>http://dx.doi.org/10.1029/2020GL091963</v>
      </c>
      <c r="BG890" t="s">
        <v>74</v>
      </c>
      <c r="BH890" t="s">
        <v>74</v>
      </c>
      <c r="BI890">
        <v>9</v>
      </c>
      <c r="BJ890" t="s">
        <v>405</v>
      </c>
      <c r="BK890" t="s">
        <v>128</v>
      </c>
      <c r="BL890" t="s">
        <v>406</v>
      </c>
      <c r="BM890" t="s">
        <v>17245</v>
      </c>
      <c r="BN890" t="s">
        <v>74</v>
      </c>
      <c r="BO890" t="s">
        <v>74</v>
      </c>
      <c r="BP890" t="s">
        <v>74</v>
      </c>
      <c r="BQ890" t="s">
        <v>74</v>
      </c>
      <c r="BR890" t="s">
        <v>102</v>
      </c>
      <c r="BS890" t="s">
        <v>17246</v>
      </c>
      <c r="BT890" t="str">
        <f>HYPERLINK("https%3A%2F%2Fwww.webofscience.com%2Fwos%2Fwoscc%2Ffull-record%2FWOS:000648704000001","View Full Record in Web of Science")</f>
        <v>View Full Record in Web of Science</v>
      </c>
    </row>
    <row r="891" spans="1:72" x14ac:dyDescent="0.15">
      <c r="A891" t="s">
        <v>72</v>
      </c>
      <c r="B891" t="s">
        <v>17247</v>
      </c>
      <c r="C891" t="s">
        <v>74</v>
      </c>
      <c r="D891" t="s">
        <v>74</v>
      </c>
      <c r="E891" t="s">
        <v>74</v>
      </c>
      <c r="F891" t="s">
        <v>17248</v>
      </c>
      <c r="G891" t="s">
        <v>74</v>
      </c>
      <c r="H891" t="s">
        <v>74</v>
      </c>
      <c r="I891" t="s">
        <v>17249</v>
      </c>
      <c r="J891" t="s">
        <v>2457</v>
      </c>
      <c r="K891" t="s">
        <v>74</v>
      </c>
      <c r="L891" t="s">
        <v>74</v>
      </c>
      <c r="M891" t="s">
        <v>78</v>
      </c>
      <c r="N891" t="s">
        <v>79</v>
      </c>
      <c r="O891" t="s">
        <v>74</v>
      </c>
      <c r="P891" t="s">
        <v>74</v>
      </c>
      <c r="Q891" t="s">
        <v>74</v>
      </c>
      <c r="R891" t="s">
        <v>74</v>
      </c>
      <c r="S891" t="s">
        <v>74</v>
      </c>
      <c r="T891" t="s">
        <v>17250</v>
      </c>
      <c r="U891" t="s">
        <v>17251</v>
      </c>
      <c r="V891" t="s">
        <v>17252</v>
      </c>
      <c r="W891" t="s">
        <v>17253</v>
      </c>
      <c r="X891" t="s">
        <v>17254</v>
      </c>
      <c r="Y891" t="s">
        <v>17255</v>
      </c>
      <c r="Z891" t="s">
        <v>17256</v>
      </c>
      <c r="AA891" t="s">
        <v>17257</v>
      </c>
      <c r="AB891" t="s">
        <v>17258</v>
      </c>
      <c r="AC891" t="s">
        <v>17259</v>
      </c>
      <c r="AD891" t="s">
        <v>17260</v>
      </c>
      <c r="AE891" t="s">
        <v>17261</v>
      </c>
      <c r="AF891" t="s">
        <v>74</v>
      </c>
      <c r="AG891">
        <v>38</v>
      </c>
      <c r="AH891">
        <v>9</v>
      </c>
      <c r="AI891">
        <v>10</v>
      </c>
      <c r="AJ891">
        <v>1</v>
      </c>
      <c r="AK891">
        <v>8</v>
      </c>
      <c r="AL891" t="s">
        <v>864</v>
      </c>
      <c r="AM891" t="s">
        <v>865</v>
      </c>
      <c r="AN891" t="s">
        <v>866</v>
      </c>
      <c r="AO891" t="s">
        <v>2469</v>
      </c>
      <c r="AP891" t="s">
        <v>2470</v>
      </c>
      <c r="AQ891" t="s">
        <v>74</v>
      </c>
      <c r="AR891" t="s">
        <v>2471</v>
      </c>
      <c r="AS891" t="s">
        <v>2472</v>
      </c>
      <c r="AT891" t="s">
        <v>17242</v>
      </c>
      <c r="AU891">
        <v>2021</v>
      </c>
      <c r="AV891">
        <v>48</v>
      </c>
      <c r="AW891">
        <v>9</v>
      </c>
      <c r="AX891" t="s">
        <v>74</v>
      </c>
      <c r="AY891" t="s">
        <v>74</v>
      </c>
      <c r="AZ891" t="s">
        <v>74</v>
      </c>
      <c r="BA891" t="s">
        <v>74</v>
      </c>
      <c r="BB891" t="s">
        <v>74</v>
      </c>
      <c r="BC891" t="s">
        <v>74</v>
      </c>
      <c r="BD891" t="s">
        <v>17262</v>
      </c>
      <c r="BE891" t="s">
        <v>17263</v>
      </c>
      <c r="BF891" t="str">
        <f>HYPERLINK("http://dx.doi.org/10.1029/2021GL092558","http://dx.doi.org/10.1029/2021GL092558")</f>
        <v>http://dx.doi.org/10.1029/2021GL092558</v>
      </c>
      <c r="BG891" t="s">
        <v>74</v>
      </c>
      <c r="BH891" t="s">
        <v>74</v>
      </c>
      <c r="BI891">
        <v>10</v>
      </c>
      <c r="BJ891" t="s">
        <v>405</v>
      </c>
      <c r="BK891" t="s">
        <v>128</v>
      </c>
      <c r="BL891" t="s">
        <v>406</v>
      </c>
      <c r="BM891" t="s">
        <v>17245</v>
      </c>
      <c r="BN891" t="s">
        <v>74</v>
      </c>
      <c r="BO891" t="s">
        <v>7579</v>
      </c>
      <c r="BP891" t="s">
        <v>74</v>
      </c>
      <c r="BQ891" t="s">
        <v>74</v>
      </c>
      <c r="BR891" t="s">
        <v>102</v>
      </c>
      <c r="BS891" t="s">
        <v>17264</v>
      </c>
      <c r="BT891" t="str">
        <f>HYPERLINK("https%3A%2F%2Fwww.webofscience.com%2Fwos%2Fwoscc%2Ffull-record%2FWOS:000648704000004","View Full Record in Web of Science")</f>
        <v>View Full Record in Web of Science</v>
      </c>
    </row>
    <row r="892" spans="1:72" x14ac:dyDescent="0.15">
      <c r="A892" t="s">
        <v>72</v>
      </c>
      <c r="B892" t="s">
        <v>17265</v>
      </c>
      <c r="C892" t="s">
        <v>74</v>
      </c>
      <c r="D892" t="s">
        <v>74</v>
      </c>
      <c r="E892" t="s">
        <v>74</v>
      </c>
      <c r="F892" t="s">
        <v>17266</v>
      </c>
      <c r="G892" t="s">
        <v>74</v>
      </c>
      <c r="H892" t="s">
        <v>74</v>
      </c>
      <c r="I892" t="s">
        <v>17267</v>
      </c>
      <c r="J892" t="s">
        <v>4769</v>
      </c>
      <c r="K892" t="s">
        <v>74</v>
      </c>
      <c r="L892" t="s">
        <v>74</v>
      </c>
      <c r="M892" t="s">
        <v>78</v>
      </c>
      <c r="N892" t="s">
        <v>79</v>
      </c>
      <c r="O892" t="s">
        <v>74</v>
      </c>
      <c r="P892" t="s">
        <v>74</v>
      </c>
      <c r="Q892" t="s">
        <v>74</v>
      </c>
      <c r="R892" t="s">
        <v>74</v>
      </c>
      <c r="S892" t="s">
        <v>74</v>
      </c>
      <c r="T892" t="s">
        <v>17268</v>
      </c>
      <c r="U892" t="s">
        <v>17269</v>
      </c>
      <c r="V892" t="s">
        <v>17270</v>
      </c>
      <c r="W892" t="s">
        <v>17271</v>
      </c>
      <c r="X892" t="s">
        <v>17272</v>
      </c>
      <c r="Y892" t="s">
        <v>17273</v>
      </c>
      <c r="Z892" t="s">
        <v>17274</v>
      </c>
      <c r="AA892" t="s">
        <v>74</v>
      </c>
      <c r="AB892" t="s">
        <v>17275</v>
      </c>
      <c r="AC892" t="s">
        <v>74</v>
      </c>
      <c r="AD892" t="s">
        <v>74</v>
      </c>
      <c r="AE892" t="s">
        <v>74</v>
      </c>
      <c r="AF892" t="s">
        <v>74</v>
      </c>
      <c r="AG892">
        <v>118</v>
      </c>
      <c r="AH892">
        <v>12</v>
      </c>
      <c r="AI892">
        <v>13</v>
      </c>
      <c r="AJ892">
        <v>0</v>
      </c>
      <c r="AK892">
        <v>2</v>
      </c>
      <c r="AL892" t="s">
        <v>227</v>
      </c>
      <c r="AM892" t="s">
        <v>228</v>
      </c>
      <c r="AN892" t="s">
        <v>229</v>
      </c>
      <c r="AO892" t="s">
        <v>4782</v>
      </c>
      <c r="AP892" t="s">
        <v>4783</v>
      </c>
      <c r="AQ892" t="s">
        <v>74</v>
      </c>
      <c r="AR892" t="s">
        <v>4784</v>
      </c>
      <c r="AS892" t="s">
        <v>4785</v>
      </c>
      <c r="AT892" t="s">
        <v>535</v>
      </c>
      <c r="AU892">
        <v>2021</v>
      </c>
      <c r="AV892">
        <v>130</v>
      </c>
      <c r="AW892" t="s">
        <v>74</v>
      </c>
      <c r="AX892" t="s">
        <v>74</v>
      </c>
      <c r="AY892" t="s">
        <v>74</v>
      </c>
      <c r="AZ892" t="s">
        <v>74</v>
      </c>
      <c r="BA892" t="s">
        <v>74</v>
      </c>
      <c r="BB892" t="s">
        <v>74</v>
      </c>
      <c r="BC892" t="s">
        <v>74</v>
      </c>
      <c r="BD892">
        <v>104549</v>
      </c>
      <c r="BE892" t="s">
        <v>17276</v>
      </c>
      <c r="BF892" t="str">
        <f>HYPERLINK("http://dx.doi.org/10.1016/j.marpol.2021.104549","http://dx.doi.org/10.1016/j.marpol.2021.104549")</f>
        <v>http://dx.doi.org/10.1016/j.marpol.2021.104549</v>
      </c>
      <c r="BG892" t="s">
        <v>74</v>
      </c>
      <c r="BH892" t="s">
        <v>14415</v>
      </c>
      <c r="BI892">
        <v>13</v>
      </c>
      <c r="BJ892" t="s">
        <v>4787</v>
      </c>
      <c r="BK892" t="s">
        <v>377</v>
      </c>
      <c r="BL892" t="s">
        <v>4788</v>
      </c>
      <c r="BM892" t="s">
        <v>17277</v>
      </c>
      <c r="BN892" t="s">
        <v>74</v>
      </c>
      <c r="BO892" t="s">
        <v>74</v>
      </c>
      <c r="BP892" t="s">
        <v>74</v>
      </c>
      <c r="BQ892" t="s">
        <v>74</v>
      </c>
      <c r="BR892" t="s">
        <v>102</v>
      </c>
      <c r="BS892" t="s">
        <v>17278</v>
      </c>
      <c r="BT892" t="str">
        <f>HYPERLINK("https%3A%2F%2Fwww.webofscience.com%2Fwos%2Fwoscc%2Ffull-record%2FWOS:000670179900017","View Full Record in Web of Science")</f>
        <v>View Full Record in Web of Science</v>
      </c>
    </row>
    <row r="893" spans="1:72" x14ac:dyDescent="0.15">
      <c r="A893" t="s">
        <v>72</v>
      </c>
      <c r="B893" t="s">
        <v>17279</v>
      </c>
      <c r="C893" t="s">
        <v>74</v>
      </c>
      <c r="D893" t="s">
        <v>74</v>
      </c>
      <c r="E893" t="s">
        <v>74</v>
      </c>
      <c r="F893" t="s">
        <v>17280</v>
      </c>
      <c r="G893" t="s">
        <v>74</v>
      </c>
      <c r="H893" t="s">
        <v>74</v>
      </c>
      <c r="I893" t="s">
        <v>17281</v>
      </c>
      <c r="J893" t="s">
        <v>107</v>
      </c>
      <c r="K893" t="s">
        <v>74</v>
      </c>
      <c r="L893" t="s">
        <v>74</v>
      </c>
      <c r="M893" t="s">
        <v>78</v>
      </c>
      <c r="N893" t="s">
        <v>79</v>
      </c>
      <c r="O893" t="s">
        <v>74</v>
      </c>
      <c r="P893" t="s">
        <v>74</v>
      </c>
      <c r="Q893" t="s">
        <v>74</v>
      </c>
      <c r="R893" t="s">
        <v>74</v>
      </c>
      <c r="S893" t="s">
        <v>74</v>
      </c>
      <c r="T893" t="s">
        <v>17282</v>
      </c>
      <c r="U893" t="s">
        <v>17283</v>
      </c>
      <c r="V893" t="s">
        <v>17284</v>
      </c>
      <c r="W893" t="s">
        <v>17285</v>
      </c>
      <c r="X893" t="s">
        <v>5481</v>
      </c>
      <c r="Y893" t="s">
        <v>17286</v>
      </c>
      <c r="Z893" t="s">
        <v>17287</v>
      </c>
      <c r="AA893" t="s">
        <v>6000</v>
      </c>
      <c r="AB893" t="s">
        <v>74</v>
      </c>
      <c r="AC893" t="s">
        <v>74</v>
      </c>
      <c r="AD893" t="s">
        <v>74</v>
      </c>
      <c r="AE893" t="s">
        <v>74</v>
      </c>
      <c r="AF893" t="s">
        <v>74</v>
      </c>
      <c r="AG893">
        <v>39</v>
      </c>
      <c r="AH893">
        <v>12</v>
      </c>
      <c r="AI893">
        <v>13</v>
      </c>
      <c r="AJ893">
        <v>5</v>
      </c>
      <c r="AK893">
        <v>17</v>
      </c>
      <c r="AL893" t="s">
        <v>119</v>
      </c>
      <c r="AM893" t="s">
        <v>120</v>
      </c>
      <c r="AN893" t="s">
        <v>121</v>
      </c>
      <c r="AO893" t="s">
        <v>74</v>
      </c>
      <c r="AP893" t="s">
        <v>122</v>
      </c>
      <c r="AQ893" t="s">
        <v>74</v>
      </c>
      <c r="AR893" t="s">
        <v>123</v>
      </c>
      <c r="AS893" t="s">
        <v>124</v>
      </c>
      <c r="AT893" t="s">
        <v>17288</v>
      </c>
      <c r="AU893">
        <v>2021</v>
      </c>
      <c r="AV893">
        <v>8</v>
      </c>
      <c r="AW893" t="s">
        <v>74</v>
      </c>
      <c r="AX893" t="s">
        <v>74</v>
      </c>
      <c r="AY893" t="s">
        <v>74</v>
      </c>
      <c r="AZ893" t="s">
        <v>74</v>
      </c>
      <c r="BA893" t="s">
        <v>74</v>
      </c>
      <c r="BB893" t="s">
        <v>74</v>
      </c>
      <c r="BC893" t="s">
        <v>74</v>
      </c>
      <c r="BD893">
        <v>632282</v>
      </c>
      <c r="BE893" t="s">
        <v>17289</v>
      </c>
      <c r="BF893" t="str">
        <f>HYPERLINK("http://dx.doi.org/10.3389/fmars.2021.632282","http://dx.doi.org/10.3389/fmars.2021.632282")</f>
        <v>http://dx.doi.org/10.3389/fmars.2021.632282</v>
      </c>
      <c r="BG893" t="s">
        <v>74</v>
      </c>
      <c r="BH893" t="s">
        <v>74</v>
      </c>
      <c r="BI893">
        <v>6</v>
      </c>
      <c r="BJ893" t="s">
        <v>127</v>
      </c>
      <c r="BK893" t="s">
        <v>100</v>
      </c>
      <c r="BL893" t="s">
        <v>129</v>
      </c>
      <c r="BM893" t="s">
        <v>17290</v>
      </c>
      <c r="BN893" t="s">
        <v>74</v>
      </c>
      <c r="BO893" t="s">
        <v>2749</v>
      </c>
      <c r="BP893" t="s">
        <v>74</v>
      </c>
      <c r="BQ893" t="s">
        <v>74</v>
      </c>
      <c r="BR893" t="s">
        <v>102</v>
      </c>
      <c r="BS893" t="s">
        <v>17291</v>
      </c>
      <c r="BT893" t="str">
        <f>HYPERLINK("https%3A%2F%2Fwww.webofscience.com%2Fwos%2Fwoscc%2Ffull-record%2FWOS:000651365600001","View Full Record in Web of Science")</f>
        <v>View Full Record in Web of Science</v>
      </c>
    </row>
    <row r="894" spans="1:72" x14ac:dyDescent="0.15">
      <c r="A894" t="s">
        <v>72</v>
      </c>
      <c r="B894" t="s">
        <v>17292</v>
      </c>
      <c r="C894" t="s">
        <v>74</v>
      </c>
      <c r="D894" t="s">
        <v>74</v>
      </c>
      <c r="E894" t="s">
        <v>74</v>
      </c>
      <c r="F894" t="s">
        <v>17293</v>
      </c>
      <c r="G894" t="s">
        <v>74</v>
      </c>
      <c r="H894" t="s">
        <v>74</v>
      </c>
      <c r="I894" t="s">
        <v>17294</v>
      </c>
      <c r="J894" t="s">
        <v>4055</v>
      </c>
      <c r="K894" t="s">
        <v>74</v>
      </c>
      <c r="L894" t="s">
        <v>74</v>
      </c>
      <c r="M894" t="s">
        <v>78</v>
      </c>
      <c r="N894" t="s">
        <v>79</v>
      </c>
      <c r="O894" t="s">
        <v>74</v>
      </c>
      <c r="P894" t="s">
        <v>74</v>
      </c>
      <c r="Q894" t="s">
        <v>74</v>
      </c>
      <c r="R894" t="s">
        <v>74</v>
      </c>
      <c r="S894" t="s">
        <v>74</v>
      </c>
      <c r="T894" t="s">
        <v>74</v>
      </c>
      <c r="U894" t="s">
        <v>17295</v>
      </c>
      <c r="V894" t="s">
        <v>17296</v>
      </c>
      <c r="W894" t="s">
        <v>17297</v>
      </c>
      <c r="X894" t="s">
        <v>17298</v>
      </c>
      <c r="Y894" t="s">
        <v>17299</v>
      </c>
      <c r="Z894" t="s">
        <v>17300</v>
      </c>
      <c r="AA894" t="s">
        <v>17301</v>
      </c>
      <c r="AB894" t="s">
        <v>17302</v>
      </c>
      <c r="AC894" t="s">
        <v>17303</v>
      </c>
      <c r="AD894" t="s">
        <v>17304</v>
      </c>
      <c r="AE894" t="s">
        <v>17305</v>
      </c>
      <c r="AF894" t="s">
        <v>74</v>
      </c>
      <c r="AG894">
        <v>73</v>
      </c>
      <c r="AH894">
        <v>71</v>
      </c>
      <c r="AI894">
        <v>73</v>
      </c>
      <c r="AJ894">
        <v>20</v>
      </c>
      <c r="AK894">
        <v>82</v>
      </c>
      <c r="AL894" t="s">
        <v>395</v>
      </c>
      <c r="AM894" t="s">
        <v>396</v>
      </c>
      <c r="AN894" t="s">
        <v>397</v>
      </c>
      <c r="AO894" t="s">
        <v>74</v>
      </c>
      <c r="AP894" t="s">
        <v>4068</v>
      </c>
      <c r="AQ894" t="s">
        <v>74</v>
      </c>
      <c r="AR894" t="s">
        <v>4069</v>
      </c>
      <c r="AS894" t="s">
        <v>4070</v>
      </c>
      <c r="AT894" t="s">
        <v>17288</v>
      </c>
      <c r="AU894">
        <v>2021</v>
      </c>
      <c r="AV894">
        <v>12</v>
      </c>
      <c r="AW894">
        <v>1</v>
      </c>
      <c r="AX894" t="s">
        <v>74</v>
      </c>
      <c r="AY894" t="s">
        <v>74</v>
      </c>
      <c r="AZ894" t="s">
        <v>74</v>
      </c>
      <c r="BA894" t="s">
        <v>74</v>
      </c>
      <c r="BB894" t="s">
        <v>74</v>
      </c>
      <c r="BC894" t="s">
        <v>74</v>
      </c>
      <c r="BD894">
        <v>2556</v>
      </c>
      <c r="BE894" t="s">
        <v>17306</v>
      </c>
      <c r="BF894" t="str">
        <f>HYPERLINK("http://dx.doi.org/10.1038/s41467-021-22837-2","http://dx.doi.org/10.1038/s41467-021-22837-2")</f>
        <v>http://dx.doi.org/10.1038/s41467-021-22837-2</v>
      </c>
      <c r="BG894" t="s">
        <v>74</v>
      </c>
      <c r="BH894" t="s">
        <v>74</v>
      </c>
      <c r="BI894">
        <v>10</v>
      </c>
      <c r="BJ894" t="s">
        <v>2609</v>
      </c>
      <c r="BK894" t="s">
        <v>128</v>
      </c>
      <c r="BL894" t="s">
        <v>2610</v>
      </c>
      <c r="BM894" t="s">
        <v>17307</v>
      </c>
      <c r="BN894">
        <v>33963184</v>
      </c>
      <c r="BO894" t="s">
        <v>1377</v>
      </c>
      <c r="BP894" t="s">
        <v>2812</v>
      </c>
      <c r="BQ894" t="s">
        <v>2813</v>
      </c>
      <c r="BR894" t="s">
        <v>102</v>
      </c>
      <c r="BS894" t="s">
        <v>17308</v>
      </c>
      <c r="BT894" t="str">
        <f>HYPERLINK("https%3A%2F%2Fwww.webofscience.com%2Fwos%2Fwoscc%2Ffull-record%2FWOS:000656447400001","View Full Record in Web of Science")</f>
        <v>View Full Record in Web of Science</v>
      </c>
    </row>
    <row r="895" spans="1:72" x14ac:dyDescent="0.15">
      <c r="A895" t="s">
        <v>72</v>
      </c>
      <c r="B895" t="s">
        <v>17309</v>
      </c>
      <c r="C895" t="s">
        <v>74</v>
      </c>
      <c r="D895" t="s">
        <v>74</v>
      </c>
      <c r="E895" t="s">
        <v>74</v>
      </c>
      <c r="F895" t="s">
        <v>17310</v>
      </c>
      <c r="G895" t="s">
        <v>74</v>
      </c>
      <c r="H895" t="s">
        <v>74</v>
      </c>
      <c r="I895" t="s">
        <v>17311</v>
      </c>
      <c r="J895" t="s">
        <v>17312</v>
      </c>
      <c r="K895" t="s">
        <v>74</v>
      </c>
      <c r="L895" t="s">
        <v>74</v>
      </c>
      <c r="M895" t="s">
        <v>78</v>
      </c>
      <c r="N895" t="s">
        <v>79</v>
      </c>
      <c r="O895" t="s">
        <v>74</v>
      </c>
      <c r="P895" t="s">
        <v>74</v>
      </c>
      <c r="Q895" t="s">
        <v>74</v>
      </c>
      <c r="R895" t="s">
        <v>74</v>
      </c>
      <c r="S895" t="s">
        <v>74</v>
      </c>
      <c r="T895" t="s">
        <v>17313</v>
      </c>
      <c r="U895" t="s">
        <v>17314</v>
      </c>
      <c r="V895" t="s">
        <v>17315</v>
      </c>
      <c r="W895" t="s">
        <v>17316</v>
      </c>
      <c r="X895" t="s">
        <v>17317</v>
      </c>
      <c r="Y895" t="s">
        <v>17318</v>
      </c>
      <c r="Z895" t="s">
        <v>17319</v>
      </c>
      <c r="AA895" t="s">
        <v>17320</v>
      </c>
      <c r="AB895" t="s">
        <v>17321</v>
      </c>
      <c r="AC895" t="s">
        <v>17322</v>
      </c>
      <c r="AD895" t="s">
        <v>17323</v>
      </c>
      <c r="AE895" t="s">
        <v>17324</v>
      </c>
      <c r="AF895" t="s">
        <v>74</v>
      </c>
      <c r="AG895">
        <v>74</v>
      </c>
      <c r="AH895">
        <v>11</v>
      </c>
      <c r="AI895">
        <v>11</v>
      </c>
      <c r="AJ895">
        <v>7</v>
      </c>
      <c r="AK895">
        <v>25</v>
      </c>
      <c r="AL895" t="s">
        <v>197</v>
      </c>
      <c r="AM895" t="s">
        <v>198</v>
      </c>
      <c r="AN895" t="s">
        <v>199</v>
      </c>
      <c r="AO895" t="s">
        <v>17325</v>
      </c>
      <c r="AP895" t="s">
        <v>17326</v>
      </c>
      <c r="AQ895" t="s">
        <v>74</v>
      </c>
      <c r="AR895" t="s">
        <v>17312</v>
      </c>
      <c r="AS895" t="s">
        <v>17327</v>
      </c>
      <c r="AT895" t="s">
        <v>535</v>
      </c>
      <c r="AU895">
        <v>2021</v>
      </c>
      <c r="AV895">
        <v>44</v>
      </c>
      <c r="AW895">
        <v>8</v>
      </c>
      <c r="AX895" t="s">
        <v>74</v>
      </c>
      <c r="AY895" t="s">
        <v>74</v>
      </c>
      <c r="AZ895" t="s">
        <v>74</v>
      </c>
      <c r="BA895" t="s">
        <v>74</v>
      </c>
      <c r="BB895">
        <v>1156</v>
      </c>
      <c r="BC895">
        <v>1168</v>
      </c>
      <c r="BD895" t="s">
        <v>74</v>
      </c>
      <c r="BE895" t="s">
        <v>17328</v>
      </c>
      <c r="BF895" t="str">
        <f>HYPERLINK("http://dx.doi.org/10.1111/ecog.05381","http://dx.doi.org/10.1111/ecog.05381")</f>
        <v>http://dx.doi.org/10.1111/ecog.05381</v>
      </c>
      <c r="BG895" t="s">
        <v>74</v>
      </c>
      <c r="BH895" t="s">
        <v>14415</v>
      </c>
      <c r="BI895">
        <v>13</v>
      </c>
      <c r="BJ895" t="s">
        <v>1883</v>
      </c>
      <c r="BK895" t="s">
        <v>128</v>
      </c>
      <c r="BL895" t="s">
        <v>207</v>
      </c>
      <c r="BM895" t="s">
        <v>17329</v>
      </c>
      <c r="BN895" t="s">
        <v>74</v>
      </c>
      <c r="BO895" t="s">
        <v>7542</v>
      </c>
      <c r="BP895" t="s">
        <v>74</v>
      </c>
      <c r="BQ895" t="s">
        <v>74</v>
      </c>
      <c r="BR895" t="s">
        <v>102</v>
      </c>
      <c r="BS895" t="s">
        <v>17330</v>
      </c>
      <c r="BT895" t="str">
        <f>HYPERLINK("https%3A%2F%2Fwww.webofscience.com%2Fwos%2Fwoscc%2Ffull-record%2FWOS:000648084500001","View Full Record in Web of Science")</f>
        <v>View Full Record in Web of Science</v>
      </c>
    </row>
    <row r="896" spans="1:72" x14ac:dyDescent="0.15">
      <c r="A896" t="s">
        <v>72</v>
      </c>
      <c r="B896" t="s">
        <v>17331</v>
      </c>
      <c r="C896" t="s">
        <v>74</v>
      </c>
      <c r="D896" t="s">
        <v>74</v>
      </c>
      <c r="E896" t="s">
        <v>74</v>
      </c>
      <c r="F896" t="s">
        <v>17332</v>
      </c>
      <c r="G896" t="s">
        <v>74</v>
      </c>
      <c r="H896" t="s">
        <v>74</v>
      </c>
      <c r="I896" t="s">
        <v>17333</v>
      </c>
      <c r="J896" t="s">
        <v>184</v>
      </c>
      <c r="K896" t="s">
        <v>74</v>
      </c>
      <c r="L896" t="s">
        <v>74</v>
      </c>
      <c r="M896" t="s">
        <v>78</v>
      </c>
      <c r="N896" t="s">
        <v>700</v>
      </c>
      <c r="O896" t="s">
        <v>74</v>
      </c>
      <c r="P896" t="s">
        <v>74</v>
      </c>
      <c r="Q896" t="s">
        <v>74</v>
      </c>
      <c r="R896" t="s">
        <v>74</v>
      </c>
      <c r="S896" t="s">
        <v>74</v>
      </c>
      <c r="T896" t="s">
        <v>17334</v>
      </c>
      <c r="U896" t="s">
        <v>17335</v>
      </c>
      <c r="V896" t="s">
        <v>17336</v>
      </c>
      <c r="W896" t="s">
        <v>17337</v>
      </c>
      <c r="X896" t="s">
        <v>17338</v>
      </c>
      <c r="Y896" t="s">
        <v>17339</v>
      </c>
      <c r="Z896" t="s">
        <v>17340</v>
      </c>
      <c r="AA896" t="s">
        <v>17341</v>
      </c>
      <c r="AB896" t="s">
        <v>17342</v>
      </c>
      <c r="AC896" t="s">
        <v>17343</v>
      </c>
      <c r="AD896" t="s">
        <v>3657</v>
      </c>
      <c r="AE896" t="s">
        <v>17344</v>
      </c>
      <c r="AF896" t="s">
        <v>74</v>
      </c>
      <c r="AG896">
        <v>124</v>
      </c>
      <c r="AH896">
        <v>56</v>
      </c>
      <c r="AI896">
        <v>61</v>
      </c>
      <c r="AJ896">
        <v>5</v>
      </c>
      <c r="AK896">
        <v>41</v>
      </c>
      <c r="AL896" t="s">
        <v>197</v>
      </c>
      <c r="AM896" t="s">
        <v>198</v>
      </c>
      <c r="AN896" t="s">
        <v>199</v>
      </c>
      <c r="AO896" t="s">
        <v>200</v>
      </c>
      <c r="AP896" t="s">
        <v>201</v>
      </c>
      <c r="AQ896" t="s">
        <v>74</v>
      </c>
      <c r="AR896" t="s">
        <v>202</v>
      </c>
      <c r="AS896" t="s">
        <v>203</v>
      </c>
      <c r="AT896" t="s">
        <v>430</v>
      </c>
      <c r="AU896">
        <v>2021</v>
      </c>
      <c r="AV896">
        <v>27</v>
      </c>
      <c r="AW896">
        <v>14</v>
      </c>
      <c r="AX896" t="s">
        <v>74</v>
      </c>
      <c r="AY896" t="s">
        <v>74</v>
      </c>
      <c r="AZ896" t="s">
        <v>74</v>
      </c>
      <c r="BA896" t="s">
        <v>74</v>
      </c>
      <c r="BB896">
        <v>3200</v>
      </c>
      <c r="BC896">
        <v>3217</v>
      </c>
      <c r="BD896" t="s">
        <v>74</v>
      </c>
      <c r="BE896" t="s">
        <v>17345</v>
      </c>
      <c r="BF896" t="str">
        <f>HYPERLINK("http://dx.doi.org/10.1111/gcb.15634","http://dx.doi.org/10.1111/gcb.15634")</f>
        <v>http://dx.doi.org/10.1111/gcb.15634</v>
      </c>
      <c r="BG896" t="s">
        <v>74</v>
      </c>
      <c r="BH896" t="s">
        <v>14415</v>
      </c>
      <c r="BI896">
        <v>18</v>
      </c>
      <c r="BJ896" t="s">
        <v>206</v>
      </c>
      <c r="BK896" t="s">
        <v>128</v>
      </c>
      <c r="BL896" t="s">
        <v>207</v>
      </c>
      <c r="BM896" t="s">
        <v>17346</v>
      </c>
      <c r="BN896">
        <v>33835618</v>
      </c>
      <c r="BO896" t="s">
        <v>238</v>
      </c>
      <c r="BP896" t="s">
        <v>74</v>
      </c>
      <c r="BQ896" t="s">
        <v>74</v>
      </c>
      <c r="BR896" t="s">
        <v>102</v>
      </c>
      <c r="BS896" t="s">
        <v>17347</v>
      </c>
      <c r="BT896" t="str">
        <f>HYPERLINK("https%3A%2F%2Fwww.webofscience.com%2Fwos%2Fwoscc%2Ffull-record%2FWOS:000647949600001","View Full Record in Web of Science")</f>
        <v>View Full Record in Web of Science</v>
      </c>
    </row>
    <row r="897" spans="1:72" x14ac:dyDescent="0.15">
      <c r="A897" t="s">
        <v>72</v>
      </c>
      <c r="B897" t="s">
        <v>17348</v>
      </c>
      <c r="C897" t="s">
        <v>74</v>
      </c>
      <c r="D897" t="s">
        <v>74</v>
      </c>
      <c r="E897" t="s">
        <v>74</v>
      </c>
      <c r="F897" t="s">
        <v>17349</v>
      </c>
      <c r="G897" t="s">
        <v>74</v>
      </c>
      <c r="H897" t="s">
        <v>74</v>
      </c>
      <c r="I897" t="s">
        <v>17350</v>
      </c>
      <c r="J897" t="s">
        <v>9510</v>
      </c>
      <c r="K897" t="s">
        <v>74</v>
      </c>
      <c r="L897" t="s">
        <v>74</v>
      </c>
      <c r="M897" t="s">
        <v>78</v>
      </c>
      <c r="N897" t="s">
        <v>9511</v>
      </c>
      <c r="O897" t="s">
        <v>9512</v>
      </c>
      <c r="P897" t="s">
        <v>9513</v>
      </c>
      <c r="Q897" t="s">
        <v>9514</v>
      </c>
      <c r="R897" t="s">
        <v>74</v>
      </c>
      <c r="S897" t="s">
        <v>74</v>
      </c>
      <c r="T897" t="s">
        <v>74</v>
      </c>
      <c r="U897" t="s">
        <v>17351</v>
      </c>
      <c r="V897" t="s">
        <v>17352</v>
      </c>
      <c r="W897" t="s">
        <v>17353</v>
      </c>
      <c r="X897" t="s">
        <v>17354</v>
      </c>
      <c r="Y897" t="s">
        <v>17355</v>
      </c>
      <c r="Z897" t="s">
        <v>17356</v>
      </c>
      <c r="AA897" t="s">
        <v>17357</v>
      </c>
      <c r="AB897" t="s">
        <v>17358</v>
      </c>
      <c r="AC897" t="s">
        <v>17359</v>
      </c>
      <c r="AD897" t="s">
        <v>17360</v>
      </c>
      <c r="AE897" t="s">
        <v>17361</v>
      </c>
      <c r="AF897" t="s">
        <v>74</v>
      </c>
      <c r="AG897">
        <v>59</v>
      </c>
      <c r="AH897">
        <v>7</v>
      </c>
      <c r="AI897">
        <v>7</v>
      </c>
      <c r="AJ897">
        <v>0</v>
      </c>
      <c r="AK897">
        <v>6</v>
      </c>
      <c r="AL897" t="s">
        <v>2939</v>
      </c>
      <c r="AM897" t="s">
        <v>2940</v>
      </c>
      <c r="AN897" t="s">
        <v>2941</v>
      </c>
      <c r="AO897" t="s">
        <v>9525</v>
      </c>
      <c r="AP897" t="s">
        <v>9526</v>
      </c>
      <c r="AQ897" t="s">
        <v>74</v>
      </c>
      <c r="AR897" t="s">
        <v>9527</v>
      </c>
      <c r="AS897" t="s">
        <v>9528</v>
      </c>
      <c r="AT897" t="s">
        <v>96</v>
      </c>
      <c r="AU897">
        <v>2021</v>
      </c>
      <c r="AV897">
        <v>61</v>
      </c>
      <c r="AW897">
        <v>5</v>
      </c>
      <c r="AX897" t="s">
        <v>74</v>
      </c>
      <c r="AY897" t="s">
        <v>74</v>
      </c>
      <c r="AZ897" t="s">
        <v>74</v>
      </c>
      <c r="BA897" t="s">
        <v>74</v>
      </c>
      <c r="BB897">
        <v>1658</v>
      </c>
      <c r="BC897">
        <v>1673</v>
      </c>
      <c r="BD897" t="s">
        <v>74</v>
      </c>
      <c r="BE897" t="s">
        <v>17362</v>
      </c>
      <c r="BF897" t="str">
        <f>HYPERLINK("http://dx.doi.org/10.1093/icb/icab059","http://dx.doi.org/10.1093/icb/icab059")</f>
        <v>http://dx.doi.org/10.1093/icb/icab059</v>
      </c>
      <c r="BG897" t="s">
        <v>74</v>
      </c>
      <c r="BH897" t="s">
        <v>14415</v>
      </c>
      <c r="BI897">
        <v>16</v>
      </c>
      <c r="BJ897" t="s">
        <v>2197</v>
      </c>
      <c r="BK897" t="s">
        <v>962</v>
      </c>
      <c r="BL897" t="s">
        <v>2197</v>
      </c>
      <c r="BM897" t="s">
        <v>9530</v>
      </c>
      <c r="BN897" t="s">
        <v>74</v>
      </c>
      <c r="BO897" t="s">
        <v>661</v>
      </c>
      <c r="BP897" t="s">
        <v>74</v>
      </c>
      <c r="BQ897" t="s">
        <v>74</v>
      </c>
      <c r="BR897" t="s">
        <v>102</v>
      </c>
      <c r="BS897" t="s">
        <v>17363</v>
      </c>
      <c r="BT897" t="str">
        <f>HYPERLINK("https%3A%2F%2Fwww.webofscience.com%2Fwos%2Fwoscc%2Ffull-record%2FWOS:000736126200009","View Full Record in Web of Science")</f>
        <v>View Full Record in Web of Science</v>
      </c>
    </row>
    <row r="898" spans="1:72" x14ac:dyDescent="0.15">
      <c r="A898" t="s">
        <v>72</v>
      </c>
      <c r="B898" t="s">
        <v>17364</v>
      </c>
      <c r="C898" t="s">
        <v>74</v>
      </c>
      <c r="D898" t="s">
        <v>74</v>
      </c>
      <c r="E898" t="s">
        <v>74</v>
      </c>
      <c r="F898" t="s">
        <v>17365</v>
      </c>
      <c r="G898" t="s">
        <v>74</v>
      </c>
      <c r="H898" t="s">
        <v>74</v>
      </c>
      <c r="I898" t="s">
        <v>17366</v>
      </c>
      <c r="J898" t="s">
        <v>8508</v>
      </c>
      <c r="K898" t="s">
        <v>74</v>
      </c>
      <c r="L898" t="s">
        <v>74</v>
      </c>
      <c r="M898" t="s">
        <v>78</v>
      </c>
      <c r="N898" t="s">
        <v>79</v>
      </c>
      <c r="O898" t="s">
        <v>74</v>
      </c>
      <c r="P898" t="s">
        <v>74</v>
      </c>
      <c r="Q898" t="s">
        <v>74</v>
      </c>
      <c r="R898" t="s">
        <v>74</v>
      </c>
      <c r="S898" t="s">
        <v>74</v>
      </c>
      <c r="T898" t="s">
        <v>17367</v>
      </c>
      <c r="U898" t="s">
        <v>17368</v>
      </c>
      <c r="V898" t="s">
        <v>17369</v>
      </c>
      <c r="W898" t="s">
        <v>17370</v>
      </c>
      <c r="X898" t="s">
        <v>17371</v>
      </c>
      <c r="Y898" t="s">
        <v>17372</v>
      </c>
      <c r="Z898" t="s">
        <v>17373</v>
      </c>
      <c r="AA898" t="s">
        <v>17374</v>
      </c>
      <c r="AB898" t="s">
        <v>17375</v>
      </c>
      <c r="AC898" t="s">
        <v>17376</v>
      </c>
      <c r="AD898" t="s">
        <v>17377</v>
      </c>
      <c r="AE898" t="s">
        <v>17378</v>
      </c>
      <c r="AF898" t="s">
        <v>74</v>
      </c>
      <c r="AG898">
        <v>137</v>
      </c>
      <c r="AH898">
        <v>3</v>
      </c>
      <c r="AI898">
        <v>3</v>
      </c>
      <c r="AJ898">
        <v>1</v>
      </c>
      <c r="AK898">
        <v>8</v>
      </c>
      <c r="AL898" t="s">
        <v>89</v>
      </c>
      <c r="AM898" t="s">
        <v>90</v>
      </c>
      <c r="AN898" t="s">
        <v>91</v>
      </c>
      <c r="AO898" t="s">
        <v>8521</v>
      </c>
      <c r="AP898" t="s">
        <v>8522</v>
      </c>
      <c r="AQ898" t="s">
        <v>74</v>
      </c>
      <c r="AR898" t="s">
        <v>8523</v>
      </c>
      <c r="AS898" t="s">
        <v>8524</v>
      </c>
      <c r="AT898" t="s">
        <v>430</v>
      </c>
      <c r="AU898">
        <v>2021</v>
      </c>
      <c r="AV898">
        <v>415</v>
      </c>
      <c r="AW898" t="s">
        <v>74</v>
      </c>
      <c r="AX898" t="s">
        <v>74</v>
      </c>
      <c r="AY898" t="s">
        <v>74</v>
      </c>
      <c r="AZ898" t="s">
        <v>74</v>
      </c>
      <c r="BA898" t="s">
        <v>74</v>
      </c>
      <c r="BB898" t="s">
        <v>74</v>
      </c>
      <c r="BC898" t="s">
        <v>74</v>
      </c>
      <c r="BD898">
        <v>107249</v>
      </c>
      <c r="BE898" t="s">
        <v>17379</v>
      </c>
      <c r="BF898" t="str">
        <f>HYPERLINK("http://dx.doi.org/10.1016/j.jvolgeores.2021.107249","http://dx.doi.org/10.1016/j.jvolgeores.2021.107249")</f>
        <v>http://dx.doi.org/10.1016/j.jvolgeores.2021.107249</v>
      </c>
      <c r="BG898" t="s">
        <v>74</v>
      </c>
      <c r="BH898" t="s">
        <v>14415</v>
      </c>
      <c r="BI898">
        <v>19</v>
      </c>
      <c r="BJ898" t="s">
        <v>405</v>
      </c>
      <c r="BK898" t="s">
        <v>128</v>
      </c>
      <c r="BL898" t="s">
        <v>406</v>
      </c>
      <c r="BM898" t="s">
        <v>17380</v>
      </c>
      <c r="BN898" t="s">
        <v>74</v>
      </c>
      <c r="BO898" t="s">
        <v>2514</v>
      </c>
      <c r="BP898" t="s">
        <v>74</v>
      </c>
      <c r="BQ898" t="s">
        <v>74</v>
      </c>
      <c r="BR898" t="s">
        <v>102</v>
      </c>
      <c r="BS898" t="s">
        <v>17381</v>
      </c>
      <c r="BT898" t="str">
        <f>HYPERLINK("https%3A%2F%2Fwww.webofscience.com%2Fwos%2Fwoscc%2Ffull-record%2FWOS:000663343500003","View Full Record in Web of Science")</f>
        <v>View Full Record in Web of Science</v>
      </c>
    </row>
    <row r="899" spans="1:72" x14ac:dyDescent="0.15">
      <c r="A899" t="s">
        <v>72</v>
      </c>
      <c r="B899" t="s">
        <v>17382</v>
      </c>
      <c r="C899" t="s">
        <v>74</v>
      </c>
      <c r="D899" t="s">
        <v>74</v>
      </c>
      <c r="E899" t="s">
        <v>74</v>
      </c>
      <c r="F899" t="s">
        <v>17383</v>
      </c>
      <c r="G899" t="s">
        <v>74</v>
      </c>
      <c r="H899" t="s">
        <v>74</v>
      </c>
      <c r="I899" t="s">
        <v>17384</v>
      </c>
      <c r="J899" t="s">
        <v>3417</v>
      </c>
      <c r="K899" t="s">
        <v>74</v>
      </c>
      <c r="L899" t="s">
        <v>74</v>
      </c>
      <c r="M899" t="s">
        <v>78</v>
      </c>
      <c r="N899" t="s">
        <v>79</v>
      </c>
      <c r="O899" t="s">
        <v>74</v>
      </c>
      <c r="P899" t="s">
        <v>74</v>
      </c>
      <c r="Q899" t="s">
        <v>74</v>
      </c>
      <c r="R899" t="s">
        <v>74</v>
      </c>
      <c r="S899" t="s">
        <v>74</v>
      </c>
      <c r="T899" t="s">
        <v>17385</v>
      </c>
      <c r="U899" t="s">
        <v>17386</v>
      </c>
      <c r="V899" t="s">
        <v>17387</v>
      </c>
      <c r="W899" t="s">
        <v>17388</v>
      </c>
      <c r="X899" t="s">
        <v>17389</v>
      </c>
      <c r="Y899" t="s">
        <v>17390</v>
      </c>
      <c r="Z899" t="s">
        <v>17391</v>
      </c>
      <c r="AA899" t="s">
        <v>74</v>
      </c>
      <c r="AB899" t="s">
        <v>74</v>
      </c>
      <c r="AC899" t="s">
        <v>17392</v>
      </c>
      <c r="AD899" t="s">
        <v>17393</v>
      </c>
      <c r="AE899" t="s">
        <v>17394</v>
      </c>
      <c r="AF899" t="s">
        <v>74</v>
      </c>
      <c r="AG899">
        <v>73</v>
      </c>
      <c r="AH899">
        <v>1</v>
      </c>
      <c r="AI899">
        <v>1</v>
      </c>
      <c r="AJ899">
        <v>1</v>
      </c>
      <c r="AK899">
        <v>3</v>
      </c>
      <c r="AL899" t="s">
        <v>2190</v>
      </c>
      <c r="AM899" t="s">
        <v>228</v>
      </c>
      <c r="AN899" t="s">
        <v>2191</v>
      </c>
      <c r="AO899" t="s">
        <v>3430</v>
      </c>
      <c r="AP899" t="s">
        <v>3431</v>
      </c>
      <c r="AQ899" t="s">
        <v>74</v>
      </c>
      <c r="AR899" t="s">
        <v>3432</v>
      </c>
      <c r="AS899" t="s">
        <v>3433</v>
      </c>
      <c r="AT899" t="s">
        <v>17395</v>
      </c>
      <c r="AU899">
        <v>2021</v>
      </c>
      <c r="AV899">
        <v>43</v>
      </c>
      <c r="AW899">
        <v>3</v>
      </c>
      <c r="AX899" t="s">
        <v>74</v>
      </c>
      <c r="AY899" t="s">
        <v>74</v>
      </c>
      <c r="AZ899" t="s">
        <v>74</v>
      </c>
      <c r="BA899" t="s">
        <v>74</v>
      </c>
      <c r="BB899">
        <v>458</v>
      </c>
      <c r="BC899">
        <v>474</v>
      </c>
      <c r="BD899" t="s">
        <v>74</v>
      </c>
      <c r="BE899" t="s">
        <v>17396</v>
      </c>
      <c r="BF899" t="str">
        <f>HYPERLINK("http://dx.doi.org/10.1093/plankt/fbab032","http://dx.doi.org/10.1093/plankt/fbab032")</f>
        <v>http://dx.doi.org/10.1093/plankt/fbab032</v>
      </c>
      <c r="BG899" t="s">
        <v>74</v>
      </c>
      <c r="BH899" t="s">
        <v>14415</v>
      </c>
      <c r="BI899">
        <v>17</v>
      </c>
      <c r="BJ899" t="s">
        <v>3436</v>
      </c>
      <c r="BK899" t="s">
        <v>128</v>
      </c>
      <c r="BL899" t="s">
        <v>3436</v>
      </c>
      <c r="BM899" t="s">
        <v>17397</v>
      </c>
      <c r="BN899" t="s">
        <v>74</v>
      </c>
      <c r="BO899" t="s">
        <v>74</v>
      </c>
      <c r="BP899" t="s">
        <v>74</v>
      </c>
      <c r="BQ899" t="s">
        <v>74</v>
      </c>
      <c r="BR899" t="s">
        <v>102</v>
      </c>
      <c r="BS899" t="s">
        <v>17398</v>
      </c>
      <c r="BT899" t="str">
        <f>HYPERLINK("https%3A%2F%2Fwww.webofscience.com%2Fwos%2Fwoscc%2Ffull-record%2FWOS:000661484700010","View Full Record in Web of Science")</f>
        <v>View Full Record in Web of Science</v>
      </c>
    </row>
    <row r="900" spans="1:72" x14ac:dyDescent="0.15">
      <c r="A900" t="s">
        <v>72</v>
      </c>
      <c r="B900" t="s">
        <v>17399</v>
      </c>
      <c r="C900" t="s">
        <v>74</v>
      </c>
      <c r="D900" t="s">
        <v>74</v>
      </c>
      <c r="E900" t="s">
        <v>74</v>
      </c>
      <c r="F900" t="s">
        <v>17400</v>
      </c>
      <c r="G900" t="s">
        <v>74</v>
      </c>
      <c r="H900" t="s">
        <v>74</v>
      </c>
      <c r="I900" t="s">
        <v>17401</v>
      </c>
      <c r="J900" t="s">
        <v>13688</v>
      </c>
      <c r="K900" t="s">
        <v>74</v>
      </c>
      <c r="L900" t="s">
        <v>74</v>
      </c>
      <c r="M900" t="s">
        <v>78</v>
      </c>
      <c r="N900" t="s">
        <v>79</v>
      </c>
      <c r="O900" t="s">
        <v>74</v>
      </c>
      <c r="P900" t="s">
        <v>74</v>
      </c>
      <c r="Q900" t="s">
        <v>74</v>
      </c>
      <c r="R900" t="s">
        <v>74</v>
      </c>
      <c r="S900" t="s">
        <v>74</v>
      </c>
      <c r="T900" t="s">
        <v>17402</v>
      </c>
      <c r="U900" t="s">
        <v>17403</v>
      </c>
      <c r="V900" t="s">
        <v>17404</v>
      </c>
      <c r="W900" t="s">
        <v>17405</v>
      </c>
      <c r="X900" t="s">
        <v>17406</v>
      </c>
      <c r="Y900" t="s">
        <v>17407</v>
      </c>
      <c r="Z900" t="s">
        <v>17408</v>
      </c>
      <c r="AA900" t="s">
        <v>17409</v>
      </c>
      <c r="AB900" t="s">
        <v>17410</v>
      </c>
      <c r="AC900" t="s">
        <v>17411</v>
      </c>
      <c r="AD900" t="s">
        <v>17412</v>
      </c>
      <c r="AE900" t="s">
        <v>17413</v>
      </c>
      <c r="AF900" t="s">
        <v>74</v>
      </c>
      <c r="AG900">
        <v>58</v>
      </c>
      <c r="AH900">
        <v>5</v>
      </c>
      <c r="AI900">
        <v>6</v>
      </c>
      <c r="AJ900">
        <v>0</v>
      </c>
      <c r="AK900">
        <v>10</v>
      </c>
      <c r="AL900" t="s">
        <v>89</v>
      </c>
      <c r="AM900" t="s">
        <v>90</v>
      </c>
      <c r="AN900" t="s">
        <v>91</v>
      </c>
      <c r="AO900" t="s">
        <v>13699</v>
      </c>
      <c r="AP900" t="s">
        <v>13700</v>
      </c>
      <c r="AQ900" t="s">
        <v>74</v>
      </c>
      <c r="AR900" t="s">
        <v>13701</v>
      </c>
      <c r="AS900" t="s">
        <v>13702</v>
      </c>
      <c r="AT900" t="s">
        <v>535</v>
      </c>
      <c r="AU900">
        <v>2021</v>
      </c>
      <c r="AV900">
        <v>220</v>
      </c>
      <c r="AW900" t="s">
        <v>74</v>
      </c>
      <c r="AX900" t="s">
        <v>74</v>
      </c>
      <c r="AY900" t="s">
        <v>74</v>
      </c>
      <c r="AZ900" t="s">
        <v>74</v>
      </c>
      <c r="BA900" t="s">
        <v>74</v>
      </c>
      <c r="BB900" t="s">
        <v>74</v>
      </c>
      <c r="BC900" t="s">
        <v>74</v>
      </c>
      <c r="BD900">
        <v>103556</v>
      </c>
      <c r="BE900" t="s">
        <v>17414</v>
      </c>
      <c r="BF900" t="str">
        <f>HYPERLINK("http://dx.doi.org/10.1016/j.jmarsys.2021.103556","http://dx.doi.org/10.1016/j.jmarsys.2021.103556")</f>
        <v>http://dx.doi.org/10.1016/j.jmarsys.2021.103556</v>
      </c>
      <c r="BG900" t="s">
        <v>74</v>
      </c>
      <c r="BH900" t="s">
        <v>14415</v>
      </c>
      <c r="BI900">
        <v>12</v>
      </c>
      <c r="BJ900" t="s">
        <v>13704</v>
      </c>
      <c r="BK900" t="s">
        <v>128</v>
      </c>
      <c r="BL900" t="s">
        <v>13705</v>
      </c>
      <c r="BM900" t="s">
        <v>15840</v>
      </c>
      <c r="BN900" t="s">
        <v>74</v>
      </c>
      <c r="BO900" t="s">
        <v>8570</v>
      </c>
      <c r="BP900" t="s">
        <v>74</v>
      </c>
      <c r="BQ900" t="s">
        <v>74</v>
      </c>
      <c r="BR900" t="s">
        <v>102</v>
      </c>
      <c r="BS900" t="s">
        <v>17415</v>
      </c>
      <c r="BT900" t="str">
        <f>HYPERLINK("https%3A%2F%2Fwww.webofscience.com%2Fwos%2Fwoscc%2Ffull-record%2FWOS:000656425200004","View Full Record in Web of Science")</f>
        <v>View Full Record in Web of Science</v>
      </c>
    </row>
    <row r="901" spans="1:72" x14ac:dyDescent="0.15">
      <c r="A901" t="s">
        <v>72</v>
      </c>
      <c r="B901" t="s">
        <v>17416</v>
      </c>
      <c r="C901" t="s">
        <v>74</v>
      </c>
      <c r="D901" t="s">
        <v>74</v>
      </c>
      <c r="E901" t="s">
        <v>74</v>
      </c>
      <c r="F901" t="s">
        <v>17417</v>
      </c>
      <c r="G901" t="s">
        <v>74</v>
      </c>
      <c r="H901" t="s">
        <v>74</v>
      </c>
      <c r="I901" t="s">
        <v>17418</v>
      </c>
      <c r="J901" t="s">
        <v>5196</v>
      </c>
      <c r="K901" t="s">
        <v>74</v>
      </c>
      <c r="L901" t="s">
        <v>74</v>
      </c>
      <c r="M901" t="s">
        <v>78</v>
      </c>
      <c r="N901" t="s">
        <v>79</v>
      </c>
      <c r="O901" t="s">
        <v>74</v>
      </c>
      <c r="P901" t="s">
        <v>74</v>
      </c>
      <c r="Q901" t="s">
        <v>74</v>
      </c>
      <c r="R901" t="s">
        <v>74</v>
      </c>
      <c r="S901" t="s">
        <v>74</v>
      </c>
      <c r="T901" t="s">
        <v>74</v>
      </c>
      <c r="U901" t="s">
        <v>17419</v>
      </c>
      <c r="V901" t="s">
        <v>17420</v>
      </c>
      <c r="W901" t="s">
        <v>17421</v>
      </c>
      <c r="X901" t="s">
        <v>17422</v>
      </c>
      <c r="Y901" t="s">
        <v>17423</v>
      </c>
      <c r="Z901" t="s">
        <v>17424</v>
      </c>
      <c r="AA901" t="s">
        <v>17425</v>
      </c>
      <c r="AB901" t="s">
        <v>17426</v>
      </c>
      <c r="AC901" t="s">
        <v>17427</v>
      </c>
      <c r="AD901" t="s">
        <v>17428</v>
      </c>
      <c r="AE901" t="s">
        <v>74</v>
      </c>
      <c r="AF901" t="s">
        <v>74</v>
      </c>
      <c r="AG901">
        <v>67</v>
      </c>
      <c r="AH901">
        <v>159</v>
      </c>
      <c r="AI901">
        <v>166</v>
      </c>
      <c r="AJ901">
        <v>20</v>
      </c>
      <c r="AK901">
        <v>193</v>
      </c>
      <c r="AL901" t="s">
        <v>395</v>
      </c>
      <c r="AM901" t="s">
        <v>396</v>
      </c>
      <c r="AN901" t="s">
        <v>397</v>
      </c>
      <c r="AO901" t="s">
        <v>5208</v>
      </c>
      <c r="AP901" t="s">
        <v>5209</v>
      </c>
      <c r="AQ901" t="s">
        <v>74</v>
      </c>
      <c r="AR901" t="s">
        <v>5196</v>
      </c>
      <c r="AS901" t="s">
        <v>5210</v>
      </c>
      <c r="AT901" t="s">
        <v>17429</v>
      </c>
      <c r="AU901">
        <v>2021</v>
      </c>
      <c r="AV901">
        <v>593</v>
      </c>
      <c r="AW901">
        <v>7857</v>
      </c>
      <c r="AX901" t="s">
        <v>74</v>
      </c>
      <c r="AY901" t="s">
        <v>74</v>
      </c>
      <c r="AZ901" t="s">
        <v>74</v>
      </c>
      <c r="BA901" t="s">
        <v>74</v>
      </c>
      <c r="BB901">
        <v>74</v>
      </c>
      <c r="BC901" t="s">
        <v>403</v>
      </c>
      <c r="BD901" t="s">
        <v>74</v>
      </c>
      <c r="BE901" t="s">
        <v>17430</v>
      </c>
      <c r="BF901" t="str">
        <f>HYPERLINK("http://dx.doi.org/10.1038/s41586-021-03302-y","http://dx.doi.org/10.1038/s41586-021-03302-y")</f>
        <v>http://dx.doi.org/10.1038/s41586-021-03302-y</v>
      </c>
      <c r="BG901" t="s">
        <v>74</v>
      </c>
      <c r="BH901" t="s">
        <v>74</v>
      </c>
      <c r="BI901">
        <v>26</v>
      </c>
      <c r="BJ901" t="s">
        <v>2609</v>
      </c>
      <c r="BK901" t="s">
        <v>128</v>
      </c>
      <c r="BL901" t="s">
        <v>2610</v>
      </c>
      <c r="BM901" t="s">
        <v>17431</v>
      </c>
      <c r="BN901">
        <v>33953415</v>
      </c>
      <c r="BO901" t="s">
        <v>17432</v>
      </c>
      <c r="BP901" t="s">
        <v>2812</v>
      </c>
      <c r="BQ901" t="s">
        <v>2813</v>
      </c>
      <c r="BR901" t="s">
        <v>102</v>
      </c>
      <c r="BS901" t="s">
        <v>17433</v>
      </c>
      <c r="BT901" t="str">
        <f>HYPERLINK("https%3A%2F%2Fwww.webofscience.com%2Fwos%2Fwoscc%2Ffull-record%2FWOS:000647642900014","View Full Record in Web of Science")</f>
        <v>View Full Record in Web of Science</v>
      </c>
    </row>
    <row r="902" spans="1:72" x14ac:dyDescent="0.15">
      <c r="A902" t="s">
        <v>72</v>
      </c>
      <c r="B902" t="s">
        <v>17434</v>
      </c>
      <c r="C902" t="s">
        <v>74</v>
      </c>
      <c r="D902" t="s">
        <v>74</v>
      </c>
      <c r="E902" t="s">
        <v>74</v>
      </c>
      <c r="F902" t="s">
        <v>17435</v>
      </c>
      <c r="G902" t="s">
        <v>74</v>
      </c>
      <c r="H902" t="s">
        <v>74</v>
      </c>
      <c r="I902" t="s">
        <v>17436</v>
      </c>
      <c r="J902" t="s">
        <v>5196</v>
      </c>
      <c r="K902" t="s">
        <v>74</v>
      </c>
      <c r="L902" t="s">
        <v>74</v>
      </c>
      <c r="M902" t="s">
        <v>78</v>
      </c>
      <c r="N902" t="s">
        <v>79</v>
      </c>
      <c r="O902" t="s">
        <v>74</v>
      </c>
      <c r="P902" t="s">
        <v>74</v>
      </c>
      <c r="Q902" t="s">
        <v>74</v>
      </c>
      <c r="R902" t="s">
        <v>74</v>
      </c>
      <c r="S902" t="s">
        <v>74</v>
      </c>
      <c r="T902" t="s">
        <v>74</v>
      </c>
      <c r="U902" t="s">
        <v>17437</v>
      </c>
      <c r="V902" t="s">
        <v>17438</v>
      </c>
      <c r="W902" t="s">
        <v>17439</v>
      </c>
      <c r="X902" t="s">
        <v>17440</v>
      </c>
      <c r="Y902" t="s">
        <v>17441</v>
      </c>
      <c r="Z902" t="s">
        <v>17442</v>
      </c>
      <c r="AA902" t="s">
        <v>17443</v>
      </c>
      <c r="AB902" t="s">
        <v>17444</v>
      </c>
      <c r="AC902" t="s">
        <v>17445</v>
      </c>
      <c r="AD902" t="s">
        <v>3525</v>
      </c>
      <c r="AE902" t="s">
        <v>74</v>
      </c>
      <c r="AF902" t="s">
        <v>74</v>
      </c>
      <c r="AG902">
        <v>87</v>
      </c>
      <c r="AH902">
        <v>189</v>
      </c>
      <c r="AI902">
        <v>215</v>
      </c>
      <c r="AJ902">
        <v>31</v>
      </c>
      <c r="AK902">
        <v>206</v>
      </c>
      <c r="AL902" t="s">
        <v>395</v>
      </c>
      <c r="AM902" t="s">
        <v>396</v>
      </c>
      <c r="AN902" t="s">
        <v>397</v>
      </c>
      <c r="AO902" t="s">
        <v>5208</v>
      </c>
      <c r="AP902" t="s">
        <v>5209</v>
      </c>
      <c r="AQ902" t="s">
        <v>74</v>
      </c>
      <c r="AR902" t="s">
        <v>5196</v>
      </c>
      <c r="AS902" t="s">
        <v>5210</v>
      </c>
      <c r="AT902" t="s">
        <v>17429</v>
      </c>
      <c r="AU902">
        <v>2021</v>
      </c>
      <c r="AV902">
        <v>593</v>
      </c>
      <c r="AW902">
        <v>7857</v>
      </c>
      <c r="AX902" t="s">
        <v>74</v>
      </c>
      <c r="AY902" t="s">
        <v>74</v>
      </c>
      <c r="AZ902" t="s">
        <v>74</v>
      </c>
      <c r="BA902" t="s">
        <v>74</v>
      </c>
      <c r="BB902">
        <v>83</v>
      </c>
      <c r="BC902" t="s">
        <v>403</v>
      </c>
      <c r="BD902" t="s">
        <v>74</v>
      </c>
      <c r="BE902" t="s">
        <v>17446</v>
      </c>
      <c r="BF902" t="str">
        <f>HYPERLINK("http://dx.doi.org/10.1038/s41586-021-03427-0","http://dx.doi.org/10.1038/s41586-021-03427-0")</f>
        <v>http://dx.doi.org/10.1038/s41586-021-03427-0</v>
      </c>
      <c r="BG902" t="s">
        <v>74</v>
      </c>
      <c r="BH902" t="s">
        <v>74</v>
      </c>
      <c r="BI902">
        <v>21</v>
      </c>
      <c r="BJ902" t="s">
        <v>2609</v>
      </c>
      <c r="BK902" t="s">
        <v>128</v>
      </c>
      <c r="BL902" t="s">
        <v>2610</v>
      </c>
      <c r="BM902" t="s">
        <v>17431</v>
      </c>
      <c r="BN902">
        <v>33953408</v>
      </c>
      <c r="BO902" t="s">
        <v>2125</v>
      </c>
      <c r="BP902" t="s">
        <v>2812</v>
      </c>
      <c r="BQ902" t="s">
        <v>2813</v>
      </c>
      <c r="BR902" t="s">
        <v>102</v>
      </c>
      <c r="BS902" t="s">
        <v>17447</v>
      </c>
      <c r="BT902" t="str">
        <f>HYPERLINK("https%3A%2F%2Fwww.webofscience.com%2Fwos%2Fwoscc%2Ffull-record%2FWOS:000647642900015","View Full Record in Web of Science")</f>
        <v>View Full Record in Web of Science</v>
      </c>
    </row>
    <row r="903" spans="1:72" x14ac:dyDescent="0.15">
      <c r="A903" t="s">
        <v>72</v>
      </c>
      <c r="B903" t="s">
        <v>17448</v>
      </c>
      <c r="C903" t="s">
        <v>74</v>
      </c>
      <c r="D903" t="s">
        <v>74</v>
      </c>
      <c r="E903" t="s">
        <v>74</v>
      </c>
      <c r="F903" t="s">
        <v>17449</v>
      </c>
      <c r="G903" t="s">
        <v>74</v>
      </c>
      <c r="H903" t="s">
        <v>74</v>
      </c>
      <c r="I903" t="s">
        <v>17450</v>
      </c>
      <c r="J903" t="s">
        <v>11754</v>
      </c>
      <c r="K903" t="s">
        <v>74</v>
      </c>
      <c r="L903" t="s">
        <v>74</v>
      </c>
      <c r="M903" t="s">
        <v>78</v>
      </c>
      <c r="N903" t="s">
        <v>79</v>
      </c>
      <c r="O903" t="s">
        <v>74</v>
      </c>
      <c r="P903" t="s">
        <v>74</v>
      </c>
      <c r="Q903" t="s">
        <v>74</v>
      </c>
      <c r="R903" t="s">
        <v>74</v>
      </c>
      <c r="S903" t="s">
        <v>74</v>
      </c>
      <c r="T903" t="s">
        <v>74</v>
      </c>
      <c r="U903" t="s">
        <v>17451</v>
      </c>
      <c r="V903" t="s">
        <v>17452</v>
      </c>
      <c r="W903" t="s">
        <v>17453</v>
      </c>
      <c r="X903" t="s">
        <v>17454</v>
      </c>
      <c r="Y903" t="s">
        <v>17455</v>
      </c>
      <c r="Z903" t="s">
        <v>17456</v>
      </c>
      <c r="AA903" t="s">
        <v>17457</v>
      </c>
      <c r="AB903" t="s">
        <v>17458</v>
      </c>
      <c r="AC903" t="s">
        <v>17459</v>
      </c>
      <c r="AD903" t="s">
        <v>17460</v>
      </c>
      <c r="AE903" t="s">
        <v>17461</v>
      </c>
      <c r="AF903" t="s">
        <v>74</v>
      </c>
      <c r="AG903">
        <v>76</v>
      </c>
      <c r="AH903">
        <v>8</v>
      </c>
      <c r="AI903">
        <v>8</v>
      </c>
      <c r="AJ903">
        <v>1</v>
      </c>
      <c r="AK903">
        <v>30</v>
      </c>
      <c r="AL903" t="s">
        <v>197</v>
      </c>
      <c r="AM903" t="s">
        <v>198</v>
      </c>
      <c r="AN903" t="s">
        <v>199</v>
      </c>
      <c r="AO903" t="s">
        <v>11766</v>
      </c>
      <c r="AP903" t="s">
        <v>11767</v>
      </c>
      <c r="AQ903" t="s">
        <v>74</v>
      </c>
      <c r="AR903" t="s">
        <v>11768</v>
      </c>
      <c r="AS903" t="s">
        <v>11769</v>
      </c>
      <c r="AT903" t="s">
        <v>4571</v>
      </c>
      <c r="AU903">
        <v>2021</v>
      </c>
      <c r="AV903">
        <v>66</v>
      </c>
      <c r="AW903">
        <v>6</v>
      </c>
      <c r="AX903" t="s">
        <v>74</v>
      </c>
      <c r="AY903" t="s">
        <v>74</v>
      </c>
      <c r="AZ903" t="s">
        <v>74</v>
      </c>
      <c r="BA903" t="s">
        <v>74</v>
      </c>
      <c r="BB903">
        <v>2563</v>
      </c>
      <c r="BC903">
        <v>2582</v>
      </c>
      <c r="BD903" t="s">
        <v>74</v>
      </c>
      <c r="BE903" t="s">
        <v>17462</v>
      </c>
      <c r="BF903" t="str">
        <f>HYPERLINK("http://dx.doi.org/10.1002/lno.11773","http://dx.doi.org/10.1002/lno.11773")</f>
        <v>http://dx.doi.org/10.1002/lno.11773</v>
      </c>
      <c r="BG903" t="s">
        <v>74</v>
      </c>
      <c r="BH903" t="s">
        <v>14415</v>
      </c>
      <c r="BI903">
        <v>20</v>
      </c>
      <c r="BJ903" t="s">
        <v>8999</v>
      </c>
      <c r="BK903" t="s">
        <v>128</v>
      </c>
      <c r="BL903" t="s">
        <v>3436</v>
      </c>
      <c r="BM903" t="s">
        <v>17463</v>
      </c>
      <c r="BN903" t="s">
        <v>74</v>
      </c>
      <c r="BO903" t="s">
        <v>514</v>
      </c>
      <c r="BP903" t="s">
        <v>74</v>
      </c>
      <c r="BQ903" t="s">
        <v>74</v>
      </c>
      <c r="BR903" t="s">
        <v>102</v>
      </c>
      <c r="BS903" t="s">
        <v>17464</v>
      </c>
      <c r="BT903" t="str">
        <f>HYPERLINK("https%3A%2F%2Fwww.webofscience.com%2Fwos%2Fwoscc%2Ffull-record%2FWOS:000647431800001","View Full Record in Web of Science")</f>
        <v>View Full Record in Web of Science</v>
      </c>
    </row>
    <row r="904" spans="1:72" x14ac:dyDescent="0.15">
      <c r="A904" t="s">
        <v>72</v>
      </c>
      <c r="B904" t="s">
        <v>17465</v>
      </c>
      <c r="C904" t="s">
        <v>74</v>
      </c>
      <c r="D904" t="s">
        <v>74</v>
      </c>
      <c r="E904" t="s">
        <v>74</v>
      </c>
      <c r="F904" t="s">
        <v>17466</v>
      </c>
      <c r="G904" t="s">
        <v>74</v>
      </c>
      <c r="H904" t="s">
        <v>74</v>
      </c>
      <c r="I904" t="s">
        <v>17467</v>
      </c>
      <c r="J904" t="s">
        <v>11974</v>
      </c>
      <c r="K904" t="s">
        <v>74</v>
      </c>
      <c r="L904" t="s">
        <v>74</v>
      </c>
      <c r="M904" t="s">
        <v>78</v>
      </c>
      <c r="N904" t="s">
        <v>79</v>
      </c>
      <c r="O904" t="s">
        <v>74</v>
      </c>
      <c r="P904" t="s">
        <v>74</v>
      </c>
      <c r="Q904" t="s">
        <v>74</v>
      </c>
      <c r="R904" t="s">
        <v>74</v>
      </c>
      <c r="S904" t="s">
        <v>74</v>
      </c>
      <c r="T904" t="s">
        <v>74</v>
      </c>
      <c r="U904" t="s">
        <v>17468</v>
      </c>
      <c r="V904" t="s">
        <v>17469</v>
      </c>
      <c r="W904" t="s">
        <v>17470</v>
      </c>
      <c r="X904" t="s">
        <v>17471</v>
      </c>
      <c r="Y904" t="s">
        <v>17472</v>
      </c>
      <c r="Z904" t="s">
        <v>17473</v>
      </c>
      <c r="AA904" t="s">
        <v>17474</v>
      </c>
      <c r="AB904" t="s">
        <v>17475</v>
      </c>
      <c r="AC904" t="s">
        <v>17476</v>
      </c>
      <c r="AD904" t="s">
        <v>17477</v>
      </c>
      <c r="AE904" t="s">
        <v>17478</v>
      </c>
      <c r="AF904" t="s">
        <v>74</v>
      </c>
      <c r="AG904">
        <v>66</v>
      </c>
      <c r="AH904">
        <v>9</v>
      </c>
      <c r="AI904">
        <v>10</v>
      </c>
      <c r="AJ904">
        <v>4</v>
      </c>
      <c r="AK904">
        <v>21</v>
      </c>
      <c r="AL904" t="s">
        <v>197</v>
      </c>
      <c r="AM904" t="s">
        <v>198</v>
      </c>
      <c r="AN904" t="s">
        <v>199</v>
      </c>
      <c r="AO904" t="s">
        <v>11986</v>
      </c>
      <c r="AP904" t="s">
        <v>11987</v>
      </c>
      <c r="AQ904" t="s">
        <v>74</v>
      </c>
      <c r="AR904" t="s">
        <v>11988</v>
      </c>
      <c r="AS904" t="s">
        <v>11989</v>
      </c>
      <c r="AT904" t="s">
        <v>4571</v>
      </c>
      <c r="AU904">
        <v>2021</v>
      </c>
      <c r="AV904">
        <v>23</v>
      </c>
      <c r="AW904">
        <v>6</v>
      </c>
      <c r="AX904" t="s">
        <v>74</v>
      </c>
      <c r="AY904" t="s">
        <v>74</v>
      </c>
      <c r="AZ904" t="s">
        <v>74</v>
      </c>
      <c r="BA904" t="s">
        <v>74</v>
      </c>
      <c r="BB904">
        <v>3149</v>
      </c>
      <c r="BC904">
        <v>3163</v>
      </c>
      <c r="BD904" t="s">
        <v>74</v>
      </c>
      <c r="BE904" t="s">
        <v>17479</v>
      </c>
      <c r="BF904" t="str">
        <f>HYPERLINK("http://dx.doi.org/10.1111/1462-2920.15537","http://dx.doi.org/10.1111/1462-2920.15537")</f>
        <v>http://dx.doi.org/10.1111/1462-2920.15537</v>
      </c>
      <c r="BG904" t="s">
        <v>74</v>
      </c>
      <c r="BH904" t="s">
        <v>14415</v>
      </c>
      <c r="BI904">
        <v>15</v>
      </c>
      <c r="BJ904" t="s">
        <v>1499</v>
      </c>
      <c r="BK904" t="s">
        <v>128</v>
      </c>
      <c r="BL904" t="s">
        <v>1499</v>
      </c>
      <c r="BM904" t="s">
        <v>17480</v>
      </c>
      <c r="BN904">
        <v>33876569</v>
      </c>
      <c r="BO904" t="s">
        <v>74</v>
      </c>
      <c r="BP904" t="s">
        <v>74</v>
      </c>
      <c r="BQ904" t="s">
        <v>74</v>
      </c>
      <c r="BR904" t="s">
        <v>102</v>
      </c>
      <c r="BS904" t="s">
        <v>17481</v>
      </c>
      <c r="BT904" t="str">
        <f>HYPERLINK("https%3A%2F%2Fwww.webofscience.com%2Fwos%2Fwoscc%2Ffull-record%2FWOS:000648032100001","View Full Record in Web of Science")</f>
        <v>View Full Record in Web of Science</v>
      </c>
    </row>
    <row r="905" spans="1:72" x14ac:dyDescent="0.15">
      <c r="A905" t="s">
        <v>72</v>
      </c>
      <c r="B905" t="s">
        <v>17482</v>
      </c>
      <c r="C905" t="s">
        <v>74</v>
      </c>
      <c r="D905" t="s">
        <v>74</v>
      </c>
      <c r="E905" t="s">
        <v>74</v>
      </c>
      <c r="F905" t="s">
        <v>17483</v>
      </c>
      <c r="G905" t="s">
        <v>74</v>
      </c>
      <c r="H905" t="s">
        <v>74</v>
      </c>
      <c r="I905" t="s">
        <v>17484</v>
      </c>
      <c r="J905" t="s">
        <v>11754</v>
      </c>
      <c r="K905" t="s">
        <v>74</v>
      </c>
      <c r="L905" t="s">
        <v>74</v>
      </c>
      <c r="M905" t="s">
        <v>78</v>
      </c>
      <c r="N905" t="s">
        <v>79</v>
      </c>
      <c r="O905" t="s">
        <v>74</v>
      </c>
      <c r="P905" t="s">
        <v>74</v>
      </c>
      <c r="Q905" t="s">
        <v>74</v>
      </c>
      <c r="R905" t="s">
        <v>74</v>
      </c>
      <c r="S905" t="s">
        <v>74</v>
      </c>
      <c r="T905" t="s">
        <v>74</v>
      </c>
      <c r="U905" t="s">
        <v>17485</v>
      </c>
      <c r="V905" t="s">
        <v>17486</v>
      </c>
      <c r="W905" t="s">
        <v>17487</v>
      </c>
      <c r="X905" t="s">
        <v>17488</v>
      </c>
      <c r="Y905" t="s">
        <v>17489</v>
      </c>
      <c r="Z905" t="s">
        <v>17490</v>
      </c>
      <c r="AA905" t="s">
        <v>17491</v>
      </c>
      <c r="AB905" t="s">
        <v>17492</v>
      </c>
      <c r="AC905" t="s">
        <v>17493</v>
      </c>
      <c r="AD905" t="s">
        <v>17494</v>
      </c>
      <c r="AE905" t="s">
        <v>17495</v>
      </c>
      <c r="AF905" t="s">
        <v>74</v>
      </c>
      <c r="AG905">
        <v>53</v>
      </c>
      <c r="AH905">
        <v>13</v>
      </c>
      <c r="AI905">
        <v>13</v>
      </c>
      <c r="AJ905">
        <v>2</v>
      </c>
      <c r="AK905">
        <v>18</v>
      </c>
      <c r="AL905" t="s">
        <v>197</v>
      </c>
      <c r="AM905" t="s">
        <v>198</v>
      </c>
      <c r="AN905" t="s">
        <v>199</v>
      </c>
      <c r="AO905" t="s">
        <v>11766</v>
      </c>
      <c r="AP905" t="s">
        <v>11767</v>
      </c>
      <c r="AQ905" t="s">
        <v>74</v>
      </c>
      <c r="AR905" t="s">
        <v>11768</v>
      </c>
      <c r="AS905" t="s">
        <v>11769</v>
      </c>
      <c r="AT905" t="s">
        <v>4571</v>
      </c>
      <c r="AU905">
        <v>2021</v>
      </c>
      <c r="AV905">
        <v>66</v>
      </c>
      <c r="AW905">
        <v>6</v>
      </c>
      <c r="AX905" t="s">
        <v>74</v>
      </c>
      <c r="AY905" t="s">
        <v>74</v>
      </c>
      <c r="AZ905" t="s">
        <v>74</v>
      </c>
      <c r="BA905" t="s">
        <v>74</v>
      </c>
      <c r="BB905">
        <v>2470</v>
      </c>
      <c r="BC905">
        <v>2480</v>
      </c>
      <c r="BD905" t="s">
        <v>74</v>
      </c>
      <c r="BE905" t="s">
        <v>17496</v>
      </c>
      <c r="BF905" t="str">
        <f>HYPERLINK("http://dx.doi.org/10.1002/lno.11765","http://dx.doi.org/10.1002/lno.11765")</f>
        <v>http://dx.doi.org/10.1002/lno.11765</v>
      </c>
      <c r="BG905" t="s">
        <v>74</v>
      </c>
      <c r="BH905" t="s">
        <v>14415</v>
      </c>
      <c r="BI905">
        <v>11</v>
      </c>
      <c r="BJ905" t="s">
        <v>8999</v>
      </c>
      <c r="BK905" t="s">
        <v>128</v>
      </c>
      <c r="BL905" t="s">
        <v>3436</v>
      </c>
      <c r="BM905" t="s">
        <v>17463</v>
      </c>
      <c r="BN905" t="s">
        <v>74</v>
      </c>
      <c r="BO905" t="s">
        <v>238</v>
      </c>
      <c r="BP905" t="s">
        <v>74</v>
      </c>
      <c r="BQ905" t="s">
        <v>74</v>
      </c>
      <c r="BR905" t="s">
        <v>102</v>
      </c>
      <c r="BS905" t="s">
        <v>17497</v>
      </c>
      <c r="BT905" t="str">
        <f>HYPERLINK("https%3A%2F%2Fwww.webofscience.com%2Fwos%2Fwoscc%2Ffull-record%2FWOS:000647412200001","View Full Record in Web of Science")</f>
        <v>View Full Record in Web of Science</v>
      </c>
    </row>
    <row r="906" spans="1:72" x14ac:dyDescent="0.15">
      <c r="A906" t="s">
        <v>72</v>
      </c>
      <c r="B906" t="s">
        <v>17498</v>
      </c>
      <c r="C906" t="s">
        <v>74</v>
      </c>
      <c r="D906" t="s">
        <v>74</v>
      </c>
      <c r="E906" t="s">
        <v>74</v>
      </c>
      <c r="F906" t="s">
        <v>17499</v>
      </c>
      <c r="G906" t="s">
        <v>74</v>
      </c>
      <c r="H906" t="s">
        <v>74</v>
      </c>
      <c r="I906" t="s">
        <v>17500</v>
      </c>
      <c r="J906" t="s">
        <v>17501</v>
      </c>
      <c r="K906" t="s">
        <v>74</v>
      </c>
      <c r="L906" t="s">
        <v>74</v>
      </c>
      <c r="M906" t="s">
        <v>78</v>
      </c>
      <c r="N906" t="s">
        <v>79</v>
      </c>
      <c r="O906" t="s">
        <v>74</v>
      </c>
      <c r="P906" t="s">
        <v>74</v>
      </c>
      <c r="Q906" t="s">
        <v>74</v>
      </c>
      <c r="R906" t="s">
        <v>74</v>
      </c>
      <c r="S906" t="s">
        <v>74</v>
      </c>
      <c r="T906" t="s">
        <v>17502</v>
      </c>
      <c r="U906" t="s">
        <v>17503</v>
      </c>
      <c r="V906" t="s">
        <v>17504</v>
      </c>
      <c r="W906" t="s">
        <v>17505</v>
      </c>
      <c r="X906" t="s">
        <v>17506</v>
      </c>
      <c r="Y906" t="s">
        <v>17507</v>
      </c>
      <c r="Z906" t="s">
        <v>17508</v>
      </c>
      <c r="AA906" t="s">
        <v>74</v>
      </c>
      <c r="AB906" t="s">
        <v>14055</v>
      </c>
      <c r="AC906" t="s">
        <v>17509</v>
      </c>
      <c r="AD906" t="s">
        <v>17509</v>
      </c>
      <c r="AE906" t="s">
        <v>17510</v>
      </c>
      <c r="AF906" t="s">
        <v>74</v>
      </c>
      <c r="AG906">
        <v>15</v>
      </c>
      <c r="AH906">
        <v>4</v>
      </c>
      <c r="AI906">
        <v>4</v>
      </c>
      <c r="AJ906">
        <v>1</v>
      </c>
      <c r="AK906">
        <v>6</v>
      </c>
      <c r="AL906" t="s">
        <v>3135</v>
      </c>
      <c r="AM906" t="s">
        <v>3136</v>
      </c>
      <c r="AN906" t="s">
        <v>3137</v>
      </c>
      <c r="AO906" t="s">
        <v>17511</v>
      </c>
      <c r="AP906" t="s">
        <v>17512</v>
      </c>
      <c r="AQ906" t="s">
        <v>74</v>
      </c>
      <c r="AR906" t="s">
        <v>17501</v>
      </c>
      <c r="AS906" t="s">
        <v>17513</v>
      </c>
      <c r="AT906" t="s">
        <v>17514</v>
      </c>
      <c r="AU906">
        <v>2021</v>
      </c>
      <c r="AV906">
        <v>92</v>
      </c>
      <c r="AW906">
        <v>3</v>
      </c>
      <c r="AX906" t="s">
        <v>74</v>
      </c>
      <c r="AY906" t="s">
        <v>74</v>
      </c>
      <c r="AZ906" t="s">
        <v>74</v>
      </c>
      <c r="BA906" t="s">
        <v>74</v>
      </c>
      <c r="BB906">
        <v>225</v>
      </c>
      <c r="BC906">
        <v>228</v>
      </c>
      <c r="BD906" t="s">
        <v>74</v>
      </c>
      <c r="BE906" t="s">
        <v>17515</v>
      </c>
      <c r="BF906" t="str">
        <f>HYPERLINK("http://dx.doi.org/10.2989/00306525.2021.1897699","http://dx.doi.org/10.2989/00306525.2021.1897699")</f>
        <v>http://dx.doi.org/10.2989/00306525.2021.1897699</v>
      </c>
      <c r="BG906" t="s">
        <v>74</v>
      </c>
      <c r="BH906" t="s">
        <v>14415</v>
      </c>
      <c r="BI906">
        <v>4</v>
      </c>
      <c r="BJ906" t="s">
        <v>2949</v>
      </c>
      <c r="BK906" t="s">
        <v>128</v>
      </c>
      <c r="BL906" t="s">
        <v>2197</v>
      </c>
      <c r="BM906" t="s">
        <v>17516</v>
      </c>
      <c r="BN906" t="s">
        <v>74</v>
      </c>
      <c r="BO906" t="s">
        <v>408</v>
      </c>
      <c r="BP906" t="s">
        <v>74</v>
      </c>
      <c r="BQ906" t="s">
        <v>74</v>
      </c>
      <c r="BR906" t="s">
        <v>102</v>
      </c>
      <c r="BS906" t="s">
        <v>17517</v>
      </c>
      <c r="BT906" t="str">
        <f>HYPERLINK("https%3A%2F%2Fwww.webofscience.com%2Fwos%2Fwoscc%2Ffull-record%2FWOS:000647877600001","View Full Record in Web of Science")</f>
        <v>View Full Record in Web of Science</v>
      </c>
    </row>
    <row r="907" spans="1:72" x14ac:dyDescent="0.15">
      <c r="A907" t="s">
        <v>72</v>
      </c>
      <c r="B907" t="s">
        <v>17518</v>
      </c>
      <c r="C907" t="s">
        <v>74</v>
      </c>
      <c r="D907" t="s">
        <v>74</v>
      </c>
      <c r="E907" t="s">
        <v>74</v>
      </c>
      <c r="F907" t="s">
        <v>17519</v>
      </c>
      <c r="G907" t="s">
        <v>74</v>
      </c>
      <c r="H907" t="s">
        <v>74</v>
      </c>
      <c r="I907" t="s">
        <v>17520</v>
      </c>
      <c r="J907" t="s">
        <v>107</v>
      </c>
      <c r="K907" t="s">
        <v>74</v>
      </c>
      <c r="L907" t="s">
        <v>74</v>
      </c>
      <c r="M907" t="s">
        <v>78</v>
      </c>
      <c r="N907" t="s">
        <v>79</v>
      </c>
      <c r="O907" t="s">
        <v>74</v>
      </c>
      <c r="P907" t="s">
        <v>74</v>
      </c>
      <c r="Q907" t="s">
        <v>74</v>
      </c>
      <c r="R907" t="s">
        <v>74</v>
      </c>
      <c r="S907" t="s">
        <v>74</v>
      </c>
      <c r="T907" t="s">
        <v>17521</v>
      </c>
      <c r="U907" t="s">
        <v>17522</v>
      </c>
      <c r="V907" t="s">
        <v>17523</v>
      </c>
      <c r="W907" t="s">
        <v>17524</v>
      </c>
      <c r="X907" t="s">
        <v>17525</v>
      </c>
      <c r="Y907" t="s">
        <v>17526</v>
      </c>
      <c r="Z907" t="s">
        <v>17527</v>
      </c>
      <c r="AA907" t="s">
        <v>17528</v>
      </c>
      <c r="AB907" t="s">
        <v>17529</v>
      </c>
      <c r="AC907" t="s">
        <v>17530</v>
      </c>
      <c r="AD907" t="s">
        <v>17530</v>
      </c>
      <c r="AE907" t="s">
        <v>17531</v>
      </c>
      <c r="AF907" t="s">
        <v>74</v>
      </c>
      <c r="AG907">
        <v>90</v>
      </c>
      <c r="AH907">
        <v>14</v>
      </c>
      <c r="AI907">
        <v>14</v>
      </c>
      <c r="AJ907">
        <v>1</v>
      </c>
      <c r="AK907">
        <v>13</v>
      </c>
      <c r="AL907" t="s">
        <v>119</v>
      </c>
      <c r="AM907" t="s">
        <v>120</v>
      </c>
      <c r="AN907" t="s">
        <v>121</v>
      </c>
      <c r="AO907" t="s">
        <v>74</v>
      </c>
      <c r="AP907" t="s">
        <v>122</v>
      </c>
      <c r="AQ907" t="s">
        <v>74</v>
      </c>
      <c r="AR907" t="s">
        <v>123</v>
      </c>
      <c r="AS907" t="s">
        <v>124</v>
      </c>
      <c r="AT907" t="s">
        <v>17532</v>
      </c>
      <c r="AU907">
        <v>2021</v>
      </c>
      <c r="AV907">
        <v>8</v>
      </c>
      <c r="AW907" t="s">
        <v>74</v>
      </c>
      <c r="AX907" t="s">
        <v>74</v>
      </c>
      <c r="AY907" t="s">
        <v>74</v>
      </c>
      <c r="AZ907" t="s">
        <v>74</v>
      </c>
      <c r="BA907" t="s">
        <v>74</v>
      </c>
      <c r="BB907" t="s">
        <v>74</v>
      </c>
      <c r="BC907" t="s">
        <v>74</v>
      </c>
      <c r="BD907">
        <v>640338</v>
      </c>
      <c r="BE907" t="s">
        <v>17533</v>
      </c>
      <c r="BF907" t="str">
        <f>HYPERLINK("http://dx.doi.org/10.3389/fmars.2021.640338","http://dx.doi.org/10.3389/fmars.2021.640338")</f>
        <v>http://dx.doi.org/10.3389/fmars.2021.640338</v>
      </c>
      <c r="BG907" t="s">
        <v>74</v>
      </c>
      <c r="BH907" t="s">
        <v>74</v>
      </c>
      <c r="BI907">
        <v>17</v>
      </c>
      <c r="BJ907" t="s">
        <v>127</v>
      </c>
      <c r="BK907" t="s">
        <v>128</v>
      </c>
      <c r="BL907" t="s">
        <v>129</v>
      </c>
      <c r="BM907" t="s">
        <v>17534</v>
      </c>
      <c r="BN907" t="s">
        <v>74</v>
      </c>
      <c r="BO907" t="s">
        <v>2630</v>
      </c>
      <c r="BP907" t="s">
        <v>74</v>
      </c>
      <c r="BQ907" t="s">
        <v>74</v>
      </c>
      <c r="BR907" t="s">
        <v>102</v>
      </c>
      <c r="BS907" t="s">
        <v>17535</v>
      </c>
      <c r="BT907" t="str">
        <f>HYPERLINK("https%3A%2F%2Fwww.webofscience.com%2Fwos%2Fwoscc%2Ffull-record%2FWOS:000653031400001","View Full Record in Web of Science")</f>
        <v>View Full Record in Web of Science</v>
      </c>
    </row>
    <row r="908" spans="1:72" x14ac:dyDescent="0.15">
      <c r="A908" t="s">
        <v>72</v>
      </c>
      <c r="B908" t="s">
        <v>17536</v>
      </c>
      <c r="C908" t="s">
        <v>74</v>
      </c>
      <c r="D908" t="s">
        <v>74</v>
      </c>
      <c r="E908" t="s">
        <v>74</v>
      </c>
      <c r="F908" t="s">
        <v>17537</v>
      </c>
      <c r="G908" t="s">
        <v>74</v>
      </c>
      <c r="H908" t="s">
        <v>74</v>
      </c>
      <c r="I908" t="s">
        <v>17538</v>
      </c>
      <c r="J908" t="s">
        <v>4481</v>
      </c>
      <c r="K908" t="s">
        <v>74</v>
      </c>
      <c r="L908" t="s">
        <v>74</v>
      </c>
      <c r="M908" t="s">
        <v>78</v>
      </c>
      <c r="N908" t="s">
        <v>79</v>
      </c>
      <c r="O908" t="s">
        <v>74</v>
      </c>
      <c r="P908" t="s">
        <v>74</v>
      </c>
      <c r="Q908" t="s">
        <v>74</v>
      </c>
      <c r="R908" t="s">
        <v>74</v>
      </c>
      <c r="S908" t="s">
        <v>74</v>
      </c>
      <c r="T908" t="s">
        <v>17539</v>
      </c>
      <c r="U908" t="s">
        <v>17540</v>
      </c>
      <c r="V908" t="s">
        <v>17541</v>
      </c>
      <c r="W908" t="s">
        <v>17542</v>
      </c>
      <c r="X908" t="s">
        <v>17543</v>
      </c>
      <c r="Y908" t="s">
        <v>17544</v>
      </c>
      <c r="Z908" t="s">
        <v>17545</v>
      </c>
      <c r="AA908" t="s">
        <v>17546</v>
      </c>
      <c r="AB908" t="s">
        <v>17547</v>
      </c>
      <c r="AC908" t="s">
        <v>17548</v>
      </c>
      <c r="AD908" t="s">
        <v>17549</v>
      </c>
      <c r="AE908" t="s">
        <v>17550</v>
      </c>
      <c r="AF908" t="s">
        <v>74</v>
      </c>
      <c r="AG908">
        <v>80</v>
      </c>
      <c r="AH908">
        <v>10</v>
      </c>
      <c r="AI908">
        <v>11</v>
      </c>
      <c r="AJ908">
        <v>8</v>
      </c>
      <c r="AK908">
        <v>55</v>
      </c>
      <c r="AL908" t="s">
        <v>4494</v>
      </c>
      <c r="AM908" t="s">
        <v>4495</v>
      </c>
      <c r="AN908" t="s">
        <v>4496</v>
      </c>
      <c r="AO908" t="s">
        <v>4497</v>
      </c>
      <c r="AP908" t="s">
        <v>4498</v>
      </c>
      <c r="AQ908" t="s">
        <v>74</v>
      </c>
      <c r="AR908" t="s">
        <v>4499</v>
      </c>
      <c r="AS908" t="s">
        <v>4500</v>
      </c>
      <c r="AT908" t="s">
        <v>10878</v>
      </c>
      <c r="AU908">
        <v>2021</v>
      </c>
      <c r="AV908">
        <v>196</v>
      </c>
      <c r="AW908" t="s">
        <v>74</v>
      </c>
      <c r="AX908" t="s">
        <v>74</v>
      </c>
      <c r="AY908" t="s">
        <v>74</v>
      </c>
      <c r="AZ908" t="s">
        <v>74</v>
      </c>
      <c r="BA908" t="s">
        <v>74</v>
      </c>
      <c r="BB908" t="s">
        <v>74</v>
      </c>
      <c r="BC908" t="s">
        <v>74</v>
      </c>
      <c r="BD908">
        <v>110344</v>
      </c>
      <c r="BE908" t="s">
        <v>17551</v>
      </c>
      <c r="BF908" t="str">
        <f>HYPERLINK("http://dx.doi.org/10.1016/j.envres.2020.110344","http://dx.doi.org/10.1016/j.envres.2020.110344")</f>
        <v>http://dx.doi.org/10.1016/j.envres.2020.110344</v>
      </c>
      <c r="BG908" t="s">
        <v>74</v>
      </c>
      <c r="BH908" t="s">
        <v>14415</v>
      </c>
      <c r="BI908">
        <v>11</v>
      </c>
      <c r="BJ908" t="s">
        <v>4502</v>
      </c>
      <c r="BK908" t="s">
        <v>128</v>
      </c>
      <c r="BL908" t="s">
        <v>4503</v>
      </c>
      <c r="BM908" t="s">
        <v>17552</v>
      </c>
      <c r="BN908">
        <v>33068585</v>
      </c>
      <c r="BO908" t="s">
        <v>74</v>
      </c>
      <c r="BP908" t="s">
        <v>74</v>
      </c>
      <c r="BQ908" t="s">
        <v>74</v>
      </c>
      <c r="BR908" t="s">
        <v>102</v>
      </c>
      <c r="BS908" t="s">
        <v>17553</v>
      </c>
      <c r="BT908" t="str">
        <f>HYPERLINK("https%3A%2F%2Fwww.webofscience.com%2Fwos%2Fwoscc%2Ffull-record%2FWOS:000649620900010","View Full Record in Web of Science")</f>
        <v>View Full Record in Web of Science</v>
      </c>
    </row>
    <row r="909" spans="1:72" x14ac:dyDescent="0.15">
      <c r="A909" t="s">
        <v>72</v>
      </c>
      <c r="B909" t="s">
        <v>17554</v>
      </c>
      <c r="C909" t="s">
        <v>74</v>
      </c>
      <c r="D909" t="s">
        <v>74</v>
      </c>
      <c r="E909" t="s">
        <v>74</v>
      </c>
      <c r="F909" t="s">
        <v>17555</v>
      </c>
      <c r="G909" t="s">
        <v>74</v>
      </c>
      <c r="H909" t="s">
        <v>74</v>
      </c>
      <c r="I909" t="s">
        <v>17556</v>
      </c>
      <c r="J909" t="s">
        <v>3310</v>
      </c>
      <c r="K909" t="s">
        <v>74</v>
      </c>
      <c r="L909" t="s">
        <v>74</v>
      </c>
      <c r="M909" t="s">
        <v>78</v>
      </c>
      <c r="N909" t="s">
        <v>79</v>
      </c>
      <c r="O909" t="s">
        <v>74</v>
      </c>
      <c r="P909" t="s">
        <v>74</v>
      </c>
      <c r="Q909" t="s">
        <v>74</v>
      </c>
      <c r="R909" t="s">
        <v>74</v>
      </c>
      <c r="S909" t="s">
        <v>74</v>
      </c>
      <c r="T909" t="s">
        <v>74</v>
      </c>
      <c r="U909" t="s">
        <v>17557</v>
      </c>
      <c r="V909" t="s">
        <v>17558</v>
      </c>
      <c r="W909" t="s">
        <v>17559</v>
      </c>
      <c r="X909" t="s">
        <v>17560</v>
      </c>
      <c r="Y909" t="s">
        <v>17561</v>
      </c>
      <c r="Z909" t="s">
        <v>17562</v>
      </c>
      <c r="AA909" t="s">
        <v>17563</v>
      </c>
      <c r="AB909" t="s">
        <v>17564</v>
      </c>
      <c r="AC909" t="s">
        <v>17565</v>
      </c>
      <c r="AD909" t="s">
        <v>17566</v>
      </c>
      <c r="AE909" t="s">
        <v>17567</v>
      </c>
      <c r="AF909" t="s">
        <v>74</v>
      </c>
      <c r="AG909">
        <v>79</v>
      </c>
      <c r="AH909">
        <v>11</v>
      </c>
      <c r="AI909">
        <v>11</v>
      </c>
      <c r="AJ909">
        <v>4</v>
      </c>
      <c r="AK909">
        <v>31</v>
      </c>
      <c r="AL909" t="s">
        <v>143</v>
      </c>
      <c r="AM909" t="s">
        <v>144</v>
      </c>
      <c r="AN909" t="s">
        <v>145</v>
      </c>
      <c r="AO909" t="s">
        <v>3322</v>
      </c>
      <c r="AP909" t="s">
        <v>3323</v>
      </c>
      <c r="AQ909" t="s">
        <v>74</v>
      </c>
      <c r="AR909" t="s">
        <v>3310</v>
      </c>
      <c r="AS909" t="s">
        <v>3324</v>
      </c>
      <c r="AT909" t="s">
        <v>17532</v>
      </c>
      <c r="AU909">
        <v>2021</v>
      </c>
      <c r="AV909">
        <v>18</v>
      </c>
      <c r="AW909">
        <v>9</v>
      </c>
      <c r="AX909" t="s">
        <v>74</v>
      </c>
      <c r="AY909" t="s">
        <v>74</v>
      </c>
      <c r="AZ909" t="s">
        <v>74</v>
      </c>
      <c r="BA909" t="s">
        <v>74</v>
      </c>
      <c r="BB909">
        <v>2791</v>
      </c>
      <c r="BC909">
        <v>2807</v>
      </c>
      <c r="BD909" t="s">
        <v>74</v>
      </c>
      <c r="BE909" t="s">
        <v>17568</v>
      </c>
      <c r="BF909" t="str">
        <f>HYPERLINK("http://dx.doi.org/10.5194/bg-18-2791-2021","http://dx.doi.org/10.5194/bg-18-2791-2021")</f>
        <v>http://dx.doi.org/10.5194/bg-18-2791-2021</v>
      </c>
      <c r="BG909" t="s">
        <v>74</v>
      </c>
      <c r="BH909" t="s">
        <v>74</v>
      </c>
      <c r="BI909">
        <v>17</v>
      </c>
      <c r="BJ909" t="s">
        <v>3326</v>
      </c>
      <c r="BK909" t="s">
        <v>128</v>
      </c>
      <c r="BL909" t="s">
        <v>3327</v>
      </c>
      <c r="BM909" t="s">
        <v>17569</v>
      </c>
      <c r="BN909" t="s">
        <v>74</v>
      </c>
      <c r="BO909" t="s">
        <v>353</v>
      </c>
      <c r="BP909" t="s">
        <v>74</v>
      </c>
      <c r="BQ909" t="s">
        <v>74</v>
      </c>
      <c r="BR909" t="s">
        <v>102</v>
      </c>
      <c r="BS909" t="s">
        <v>17570</v>
      </c>
      <c r="BT909" t="str">
        <f>HYPERLINK("https%3A%2F%2Fwww.webofscience.com%2Fwos%2Fwoscc%2Ffull-record%2FWOS:000648477600001","View Full Record in Web of Science")</f>
        <v>View Full Record in Web of Science</v>
      </c>
    </row>
    <row r="910" spans="1:72" x14ac:dyDescent="0.15">
      <c r="A910" t="s">
        <v>72</v>
      </c>
      <c r="B910" t="s">
        <v>17571</v>
      </c>
      <c r="C910" t="s">
        <v>74</v>
      </c>
      <c r="D910" t="s">
        <v>74</v>
      </c>
      <c r="E910" t="s">
        <v>74</v>
      </c>
      <c r="F910" t="s">
        <v>17572</v>
      </c>
      <c r="G910" t="s">
        <v>74</v>
      </c>
      <c r="H910" t="s">
        <v>74</v>
      </c>
      <c r="I910" t="s">
        <v>17573</v>
      </c>
      <c r="J910" t="s">
        <v>3799</v>
      </c>
      <c r="K910" t="s">
        <v>74</v>
      </c>
      <c r="L910" t="s">
        <v>74</v>
      </c>
      <c r="M910" t="s">
        <v>78</v>
      </c>
      <c r="N910" t="s">
        <v>79</v>
      </c>
      <c r="O910" t="s">
        <v>74</v>
      </c>
      <c r="P910" t="s">
        <v>74</v>
      </c>
      <c r="Q910" t="s">
        <v>74</v>
      </c>
      <c r="R910" t="s">
        <v>74</v>
      </c>
      <c r="S910" t="s">
        <v>74</v>
      </c>
      <c r="T910" t="s">
        <v>17574</v>
      </c>
      <c r="U910" t="s">
        <v>17575</v>
      </c>
      <c r="V910" t="s">
        <v>17576</v>
      </c>
      <c r="W910" t="s">
        <v>17577</v>
      </c>
      <c r="X910" t="s">
        <v>17578</v>
      </c>
      <c r="Y910" t="s">
        <v>17579</v>
      </c>
      <c r="Z910" t="s">
        <v>17580</v>
      </c>
      <c r="AA910" t="s">
        <v>17581</v>
      </c>
      <c r="AB910" t="s">
        <v>17582</v>
      </c>
      <c r="AC910" t="s">
        <v>17583</v>
      </c>
      <c r="AD910" t="s">
        <v>17584</v>
      </c>
      <c r="AE910" t="s">
        <v>17585</v>
      </c>
      <c r="AF910" t="s">
        <v>74</v>
      </c>
      <c r="AG910">
        <v>69</v>
      </c>
      <c r="AH910">
        <v>18</v>
      </c>
      <c r="AI910">
        <v>18</v>
      </c>
      <c r="AJ910">
        <v>2</v>
      </c>
      <c r="AK910">
        <v>22</v>
      </c>
      <c r="AL910" t="s">
        <v>197</v>
      </c>
      <c r="AM910" t="s">
        <v>198</v>
      </c>
      <c r="AN910" t="s">
        <v>199</v>
      </c>
      <c r="AO910" t="s">
        <v>3811</v>
      </c>
      <c r="AP910" t="s">
        <v>3812</v>
      </c>
      <c r="AQ910" t="s">
        <v>74</v>
      </c>
      <c r="AR910" t="s">
        <v>3813</v>
      </c>
      <c r="AS910" t="s">
        <v>3814</v>
      </c>
      <c r="AT910" t="s">
        <v>402</v>
      </c>
      <c r="AU910">
        <v>2021</v>
      </c>
      <c r="AV910">
        <v>22</v>
      </c>
      <c r="AW910">
        <v>5</v>
      </c>
      <c r="AX910" t="s">
        <v>74</v>
      </c>
      <c r="AY910" t="s">
        <v>74</v>
      </c>
      <c r="AZ910" t="s">
        <v>74</v>
      </c>
      <c r="BA910" t="s">
        <v>74</v>
      </c>
      <c r="BB910">
        <v>987</v>
      </c>
      <c r="BC910">
        <v>1005</v>
      </c>
      <c r="BD910" t="s">
        <v>74</v>
      </c>
      <c r="BE910" t="s">
        <v>17586</v>
      </c>
      <c r="BF910" t="str">
        <f>HYPERLINK("http://dx.doi.org/10.1111/faf.12565","http://dx.doi.org/10.1111/faf.12565")</f>
        <v>http://dx.doi.org/10.1111/faf.12565</v>
      </c>
      <c r="BG910" t="s">
        <v>74</v>
      </c>
      <c r="BH910" t="s">
        <v>14415</v>
      </c>
      <c r="BI910">
        <v>19</v>
      </c>
      <c r="BJ910" t="s">
        <v>99</v>
      </c>
      <c r="BK910" t="s">
        <v>128</v>
      </c>
      <c r="BL910" t="s">
        <v>99</v>
      </c>
      <c r="BM910" t="s">
        <v>11946</v>
      </c>
      <c r="BN910" t="s">
        <v>74</v>
      </c>
      <c r="BO910" t="s">
        <v>74</v>
      </c>
      <c r="BP910" t="s">
        <v>74</v>
      </c>
      <c r="BQ910" t="s">
        <v>74</v>
      </c>
      <c r="BR910" t="s">
        <v>102</v>
      </c>
      <c r="BS910" t="s">
        <v>17587</v>
      </c>
      <c r="BT910" t="str">
        <f>HYPERLINK("https%3A%2F%2Fwww.webofscience.com%2Fwos%2Fwoscc%2Ffull-record%2FWOS:000647316700001","View Full Record in Web of Science")</f>
        <v>View Full Record in Web of Science</v>
      </c>
    </row>
    <row r="911" spans="1:72" x14ac:dyDescent="0.15">
      <c r="A911" t="s">
        <v>72</v>
      </c>
      <c r="B911" t="s">
        <v>17588</v>
      </c>
      <c r="C911" t="s">
        <v>74</v>
      </c>
      <c r="D911" t="s">
        <v>74</v>
      </c>
      <c r="E911" t="s">
        <v>74</v>
      </c>
      <c r="F911" t="s">
        <v>17589</v>
      </c>
      <c r="G911" t="s">
        <v>74</v>
      </c>
      <c r="H911" t="s">
        <v>74</v>
      </c>
      <c r="I911" t="s">
        <v>17590</v>
      </c>
      <c r="J911" t="s">
        <v>3776</v>
      </c>
      <c r="K911" t="s">
        <v>74</v>
      </c>
      <c r="L911" t="s">
        <v>74</v>
      </c>
      <c r="M911" t="s">
        <v>78</v>
      </c>
      <c r="N911" t="s">
        <v>79</v>
      </c>
      <c r="O911" t="s">
        <v>74</v>
      </c>
      <c r="P911" t="s">
        <v>74</v>
      </c>
      <c r="Q911" t="s">
        <v>74</v>
      </c>
      <c r="R911" t="s">
        <v>74</v>
      </c>
      <c r="S911" t="s">
        <v>74</v>
      </c>
      <c r="T911" t="s">
        <v>74</v>
      </c>
      <c r="U911" t="s">
        <v>17591</v>
      </c>
      <c r="V911" t="s">
        <v>17592</v>
      </c>
      <c r="W911" t="s">
        <v>17593</v>
      </c>
      <c r="X911" t="s">
        <v>17594</v>
      </c>
      <c r="Y911" t="s">
        <v>17595</v>
      </c>
      <c r="Z911" t="s">
        <v>17596</v>
      </c>
      <c r="AA911" t="s">
        <v>17597</v>
      </c>
      <c r="AB911" t="s">
        <v>17598</v>
      </c>
      <c r="AC911" t="s">
        <v>17599</v>
      </c>
      <c r="AD911" t="s">
        <v>17600</v>
      </c>
      <c r="AE911" t="s">
        <v>17601</v>
      </c>
      <c r="AF911" t="s">
        <v>74</v>
      </c>
      <c r="AG911">
        <v>71</v>
      </c>
      <c r="AH911">
        <v>6</v>
      </c>
      <c r="AI911">
        <v>6</v>
      </c>
      <c r="AJ911">
        <v>0</v>
      </c>
      <c r="AK911">
        <v>3</v>
      </c>
      <c r="AL911" t="s">
        <v>143</v>
      </c>
      <c r="AM911" t="s">
        <v>144</v>
      </c>
      <c r="AN911" t="s">
        <v>145</v>
      </c>
      <c r="AO911" t="s">
        <v>3788</v>
      </c>
      <c r="AP911" t="s">
        <v>3789</v>
      </c>
      <c r="AQ911" t="s">
        <v>74</v>
      </c>
      <c r="AR911" t="s">
        <v>3790</v>
      </c>
      <c r="AS911" t="s">
        <v>3791</v>
      </c>
      <c r="AT911" t="s">
        <v>17532</v>
      </c>
      <c r="AU911">
        <v>2021</v>
      </c>
      <c r="AV911">
        <v>21</v>
      </c>
      <c r="AW911">
        <v>9</v>
      </c>
      <c r="AX911" t="s">
        <v>74</v>
      </c>
      <c r="AY911" t="s">
        <v>74</v>
      </c>
      <c r="AZ911" t="s">
        <v>74</v>
      </c>
      <c r="BA911" t="s">
        <v>74</v>
      </c>
      <c r="BB911">
        <v>6781</v>
      </c>
      <c r="BC911">
        <v>6797</v>
      </c>
      <c r="BD911" t="s">
        <v>74</v>
      </c>
      <c r="BE911" t="s">
        <v>17602</v>
      </c>
      <c r="BF911" t="str">
        <f>HYPERLINK("http://dx.doi.org/10.5194/acp-21-6781-2021","http://dx.doi.org/10.5194/acp-21-6781-2021")</f>
        <v>http://dx.doi.org/10.5194/acp-21-6781-2021</v>
      </c>
      <c r="BG911" t="s">
        <v>74</v>
      </c>
      <c r="BH911" t="s">
        <v>74</v>
      </c>
      <c r="BI911">
        <v>17</v>
      </c>
      <c r="BJ911" t="s">
        <v>635</v>
      </c>
      <c r="BK911" t="s">
        <v>128</v>
      </c>
      <c r="BL911" t="s">
        <v>636</v>
      </c>
      <c r="BM911" t="s">
        <v>17603</v>
      </c>
      <c r="BN911" t="s">
        <v>74</v>
      </c>
      <c r="BO911" t="s">
        <v>5569</v>
      </c>
      <c r="BP911" t="s">
        <v>74</v>
      </c>
      <c r="BQ911" t="s">
        <v>74</v>
      </c>
      <c r="BR911" t="s">
        <v>102</v>
      </c>
      <c r="BS911" t="s">
        <v>17604</v>
      </c>
      <c r="BT911" t="str">
        <f>HYPERLINK("https%3A%2F%2Fwww.webofscience.com%2Fwos%2Fwoscc%2Ffull-record%2FWOS:000648476600003","View Full Record in Web of Science")</f>
        <v>View Full Record in Web of Science</v>
      </c>
    </row>
    <row r="912" spans="1:72" x14ac:dyDescent="0.15">
      <c r="A912" t="s">
        <v>72</v>
      </c>
      <c r="B912" t="s">
        <v>17605</v>
      </c>
      <c r="C912" t="s">
        <v>74</v>
      </c>
      <c r="D912" t="s">
        <v>74</v>
      </c>
      <c r="E912" t="s">
        <v>74</v>
      </c>
      <c r="F912" t="s">
        <v>17606</v>
      </c>
      <c r="G912" t="s">
        <v>74</v>
      </c>
      <c r="H912" t="s">
        <v>74</v>
      </c>
      <c r="I912" t="s">
        <v>17607</v>
      </c>
      <c r="J912" t="s">
        <v>3776</v>
      </c>
      <c r="K912" t="s">
        <v>74</v>
      </c>
      <c r="L912" t="s">
        <v>74</v>
      </c>
      <c r="M912" t="s">
        <v>78</v>
      </c>
      <c r="N912" t="s">
        <v>79</v>
      </c>
      <c r="O912" t="s">
        <v>74</v>
      </c>
      <c r="P912" t="s">
        <v>74</v>
      </c>
      <c r="Q912" t="s">
        <v>74</v>
      </c>
      <c r="R912" t="s">
        <v>74</v>
      </c>
      <c r="S912" t="s">
        <v>74</v>
      </c>
      <c r="T912" t="s">
        <v>74</v>
      </c>
      <c r="U912" t="s">
        <v>74</v>
      </c>
      <c r="V912" t="s">
        <v>17608</v>
      </c>
      <c r="W912" t="s">
        <v>17609</v>
      </c>
      <c r="X912" t="s">
        <v>17610</v>
      </c>
      <c r="Y912" t="s">
        <v>17611</v>
      </c>
      <c r="Z912" t="s">
        <v>17612</v>
      </c>
      <c r="AA912" t="s">
        <v>17613</v>
      </c>
      <c r="AB912" t="s">
        <v>17614</v>
      </c>
      <c r="AC912" t="s">
        <v>17615</v>
      </c>
      <c r="AD912" t="s">
        <v>17616</v>
      </c>
      <c r="AE912" t="s">
        <v>17617</v>
      </c>
      <c r="AF912" t="s">
        <v>74</v>
      </c>
      <c r="AG912">
        <v>49</v>
      </c>
      <c r="AH912">
        <v>0</v>
      </c>
      <c r="AI912">
        <v>0</v>
      </c>
      <c r="AJ912">
        <v>2</v>
      </c>
      <c r="AK912">
        <v>19</v>
      </c>
      <c r="AL912" t="s">
        <v>143</v>
      </c>
      <c r="AM912" t="s">
        <v>144</v>
      </c>
      <c r="AN912" t="s">
        <v>145</v>
      </c>
      <c r="AO912" t="s">
        <v>3788</v>
      </c>
      <c r="AP912" t="s">
        <v>3789</v>
      </c>
      <c r="AQ912" t="s">
        <v>74</v>
      </c>
      <c r="AR912" t="s">
        <v>3790</v>
      </c>
      <c r="AS912" t="s">
        <v>3791</v>
      </c>
      <c r="AT912" t="s">
        <v>17532</v>
      </c>
      <c r="AU912">
        <v>2021</v>
      </c>
      <c r="AV912">
        <v>21</v>
      </c>
      <c r="AW912">
        <v>9</v>
      </c>
      <c r="AX912" t="s">
        <v>74</v>
      </c>
      <c r="AY912" t="s">
        <v>74</v>
      </c>
      <c r="AZ912" t="s">
        <v>74</v>
      </c>
      <c r="BA912" t="s">
        <v>74</v>
      </c>
      <c r="BB912">
        <v>6857</v>
      </c>
      <c r="BC912">
        <v>6873</v>
      </c>
      <c r="BD912" t="s">
        <v>74</v>
      </c>
      <c r="BE912" t="s">
        <v>17618</v>
      </c>
      <c r="BF912" t="str">
        <f>HYPERLINK("http://dx.doi.org/10.5194/acp-21-6857-2021","http://dx.doi.org/10.5194/acp-21-6857-2021")</f>
        <v>http://dx.doi.org/10.5194/acp-21-6857-2021</v>
      </c>
      <c r="BG912" t="s">
        <v>74</v>
      </c>
      <c r="BH912" t="s">
        <v>74</v>
      </c>
      <c r="BI912">
        <v>17</v>
      </c>
      <c r="BJ912" t="s">
        <v>635</v>
      </c>
      <c r="BK912" t="s">
        <v>128</v>
      </c>
      <c r="BL912" t="s">
        <v>636</v>
      </c>
      <c r="BM912" t="s">
        <v>17619</v>
      </c>
      <c r="BN912" t="s">
        <v>74</v>
      </c>
      <c r="BO912" t="s">
        <v>3619</v>
      </c>
      <c r="BP912" t="s">
        <v>74</v>
      </c>
      <c r="BQ912" t="s">
        <v>74</v>
      </c>
      <c r="BR912" t="s">
        <v>102</v>
      </c>
      <c r="BS912" t="s">
        <v>17620</v>
      </c>
      <c r="BT912" t="str">
        <f>HYPERLINK("https%3A%2F%2Fwww.webofscience.com%2Fwos%2Fwoscc%2Ffull-record%2FWOS:000648526000001","View Full Record in Web of Science")</f>
        <v>View Full Record in Web of Science</v>
      </c>
    </row>
    <row r="913" spans="1:72" x14ac:dyDescent="0.15">
      <c r="A913" t="s">
        <v>72</v>
      </c>
      <c r="B913" t="s">
        <v>17621</v>
      </c>
      <c r="C913" t="s">
        <v>74</v>
      </c>
      <c r="D913" t="s">
        <v>74</v>
      </c>
      <c r="E913" t="s">
        <v>74</v>
      </c>
      <c r="F913" t="s">
        <v>17622</v>
      </c>
      <c r="G913" t="s">
        <v>74</v>
      </c>
      <c r="H913" t="s">
        <v>74</v>
      </c>
      <c r="I913" t="s">
        <v>17623</v>
      </c>
      <c r="J913" t="s">
        <v>17624</v>
      </c>
      <c r="K913" t="s">
        <v>74</v>
      </c>
      <c r="L913" t="s">
        <v>74</v>
      </c>
      <c r="M913" t="s">
        <v>78</v>
      </c>
      <c r="N913" t="s">
        <v>79</v>
      </c>
      <c r="O913" t="s">
        <v>74</v>
      </c>
      <c r="P913" t="s">
        <v>74</v>
      </c>
      <c r="Q913" t="s">
        <v>74</v>
      </c>
      <c r="R913" t="s">
        <v>74</v>
      </c>
      <c r="S913" t="s">
        <v>74</v>
      </c>
      <c r="T913" t="s">
        <v>17625</v>
      </c>
      <c r="U913" t="s">
        <v>17626</v>
      </c>
      <c r="V913" t="s">
        <v>17627</v>
      </c>
      <c r="W913" t="s">
        <v>17628</v>
      </c>
      <c r="X913" t="s">
        <v>17629</v>
      </c>
      <c r="Y913" t="s">
        <v>17630</v>
      </c>
      <c r="Z913" t="s">
        <v>17631</v>
      </c>
      <c r="AA913" t="s">
        <v>74</v>
      </c>
      <c r="AB913" t="s">
        <v>17632</v>
      </c>
      <c r="AC913" t="s">
        <v>17633</v>
      </c>
      <c r="AD913" t="s">
        <v>17634</v>
      </c>
      <c r="AE913" t="s">
        <v>17635</v>
      </c>
      <c r="AF913" t="s">
        <v>74</v>
      </c>
      <c r="AG913">
        <v>32</v>
      </c>
      <c r="AH913">
        <v>20</v>
      </c>
      <c r="AI913">
        <v>20</v>
      </c>
      <c r="AJ913">
        <v>3</v>
      </c>
      <c r="AK913">
        <v>22</v>
      </c>
      <c r="AL913" t="s">
        <v>197</v>
      </c>
      <c r="AM913" t="s">
        <v>198</v>
      </c>
      <c r="AN913" t="s">
        <v>199</v>
      </c>
      <c r="AO913" t="s">
        <v>17636</v>
      </c>
      <c r="AP913" t="s">
        <v>74</v>
      </c>
      <c r="AQ913" t="s">
        <v>74</v>
      </c>
      <c r="AR913" t="s">
        <v>17637</v>
      </c>
      <c r="AS913" t="s">
        <v>17638</v>
      </c>
      <c r="AT913" t="s">
        <v>4571</v>
      </c>
      <c r="AU913">
        <v>2022</v>
      </c>
      <c r="AV913">
        <v>9</v>
      </c>
      <c r="AW913">
        <v>1</v>
      </c>
      <c r="AX913" t="s">
        <v>74</v>
      </c>
      <c r="AY913" t="s">
        <v>74</v>
      </c>
      <c r="AZ913" t="s">
        <v>74</v>
      </c>
      <c r="BA913" t="s">
        <v>74</v>
      </c>
      <c r="BB913">
        <v>108</v>
      </c>
      <c r="BC913">
        <v>123</v>
      </c>
      <c r="BD913" t="s">
        <v>74</v>
      </c>
      <c r="BE913" t="s">
        <v>17639</v>
      </c>
      <c r="BF913" t="str">
        <f>HYPERLINK("http://dx.doi.org/10.1002/gdj3.122","http://dx.doi.org/10.1002/gdj3.122")</f>
        <v>http://dx.doi.org/10.1002/gdj3.122</v>
      </c>
      <c r="BG913" t="s">
        <v>74</v>
      </c>
      <c r="BH913" t="s">
        <v>14415</v>
      </c>
      <c r="BI913">
        <v>16</v>
      </c>
      <c r="BJ913" t="s">
        <v>176</v>
      </c>
      <c r="BK913" t="s">
        <v>128</v>
      </c>
      <c r="BL913" t="s">
        <v>177</v>
      </c>
      <c r="BM913" t="s">
        <v>17640</v>
      </c>
      <c r="BN913" t="s">
        <v>74</v>
      </c>
      <c r="BO913" t="s">
        <v>3248</v>
      </c>
      <c r="BP913" t="s">
        <v>74</v>
      </c>
      <c r="BQ913" t="s">
        <v>74</v>
      </c>
      <c r="BR913" t="s">
        <v>102</v>
      </c>
      <c r="BS913" t="s">
        <v>17641</v>
      </c>
      <c r="BT913" t="str">
        <f>HYPERLINK("https%3A%2F%2Fwww.webofscience.com%2Fwos%2Fwoscc%2Ffull-record%2FWOS:000647017400001","View Full Record in Web of Science")</f>
        <v>View Full Record in Web of Science</v>
      </c>
    </row>
    <row r="914" spans="1:72" x14ac:dyDescent="0.15">
      <c r="A914" t="s">
        <v>72</v>
      </c>
      <c r="B914" t="s">
        <v>17642</v>
      </c>
      <c r="C914" t="s">
        <v>74</v>
      </c>
      <c r="D914" t="s">
        <v>74</v>
      </c>
      <c r="E914" t="s">
        <v>74</v>
      </c>
      <c r="F914" t="s">
        <v>17643</v>
      </c>
      <c r="G914" t="s">
        <v>74</v>
      </c>
      <c r="H914" t="s">
        <v>74</v>
      </c>
      <c r="I914" t="s">
        <v>17644</v>
      </c>
      <c r="J914" t="s">
        <v>4182</v>
      </c>
      <c r="K914" t="s">
        <v>74</v>
      </c>
      <c r="L914" t="s">
        <v>74</v>
      </c>
      <c r="M914" t="s">
        <v>78</v>
      </c>
      <c r="N914" t="s">
        <v>79</v>
      </c>
      <c r="O914" t="s">
        <v>74</v>
      </c>
      <c r="P914" t="s">
        <v>74</v>
      </c>
      <c r="Q914" t="s">
        <v>74</v>
      </c>
      <c r="R914" t="s">
        <v>74</v>
      </c>
      <c r="S914" t="s">
        <v>74</v>
      </c>
      <c r="T914" t="s">
        <v>17645</v>
      </c>
      <c r="U914" t="s">
        <v>17646</v>
      </c>
      <c r="V914" t="s">
        <v>17647</v>
      </c>
      <c r="W914" t="s">
        <v>17648</v>
      </c>
      <c r="X914" t="s">
        <v>17649</v>
      </c>
      <c r="Y914" t="s">
        <v>17650</v>
      </c>
      <c r="Z914" t="s">
        <v>17651</v>
      </c>
      <c r="AA914" t="s">
        <v>17652</v>
      </c>
      <c r="AB914" t="s">
        <v>17653</v>
      </c>
      <c r="AC914" t="s">
        <v>17654</v>
      </c>
      <c r="AD914" t="s">
        <v>17655</v>
      </c>
      <c r="AE914" t="s">
        <v>17656</v>
      </c>
      <c r="AF914" t="s">
        <v>74</v>
      </c>
      <c r="AG914">
        <v>97</v>
      </c>
      <c r="AH914">
        <v>23</v>
      </c>
      <c r="AI914">
        <v>24</v>
      </c>
      <c r="AJ914">
        <v>0</v>
      </c>
      <c r="AK914">
        <v>33</v>
      </c>
      <c r="AL914" t="s">
        <v>89</v>
      </c>
      <c r="AM914" t="s">
        <v>90</v>
      </c>
      <c r="AN914" t="s">
        <v>91</v>
      </c>
      <c r="AO914" t="s">
        <v>4192</v>
      </c>
      <c r="AP914" t="s">
        <v>4193</v>
      </c>
      <c r="AQ914" t="s">
        <v>74</v>
      </c>
      <c r="AR914" t="s">
        <v>4182</v>
      </c>
      <c r="AS914" t="s">
        <v>4194</v>
      </c>
      <c r="AT914" t="s">
        <v>2387</v>
      </c>
      <c r="AU914">
        <v>2021</v>
      </c>
      <c r="AV914">
        <v>542</v>
      </c>
      <c r="AW914" t="s">
        <v>74</v>
      </c>
      <c r="AX914" t="s">
        <v>74</v>
      </c>
      <c r="AY914" t="s">
        <v>74</v>
      </c>
      <c r="AZ914" t="s">
        <v>74</v>
      </c>
      <c r="BA914" t="s">
        <v>74</v>
      </c>
      <c r="BB914" t="s">
        <v>74</v>
      </c>
      <c r="BC914" t="s">
        <v>74</v>
      </c>
      <c r="BD914">
        <v>736855</v>
      </c>
      <c r="BE914" t="s">
        <v>17657</v>
      </c>
      <c r="BF914" t="str">
        <f>HYPERLINK("http://dx.doi.org/10.1016/j.aquaculture.2021.736855","http://dx.doi.org/10.1016/j.aquaculture.2021.736855")</f>
        <v>http://dx.doi.org/10.1016/j.aquaculture.2021.736855</v>
      </c>
      <c r="BG914" t="s">
        <v>74</v>
      </c>
      <c r="BH914" t="s">
        <v>14415</v>
      </c>
      <c r="BI914">
        <v>15</v>
      </c>
      <c r="BJ914" t="s">
        <v>459</v>
      </c>
      <c r="BK914" t="s">
        <v>128</v>
      </c>
      <c r="BL914" t="s">
        <v>459</v>
      </c>
      <c r="BM914" t="s">
        <v>17658</v>
      </c>
      <c r="BN914" t="s">
        <v>74</v>
      </c>
      <c r="BO914" t="s">
        <v>74</v>
      </c>
      <c r="BP914" t="s">
        <v>74</v>
      </c>
      <c r="BQ914" t="s">
        <v>74</v>
      </c>
      <c r="BR914" t="s">
        <v>102</v>
      </c>
      <c r="BS914" t="s">
        <v>17659</v>
      </c>
      <c r="BT914" t="str">
        <f>HYPERLINK("https%3A%2F%2Fwww.webofscience.com%2Fwos%2Fwoscc%2Ffull-record%2FWOS:000659364800012","View Full Record in Web of Science")</f>
        <v>View Full Record in Web of Science</v>
      </c>
    </row>
    <row r="915" spans="1:72" x14ac:dyDescent="0.15">
      <c r="A915" t="s">
        <v>72</v>
      </c>
      <c r="B915" t="s">
        <v>17660</v>
      </c>
      <c r="C915" t="s">
        <v>74</v>
      </c>
      <c r="D915" t="s">
        <v>74</v>
      </c>
      <c r="E915" t="s">
        <v>74</v>
      </c>
      <c r="F915" t="s">
        <v>17661</v>
      </c>
      <c r="G915" t="s">
        <v>74</v>
      </c>
      <c r="H915" t="s">
        <v>74</v>
      </c>
      <c r="I915" t="s">
        <v>17662</v>
      </c>
      <c r="J915" t="s">
        <v>2396</v>
      </c>
      <c r="K915" t="s">
        <v>74</v>
      </c>
      <c r="L915" t="s">
        <v>74</v>
      </c>
      <c r="M915" t="s">
        <v>78</v>
      </c>
      <c r="N915" t="s">
        <v>79</v>
      </c>
      <c r="O915" t="s">
        <v>74</v>
      </c>
      <c r="P915" t="s">
        <v>74</v>
      </c>
      <c r="Q915" t="s">
        <v>74</v>
      </c>
      <c r="R915" t="s">
        <v>74</v>
      </c>
      <c r="S915" t="s">
        <v>74</v>
      </c>
      <c r="T915" t="s">
        <v>74</v>
      </c>
      <c r="U915" t="s">
        <v>17663</v>
      </c>
      <c r="V915" t="s">
        <v>17664</v>
      </c>
      <c r="W915" t="s">
        <v>17665</v>
      </c>
      <c r="X915" t="s">
        <v>17666</v>
      </c>
      <c r="Y915" t="s">
        <v>17667</v>
      </c>
      <c r="Z915" t="s">
        <v>17668</v>
      </c>
      <c r="AA915" t="s">
        <v>17669</v>
      </c>
      <c r="AB915" t="s">
        <v>17670</v>
      </c>
      <c r="AC915" t="s">
        <v>17671</v>
      </c>
      <c r="AD915" t="s">
        <v>17672</v>
      </c>
      <c r="AE915" t="s">
        <v>17673</v>
      </c>
      <c r="AF915" t="s">
        <v>74</v>
      </c>
      <c r="AG915">
        <v>93</v>
      </c>
      <c r="AH915">
        <v>24</v>
      </c>
      <c r="AI915">
        <v>24</v>
      </c>
      <c r="AJ915">
        <v>1</v>
      </c>
      <c r="AK915">
        <v>10</v>
      </c>
      <c r="AL915" t="s">
        <v>143</v>
      </c>
      <c r="AM915" t="s">
        <v>144</v>
      </c>
      <c r="AN915" t="s">
        <v>145</v>
      </c>
      <c r="AO915" t="s">
        <v>2408</v>
      </c>
      <c r="AP915" t="s">
        <v>2409</v>
      </c>
      <c r="AQ915" t="s">
        <v>74</v>
      </c>
      <c r="AR915" t="s">
        <v>2396</v>
      </c>
      <c r="AS915" t="s">
        <v>2410</v>
      </c>
      <c r="AT915" t="s">
        <v>17532</v>
      </c>
      <c r="AU915">
        <v>2021</v>
      </c>
      <c r="AV915">
        <v>15</v>
      </c>
      <c r="AW915">
        <v>5</v>
      </c>
      <c r="AX915" t="s">
        <v>74</v>
      </c>
      <c r="AY915" t="s">
        <v>74</v>
      </c>
      <c r="AZ915" t="s">
        <v>74</v>
      </c>
      <c r="BA915" t="s">
        <v>74</v>
      </c>
      <c r="BB915">
        <v>2147</v>
      </c>
      <c r="BC915">
        <v>2165</v>
      </c>
      <c r="BD915" t="s">
        <v>74</v>
      </c>
      <c r="BE915" t="s">
        <v>17674</v>
      </c>
      <c r="BF915" t="str">
        <f>HYPERLINK("http://dx.doi.org/10.5194/tc-15-2147-2021","http://dx.doi.org/10.5194/tc-15-2147-2021")</f>
        <v>http://dx.doi.org/10.5194/tc-15-2147-2021</v>
      </c>
      <c r="BG915" t="s">
        <v>74</v>
      </c>
      <c r="BH915" t="s">
        <v>74</v>
      </c>
      <c r="BI915">
        <v>19</v>
      </c>
      <c r="BJ915" t="s">
        <v>151</v>
      </c>
      <c r="BK915" t="s">
        <v>128</v>
      </c>
      <c r="BL915" t="s">
        <v>152</v>
      </c>
      <c r="BM915" t="s">
        <v>17675</v>
      </c>
      <c r="BN915" t="s">
        <v>74</v>
      </c>
      <c r="BO915" t="s">
        <v>4476</v>
      </c>
      <c r="BP915" t="s">
        <v>74</v>
      </c>
      <c r="BQ915" t="s">
        <v>74</v>
      </c>
      <c r="BR915" t="s">
        <v>102</v>
      </c>
      <c r="BS915" t="s">
        <v>17676</v>
      </c>
      <c r="BT915" t="str">
        <f>HYPERLINK("https%3A%2F%2Fwww.webofscience.com%2Fwos%2Fwoscc%2Ffull-record%2FWOS:000648486100001","View Full Record in Web of Science")</f>
        <v>View Full Record in Web of Science</v>
      </c>
    </row>
    <row r="916" spans="1:72" x14ac:dyDescent="0.15">
      <c r="A916" t="s">
        <v>72</v>
      </c>
      <c r="B916" t="s">
        <v>17677</v>
      </c>
      <c r="C916" t="s">
        <v>74</v>
      </c>
      <c r="D916" t="s">
        <v>74</v>
      </c>
      <c r="E916" t="s">
        <v>74</v>
      </c>
      <c r="F916" t="s">
        <v>17678</v>
      </c>
      <c r="G916" t="s">
        <v>74</v>
      </c>
      <c r="H916" t="s">
        <v>74</v>
      </c>
      <c r="I916" t="s">
        <v>17679</v>
      </c>
      <c r="J916" t="s">
        <v>11754</v>
      </c>
      <c r="K916" t="s">
        <v>74</v>
      </c>
      <c r="L916" t="s">
        <v>74</v>
      </c>
      <c r="M916" t="s">
        <v>78</v>
      </c>
      <c r="N916" t="s">
        <v>79</v>
      </c>
      <c r="O916" t="s">
        <v>74</v>
      </c>
      <c r="P916" t="s">
        <v>74</v>
      </c>
      <c r="Q916" t="s">
        <v>74</v>
      </c>
      <c r="R916" t="s">
        <v>74</v>
      </c>
      <c r="S916" t="s">
        <v>74</v>
      </c>
      <c r="T916" t="s">
        <v>74</v>
      </c>
      <c r="U916" t="s">
        <v>17680</v>
      </c>
      <c r="V916" t="s">
        <v>17681</v>
      </c>
      <c r="W916" t="s">
        <v>17682</v>
      </c>
      <c r="X916" t="s">
        <v>17683</v>
      </c>
      <c r="Y916" t="s">
        <v>17684</v>
      </c>
      <c r="Z916" t="s">
        <v>17685</v>
      </c>
      <c r="AA916" t="s">
        <v>17686</v>
      </c>
      <c r="AB916" t="s">
        <v>17687</v>
      </c>
      <c r="AC916" t="s">
        <v>17688</v>
      </c>
      <c r="AD916" t="s">
        <v>17689</v>
      </c>
      <c r="AE916" t="s">
        <v>17690</v>
      </c>
      <c r="AF916" t="s">
        <v>74</v>
      </c>
      <c r="AG916">
        <v>72</v>
      </c>
      <c r="AH916">
        <v>17</v>
      </c>
      <c r="AI916">
        <v>17</v>
      </c>
      <c r="AJ916">
        <v>2</v>
      </c>
      <c r="AK916">
        <v>14</v>
      </c>
      <c r="AL916" t="s">
        <v>197</v>
      </c>
      <c r="AM916" t="s">
        <v>198</v>
      </c>
      <c r="AN916" t="s">
        <v>199</v>
      </c>
      <c r="AO916" t="s">
        <v>11766</v>
      </c>
      <c r="AP916" t="s">
        <v>11767</v>
      </c>
      <c r="AQ916" t="s">
        <v>74</v>
      </c>
      <c r="AR916" t="s">
        <v>11768</v>
      </c>
      <c r="AS916" t="s">
        <v>11769</v>
      </c>
      <c r="AT916" t="s">
        <v>4571</v>
      </c>
      <c r="AU916">
        <v>2021</v>
      </c>
      <c r="AV916">
        <v>66</v>
      </c>
      <c r="AW916">
        <v>6</v>
      </c>
      <c r="AX916" t="s">
        <v>74</v>
      </c>
      <c r="AY916" t="s">
        <v>74</v>
      </c>
      <c r="AZ916" t="s">
        <v>74</v>
      </c>
      <c r="BA916" t="s">
        <v>74</v>
      </c>
      <c r="BB916">
        <v>2521</v>
      </c>
      <c r="BC916">
        <v>2534</v>
      </c>
      <c r="BD916" t="s">
        <v>74</v>
      </c>
      <c r="BE916" t="s">
        <v>17691</v>
      </c>
      <c r="BF916" t="str">
        <f>HYPERLINK("http://dx.doi.org/10.1002/lno.11770","http://dx.doi.org/10.1002/lno.11770")</f>
        <v>http://dx.doi.org/10.1002/lno.11770</v>
      </c>
      <c r="BG916" t="s">
        <v>74</v>
      </c>
      <c r="BH916" t="s">
        <v>14415</v>
      </c>
      <c r="BI916">
        <v>14</v>
      </c>
      <c r="BJ916" t="s">
        <v>8999</v>
      </c>
      <c r="BK916" t="s">
        <v>128</v>
      </c>
      <c r="BL916" t="s">
        <v>3436</v>
      </c>
      <c r="BM916" t="s">
        <v>17463</v>
      </c>
      <c r="BN916" t="s">
        <v>74</v>
      </c>
      <c r="BO916" t="s">
        <v>291</v>
      </c>
      <c r="BP916" t="s">
        <v>74</v>
      </c>
      <c r="BQ916" t="s">
        <v>74</v>
      </c>
      <c r="BR916" t="s">
        <v>102</v>
      </c>
      <c r="BS916" t="s">
        <v>17692</v>
      </c>
      <c r="BT916" t="str">
        <f>HYPERLINK("https%3A%2F%2Fwww.webofscience.com%2Fwos%2Fwoscc%2Ffull-record%2FWOS:000646991800001","View Full Record in Web of Science")</f>
        <v>View Full Record in Web of Science</v>
      </c>
    </row>
    <row r="917" spans="1:72" x14ac:dyDescent="0.15">
      <c r="A917" t="s">
        <v>72</v>
      </c>
      <c r="B917" t="s">
        <v>17693</v>
      </c>
      <c r="C917" t="s">
        <v>74</v>
      </c>
      <c r="D917" t="s">
        <v>74</v>
      </c>
      <c r="E917" t="s">
        <v>74</v>
      </c>
      <c r="F917" t="s">
        <v>17694</v>
      </c>
      <c r="G917" t="s">
        <v>74</v>
      </c>
      <c r="H917" t="s">
        <v>74</v>
      </c>
      <c r="I917" t="s">
        <v>17695</v>
      </c>
      <c r="J917" t="s">
        <v>2862</v>
      </c>
      <c r="K917" t="s">
        <v>74</v>
      </c>
      <c r="L917" t="s">
        <v>74</v>
      </c>
      <c r="M917" t="s">
        <v>78</v>
      </c>
      <c r="N917" t="s">
        <v>79</v>
      </c>
      <c r="O917" t="s">
        <v>74</v>
      </c>
      <c r="P917" t="s">
        <v>74</v>
      </c>
      <c r="Q917" t="s">
        <v>74</v>
      </c>
      <c r="R917" t="s">
        <v>74</v>
      </c>
      <c r="S917" t="s">
        <v>74</v>
      </c>
      <c r="T917" t="s">
        <v>17696</v>
      </c>
      <c r="U917" t="s">
        <v>17697</v>
      </c>
      <c r="V917" t="s">
        <v>17698</v>
      </c>
      <c r="W917" t="s">
        <v>17699</v>
      </c>
      <c r="X917" t="s">
        <v>17700</v>
      </c>
      <c r="Y917" t="s">
        <v>17701</v>
      </c>
      <c r="Z917" t="s">
        <v>17702</v>
      </c>
      <c r="AA917" t="s">
        <v>17703</v>
      </c>
      <c r="AB917" t="s">
        <v>17704</v>
      </c>
      <c r="AC917" t="s">
        <v>17705</v>
      </c>
      <c r="AD917" t="s">
        <v>17706</v>
      </c>
      <c r="AE917" t="s">
        <v>17707</v>
      </c>
      <c r="AF917" t="s">
        <v>74</v>
      </c>
      <c r="AG917">
        <v>18</v>
      </c>
      <c r="AH917">
        <v>2</v>
      </c>
      <c r="AI917">
        <v>3</v>
      </c>
      <c r="AJ917">
        <v>1</v>
      </c>
      <c r="AK917">
        <v>2</v>
      </c>
      <c r="AL917" t="s">
        <v>450</v>
      </c>
      <c r="AM917" t="s">
        <v>650</v>
      </c>
      <c r="AN917" t="s">
        <v>1957</v>
      </c>
      <c r="AO917" t="s">
        <v>2874</v>
      </c>
      <c r="AP917" t="s">
        <v>2875</v>
      </c>
      <c r="AQ917" t="s">
        <v>74</v>
      </c>
      <c r="AR917" t="s">
        <v>2876</v>
      </c>
      <c r="AS917" t="s">
        <v>2877</v>
      </c>
      <c r="AT917" t="s">
        <v>4571</v>
      </c>
      <c r="AU917">
        <v>2021</v>
      </c>
      <c r="AV917">
        <v>44</v>
      </c>
      <c r="AW917">
        <v>6</v>
      </c>
      <c r="AX917" t="s">
        <v>74</v>
      </c>
      <c r="AY917" t="s">
        <v>74</v>
      </c>
      <c r="AZ917" t="s">
        <v>74</v>
      </c>
      <c r="BA917" t="s">
        <v>74</v>
      </c>
      <c r="BB917">
        <v>1219</v>
      </c>
      <c r="BC917">
        <v>1222</v>
      </c>
      <c r="BD917" t="s">
        <v>74</v>
      </c>
      <c r="BE917" t="s">
        <v>17708</v>
      </c>
      <c r="BF917" t="str">
        <f>HYPERLINK("http://dx.doi.org/10.1007/s00300-021-02859-8","http://dx.doi.org/10.1007/s00300-021-02859-8")</f>
        <v>http://dx.doi.org/10.1007/s00300-021-02859-8</v>
      </c>
      <c r="BG917" t="s">
        <v>74</v>
      </c>
      <c r="BH917" t="s">
        <v>14415</v>
      </c>
      <c r="BI917">
        <v>4</v>
      </c>
      <c r="BJ917" t="s">
        <v>1883</v>
      </c>
      <c r="BK917" t="s">
        <v>128</v>
      </c>
      <c r="BL917" t="s">
        <v>207</v>
      </c>
      <c r="BM917" t="s">
        <v>16915</v>
      </c>
      <c r="BN917" t="s">
        <v>74</v>
      </c>
      <c r="BO917" t="s">
        <v>74</v>
      </c>
      <c r="BP917" t="s">
        <v>74</v>
      </c>
      <c r="BQ917" t="s">
        <v>74</v>
      </c>
      <c r="BR917" t="s">
        <v>102</v>
      </c>
      <c r="BS917" t="s">
        <v>17709</v>
      </c>
      <c r="BT917" t="str">
        <f>HYPERLINK("https%3A%2F%2Fwww.webofscience.com%2Fwos%2Fwoscc%2Ffull-record%2FWOS:000647495300002","View Full Record in Web of Science")</f>
        <v>View Full Record in Web of Science</v>
      </c>
    </row>
    <row r="918" spans="1:72" x14ac:dyDescent="0.15">
      <c r="A918" t="s">
        <v>72</v>
      </c>
      <c r="B918" t="s">
        <v>17710</v>
      </c>
      <c r="C918" t="s">
        <v>74</v>
      </c>
      <c r="D918" t="s">
        <v>74</v>
      </c>
      <c r="E918" t="s">
        <v>74</v>
      </c>
      <c r="F918" t="s">
        <v>17711</v>
      </c>
      <c r="G918" t="s">
        <v>74</v>
      </c>
      <c r="H918" t="s">
        <v>74</v>
      </c>
      <c r="I918" t="s">
        <v>17712</v>
      </c>
      <c r="J918" t="s">
        <v>13863</v>
      </c>
      <c r="K918" t="s">
        <v>74</v>
      </c>
      <c r="L918" t="s">
        <v>74</v>
      </c>
      <c r="M918" t="s">
        <v>78</v>
      </c>
      <c r="N918" t="s">
        <v>79</v>
      </c>
      <c r="O918" t="s">
        <v>74</v>
      </c>
      <c r="P918" t="s">
        <v>74</v>
      </c>
      <c r="Q918" t="s">
        <v>74</v>
      </c>
      <c r="R918" t="s">
        <v>74</v>
      </c>
      <c r="S918" t="s">
        <v>74</v>
      </c>
      <c r="T918" t="s">
        <v>17713</v>
      </c>
      <c r="U918" t="s">
        <v>17714</v>
      </c>
      <c r="V918" t="s">
        <v>17715</v>
      </c>
      <c r="W918" t="s">
        <v>17716</v>
      </c>
      <c r="X918" t="s">
        <v>17717</v>
      </c>
      <c r="Y918" t="s">
        <v>17718</v>
      </c>
      <c r="Z918" t="s">
        <v>17719</v>
      </c>
      <c r="AA918" t="s">
        <v>74</v>
      </c>
      <c r="AB918" t="s">
        <v>17720</v>
      </c>
      <c r="AC918" t="s">
        <v>17721</v>
      </c>
      <c r="AD918" t="s">
        <v>17721</v>
      </c>
      <c r="AE918" t="s">
        <v>17722</v>
      </c>
      <c r="AF918" t="s">
        <v>74</v>
      </c>
      <c r="AG918">
        <v>30</v>
      </c>
      <c r="AH918">
        <v>0</v>
      </c>
      <c r="AI918">
        <v>0</v>
      </c>
      <c r="AJ918">
        <v>0</v>
      </c>
      <c r="AK918">
        <v>1</v>
      </c>
      <c r="AL918" t="s">
        <v>13872</v>
      </c>
      <c r="AM918" t="s">
        <v>13873</v>
      </c>
      <c r="AN918" t="s">
        <v>13874</v>
      </c>
      <c r="AO918" t="s">
        <v>13875</v>
      </c>
      <c r="AP918" t="s">
        <v>13876</v>
      </c>
      <c r="AQ918" t="s">
        <v>74</v>
      </c>
      <c r="AR918" t="s">
        <v>13863</v>
      </c>
      <c r="AS918" t="s">
        <v>13877</v>
      </c>
      <c r="AT918" t="s">
        <v>17723</v>
      </c>
      <c r="AU918">
        <v>2021</v>
      </c>
      <c r="AV918">
        <v>4966</v>
      </c>
      <c r="AW918">
        <v>3</v>
      </c>
      <c r="AX918" t="s">
        <v>74</v>
      </c>
      <c r="AY918" t="s">
        <v>74</v>
      </c>
      <c r="AZ918" t="s">
        <v>74</v>
      </c>
      <c r="BA918" t="s">
        <v>74</v>
      </c>
      <c r="BB918">
        <v>321</v>
      </c>
      <c r="BC918">
        <v>336</v>
      </c>
      <c r="BD918" t="s">
        <v>74</v>
      </c>
      <c r="BE918" t="s">
        <v>17724</v>
      </c>
      <c r="BF918" t="str">
        <f>HYPERLINK("http://dx.doi.org/10.11646/zootaxa.4966.3.4","http://dx.doi.org/10.11646/zootaxa.4966.3.4")</f>
        <v>http://dx.doi.org/10.11646/zootaxa.4966.3.4</v>
      </c>
      <c r="BG918" t="s">
        <v>74</v>
      </c>
      <c r="BH918" t="s">
        <v>74</v>
      </c>
      <c r="BI918">
        <v>16</v>
      </c>
      <c r="BJ918" t="s">
        <v>2197</v>
      </c>
      <c r="BK918" t="s">
        <v>128</v>
      </c>
      <c r="BL918" t="s">
        <v>2197</v>
      </c>
      <c r="BM918" t="s">
        <v>17725</v>
      </c>
      <c r="BN918">
        <v>34186614</v>
      </c>
      <c r="BO918" t="s">
        <v>74</v>
      </c>
      <c r="BP918" t="s">
        <v>74</v>
      </c>
      <c r="BQ918" t="s">
        <v>74</v>
      </c>
      <c r="BR918" t="s">
        <v>102</v>
      </c>
      <c r="BS918" t="s">
        <v>17726</v>
      </c>
      <c r="BT918" t="str">
        <f>HYPERLINK("https%3A%2F%2Fwww.webofscience.com%2Fwos%2Fwoscc%2Ffull-record%2FWOS:000697111700002","View Full Record in Web of Science")</f>
        <v>View Full Record in Web of Science</v>
      </c>
    </row>
    <row r="919" spans="1:72" x14ac:dyDescent="0.15">
      <c r="A919" t="s">
        <v>72</v>
      </c>
      <c r="B919" t="s">
        <v>17727</v>
      </c>
      <c r="C919" t="s">
        <v>74</v>
      </c>
      <c r="D919" t="s">
        <v>74</v>
      </c>
      <c r="E919" t="s">
        <v>74</v>
      </c>
      <c r="F919" t="s">
        <v>17728</v>
      </c>
      <c r="G919" t="s">
        <v>74</v>
      </c>
      <c r="H919" t="s">
        <v>74</v>
      </c>
      <c r="I919" t="s">
        <v>17729</v>
      </c>
      <c r="J919" t="s">
        <v>2703</v>
      </c>
      <c r="K919" t="s">
        <v>74</v>
      </c>
      <c r="L919" t="s">
        <v>74</v>
      </c>
      <c r="M919" t="s">
        <v>78</v>
      </c>
      <c r="N919" t="s">
        <v>79</v>
      </c>
      <c r="O919" t="s">
        <v>74</v>
      </c>
      <c r="P919" t="s">
        <v>74</v>
      </c>
      <c r="Q919" t="s">
        <v>74</v>
      </c>
      <c r="R919" t="s">
        <v>74</v>
      </c>
      <c r="S919" t="s">
        <v>74</v>
      </c>
      <c r="T919" t="s">
        <v>17730</v>
      </c>
      <c r="U919" t="s">
        <v>17731</v>
      </c>
      <c r="V919" t="s">
        <v>17732</v>
      </c>
      <c r="W919" t="s">
        <v>17733</v>
      </c>
      <c r="X919" t="s">
        <v>17734</v>
      </c>
      <c r="Y919" t="s">
        <v>17735</v>
      </c>
      <c r="Z919" t="s">
        <v>17736</v>
      </c>
      <c r="AA919" t="s">
        <v>17737</v>
      </c>
      <c r="AB919" t="s">
        <v>17738</v>
      </c>
      <c r="AC919" t="s">
        <v>17739</v>
      </c>
      <c r="AD919" t="s">
        <v>17740</v>
      </c>
      <c r="AE919" t="s">
        <v>17741</v>
      </c>
      <c r="AF919" t="s">
        <v>74</v>
      </c>
      <c r="AG919">
        <v>68</v>
      </c>
      <c r="AH919">
        <v>16</v>
      </c>
      <c r="AI919">
        <v>17</v>
      </c>
      <c r="AJ919">
        <v>1</v>
      </c>
      <c r="AK919">
        <v>16</v>
      </c>
      <c r="AL919" t="s">
        <v>2716</v>
      </c>
      <c r="AM919" t="s">
        <v>865</v>
      </c>
      <c r="AN919" t="s">
        <v>2717</v>
      </c>
      <c r="AO919" t="s">
        <v>2718</v>
      </c>
      <c r="AP919" t="s">
        <v>2918</v>
      </c>
      <c r="AQ919" t="s">
        <v>74</v>
      </c>
      <c r="AR919" t="s">
        <v>2719</v>
      </c>
      <c r="AS919" t="s">
        <v>2720</v>
      </c>
      <c r="AT919" t="s">
        <v>17723</v>
      </c>
      <c r="AU919">
        <v>2021</v>
      </c>
      <c r="AV919">
        <v>118</v>
      </c>
      <c r="AW919">
        <v>18</v>
      </c>
      <c r="AX919" t="s">
        <v>74</v>
      </c>
      <c r="AY919" t="s">
        <v>74</v>
      </c>
      <c r="AZ919" t="s">
        <v>74</v>
      </c>
      <c r="BA919" t="s">
        <v>74</v>
      </c>
      <c r="BB919" t="s">
        <v>74</v>
      </c>
      <c r="BC919" t="s">
        <v>74</v>
      </c>
      <c r="BD919" t="s">
        <v>17742</v>
      </c>
      <c r="BE919" t="s">
        <v>17743</v>
      </c>
      <c r="BF919" t="str">
        <f>HYPERLINK("http://dx.doi.org/10.1073/pnas.2100300118","http://dx.doi.org/10.1073/pnas.2100300118")</f>
        <v>http://dx.doi.org/10.1073/pnas.2100300118</v>
      </c>
      <c r="BG919" t="s">
        <v>74</v>
      </c>
      <c r="BH919" t="s">
        <v>74</v>
      </c>
      <c r="BI919">
        <v>7</v>
      </c>
      <c r="BJ919" t="s">
        <v>2609</v>
      </c>
      <c r="BK919" t="s">
        <v>128</v>
      </c>
      <c r="BL919" t="s">
        <v>2610</v>
      </c>
      <c r="BM919" t="s">
        <v>17744</v>
      </c>
      <c r="BN919">
        <v>33903250</v>
      </c>
      <c r="BO919" t="s">
        <v>7579</v>
      </c>
      <c r="BP919" t="s">
        <v>74</v>
      </c>
      <c r="BQ919" t="s">
        <v>74</v>
      </c>
      <c r="BR919" t="s">
        <v>102</v>
      </c>
      <c r="BS919" t="s">
        <v>17745</v>
      </c>
      <c r="BT919" t="str">
        <f>HYPERLINK("https%3A%2F%2Fwww.webofscience.com%2Fwos%2Fwoscc%2Ffull-record%2FWOS:000647171500016","View Full Record in Web of Science")</f>
        <v>View Full Record in Web of Science</v>
      </c>
    </row>
    <row r="920" spans="1:72" x14ac:dyDescent="0.15">
      <c r="A920" t="s">
        <v>72</v>
      </c>
      <c r="B920" t="s">
        <v>17746</v>
      </c>
      <c r="C920" t="s">
        <v>74</v>
      </c>
      <c r="D920" t="s">
        <v>74</v>
      </c>
      <c r="E920" t="s">
        <v>74</v>
      </c>
      <c r="F920" t="s">
        <v>17747</v>
      </c>
      <c r="G920" t="s">
        <v>74</v>
      </c>
      <c r="H920" t="s">
        <v>74</v>
      </c>
      <c r="I920" t="s">
        <v>17748</v>
      </c>
      <c r="J920" t="s">
        <v>17749</v>
      </c>
      <c r="K920" t="s">
        <v>74</v>
      </c>
      <c r="L920" t="s">
        <v>74</v>
      </c>
      <c r="M920" t="s">
        <v>78</v>
      </c>
      <c r="N920" t="s">
        <v>79</v>
      </c>
      <c r="O920" t="s">
        <v>74</v>
      </c>
      <c r="P920" t="s">
        <v>74</v>
      </c>
      <c r="Q920" t="s">
        <v>74</v>
      </c>
      <c r="R920" t="s">
        <v>74</v>
      </c>
      <c r="S920" t="s">
        <v>74</v>
      </c>
      <c r="T920" t="s">
        <v>17750</v>
      </c>
      <c r="U920" t="s">
        <v>17751</v>
      </c>
      <c r="V920" t="s">
        <v>17752</v>
      </c>
      <c r="W920" t="s">
        <v>17753</v>
      </c>
      <c r="X920" t="s">
        <v>17754</v>
      </c>
      <c r="Y920" t="s">
        <v>17755</v>
      </c>
      <c r="Z920" t="s">
        <v>17756</v>
      </c>
      <c r="AA920" t="s">
        <v>17757</v>
      </c>
      <c r="AB920" t="s">
        <v>17758</v>
      </c>
      <c r="AC920" t="s">
        <v>17759</v>
      </c>
      <c r="AD920" t="s">
        <v>17759</v>
      </c>
      <c r="AE920" t="s">
        <v>17760</v>
      </c>
      <c r="AF920" t="s">
        <v>74</v>
      </c>
      <c r="AG920">
        <v>71</v>
      </c>
      <c r="AH920">
        <v>18</v>
      </c>
      <c r="AI920">
        <v>20</v>
      </c>
      <c r="AJ920">
        <v>0</v>
      </c>
      <c r="AK920">
        <v>11</v>
      </c>
      <c r="AL920" t="s">
        <v>89</v>
      </c>
      <c r="AM920" t="s">
        <v>90</v>
      </c>
      <c r="AN920" t="s">
        <v>91</v>
      </c>
      <c r="AO920" t="s">
        <v>17761</v>
      </c>
      <c r="AP920" t="s">
        <v>74</v>
      </c>
      <c r="AQ920" t="s">
        <v>74</v>
      </c>
      <c r="AR920" t="s">
        <v>17762</v>
      </c>
      <c r="AS920" t="s">
        <v>17763</v>
      </c>
      <c r="AT920" t="s">
        <v>430</v>
      </c>
      <c r="AU920">
        <v>2021</v>
      </c>
      <c r="AV920">
        <v>20</v>
      </c>
      <c r="AW920" t="s">
        <v>74</v>
      </c>
      <c r="AX920" t="s">
        <v>74</v>
      </c>
      <c r="AY920" t="s">
        <v>74</v>
      </c>
      <c r="AZ920" t="s">
        <v>74</v>
      </c>
      <c r="BA920" t="s">
        <v>74</v>
      </c>
      <c r="BB920" t="s">
        <v>74</v>
      </c>
      <c r="BC920" t="s">
        <v>74</v>
      </c>
      <c r="BD920">
        <v>100714</v>
      </c>
      <c r="BE920" t="s">
        <v>17764</v>
      </c>
      <c r="BF920" t="str">
        <f>HYPERLINK("http://dx.doi.org/10.1016/j.aqrep.2021.100714","http://dx.doi.org/10.1016/j.aqrep.2021.100714")</f>
        <v>http://dx.doi.org/10.1016/j.aqrep.2021.100714</v>
      </c>
      <c r="BG920" t="s">
        <v>74</v>
      </c>
      <c r="BH920" t="s">
        <v>14415</v>
      </c>
      <c r="BI920">
        <v>12</v>
      </c>
      <c r="BJ920" t="s">
        <v>99</v>
      </c>
      <c r="BK920" t="s">
        <v>128</v>
      </c>
      <c r="BL920" t="s">
        <v>99</v>
      </c>
      <c r="BM920" t="s">
        <v>17765</v>
      </c>
      <c r="BN920" t="s">
        <v>74</v>
      </c>
      <c r="BO920" t="s">
        <v>311</v>
      </c>
      <c r="BP920" t="s">
        <v>74</v>
      </c>
      <c r="BQ920" t="s">
        <v>74</v>
      </c>
      <c r="BR920" t="s">
        <v>102</v>
      </c>
      <c r="BS920" t="s">
        <v>17766</v>
      </c>
      <c r="BT920" t="str">
        <f>HYPERLINK("https%3A%2F%2Fwww.webofscience.com%2Fwos%2Fwoscc%2Ffull-record%2FWOS:000672569700007","View Full Record in Web of Science")</f>
        <v>View Full Record in Web of Science</v>
      </c>
    </row>
    <row r="921" spans="1:72" x14ac:dyDescent="0.15">
      <c r="A921" t="s">
        <v>72</v>
      </c>
      <c r="B921" t="s">
        <v>17767</v>
      </c>
      <c r="C921" t="s">
        <v>74</v>
      </c>
      <c r="D921" t="s">
        <v>74</v>
      </c>
      <c r="E921" t="s">
        <v>74</v>
      </c>
      <c r="F921" t="s">
        <v>17768</v>
      </c>
      <c r="G921" t="s">
        <v>74</v>
      </c>
      <c r="H921" t="s">
        <v>74</v>
      </c>
      <c r="I921" t="s">
        <v>17769</v>
      </c>
      <c r="J921" t="s">
        <v>3753</v>
      </c>
      <c r="K921" t="s">
        <v>74</v>
      </c>
      <c r="L921" t="s">
        <v>74</v>
      </c>
      <c r="M921" t="s">
        <v>78</v>
      </c>
      <c r="N921" t="s">
        <v>79</v>
      </c>
      <c r="O921" t="s">
        <v>74</v>
      </c>
      <c r="P921" t="s">
        <v>74</v>
      </c>
      <c r="Q921" t="s">
        <v>74</v>
      </c>
      <c r="R921" t="s">
        <v>74</v>
      </c>
      <c r="S921" t="s">
        <v>74</v>
      </c>
      <c r="T921" t="s">
        <v>17770</v>
      </c>
      <c r="U921" t="s">
        <v>17771</v>
      </c>
      <c r="V921" t="s">
        <v>17772</v>
      </c>
      <c r="W921" t="s">
        <v>17773</v>
      </c>
      <c r="X921" t="s">
        <v>17774</v>
      </c>
      <c r="Y921" t="s">
        <v>17775</v>
      </c>
      <c r="Z921" t="s">
        <v>17776</v>
      </c>
      <c r="AA921" t="s">
        <v>17777</v>
      </c>
      <c r="AB921" t="s">
        <v>17778</v>
      </c>
      <c r="AC921" t="s">
        <v>17779</v>
      </c>
      <c r="AD921" t="s">
        <v>17780</v>
      </c>
      <c r="AE921" t="s">
        <v>17781</v>
      </c>
      <c r="AF921" t="s">
        <v>74</v>
      </c>
      <c r="AG921">
        <v>90</v>
      </c>
      <c r="AH921">
        <v>8</v>
      </c>
      <c r="AI921">
        <v>10</v>
      </c>
      <c r="AJ921">
        <v>5</v>
      </c>
      <c r="AK921">
        <v>28</v>
      </c>
      <c r="AL921" t="s">
        <v>89</v>
      </c>
      <c r="AM921" t="s">
        <v>90</v>
      </c>
      <c r="AN921" t="s">
        <v>91</v>
      </c>
      <c r="AO921" t="s">
        <v>3764</v>
      </c>
      <c r="AP921" t="s">
        <v>3765</v>
      </c>
      <c r="AQ921" t="s">
        <v>74</v>
      </c>
      <c r="AR921" t="s">
        <v>3766</v>
      </c>
      <c r="AS921" t="s">
        <v>3767</v>
      </c>
      <c r="AT921" t="s">
        <v>430</v>
      </c>
      <c r="AU921">
        <v>2021</v>
      </c>
      <c r="AV921">
        <v>437</v>
      </c>
      <c r="AW921" t="s">
        <v>74</v>
      </c>
      <c r="AX921" t="s">
        <v>74</v>
      </c>
      <c r="AY921" t="s">
        <v>74</v>
      </c>
      <c r="AZ921" t="s">
        <v>74</v>
      </c>
      <c r="BA921" t="s">
        <v>74</v>
      </c>
      <c r="BB921" t="s">
        <v>74</v>
      </c>
      <c r="BC921" t="s">
        <v>74</v>
      </c>
      <c r="BD921">
        <v>106497</v>
      </c>
      <c r="BE921" t="s">
        <v>17782</v>
      </c>
      <c r="BF921" t="str">
        <f>HYPERLINK("http://dx.doi.org/10.1016/j.margeo.2021.106497","http://dx.doi.org/10.1016/j.margeo.2021.106497")</f>
        <v>http://dx.doi.org/10.1016/j.margeo.2021.106497</v>
      </c>
      <c r="BG921" t="s">
        <v>74</v>
      </c>
      <c r="BH921" t="s">
        <v>14415</v>
      </c>
      <c r="BI921">
        <v>13</v>
      </c>
      <c r="BJ921" t="s">
        <v>3769</v>
      </c>
      <c r="BK921" t="s">
        <v>128</v>
      </c>
      <c r="BL921" t="s">
        <v>3770</v>
      </c>
      <c r="BM921" t="s">
        <v>17783</v>
      </c>
      <c r="BN921" t="s">
        <v>74</v>
      </c>
      <c r="BO921" t="s">
        <v>291</v>
      </c>
      <c r="BP921" t="s">
        <v>74</v>
      </c>
      <c r="BQ921" t="s">
        <v>74</v>
      </c>
      <c r="BR921" t="s">
        <v>102</v>
      </c>
      <c r="BS921" t="s">
        <v>17784</v>
      </c>
      <c r="BT921" t="str">
        <f>HYPERLINK("https%3A%2F%2Fwww.webofscience.com%2Fwos%2Fwoscc%2Ffull-record%2FWOS:000659163500004","View Full Record in Web of Science")</f>
        <v>View Full Record in Web of Science</v>
      </c>
    </row>
    <row r="922" spans="1:72" x14ac:dyDescent="0.15">
      <c r="A922" t="s">
        <v>72</v>
      </c>
      <c r="B922" t="s">
        <v>17785</v>
      </c>
      <c r="C922" t="s">
        <v>74</v>
      </c>
      <c r="D922" t="s">
        <v>74</v>
      </c>
      <c r="E922" t="s">
        <v>74</v>
      </c>
      <c r="F922" t="s">
        <v>17786</v>
      </c>
      <c r="G922" t="s">
        <v>74</v>
      </c>
      <c r="H922" t="s">
        <v>74</v>
      </c>
      <c r="I922" t="s">
        <v>17787</v>
      </c>
      <c r="J922" t="s">
        <v>10632</v>
      </c>
      <c r="K922" t="s">
        <v>74</v>
      </c>
      <c r="L922" t="s">
        <v>74</v>
      </c>
      <c r="M922" t="s">
        <v>78</v>
      </c>
      <c r="N922" t="s">
        <v>79</v>
      </c>
      <c r="O922" t="s">
        <v>74</v>
      </c>
      <c r="P922" t="s">
        <v>74</v>
      </c>
      <c r="Q922" t="s">
        <v>74</v>
      </c>
      <c r="R922" t="s">
        <v>74</v>
      </c>
      <c r="S922" t="s">
        <v>74</v>
      </c>
      <c r="T922" t="s">
        <v>17788</v>
      </c>
      <c r="U922" t="s">
        <v>17789</v>
      </c>
      <c r="V922" t="s">
        <v>17790</v>
      </c>
      <c r="W922" t="s">
        <v>17791</v>
      </c>
      <c r="X922" t="s">
        <v>17792</v>
      </c>
      <c r="Y922" t="s">
        <v>17793</v>
      </c>
      <c r="Z922" t="s">
        <v>17794</v>
      </c>
      <c r="AA922" t="s">
        <v>74</v>
      </c>
      <c r="AB922" t="s">
        <v>17795</v>
      </c>
      <c r="AC922" t="s">
        <v>17796</v>
      </c>
      <c r="AD922" t="s">
        <v>17797</v>
      </c>
      <c r="AE922" t="s">
        <v>17798</v>
      </c>
      <c r="AF922" t="s">
        <v>74</v>
      </c>
      <c r="AG922">
        <v>25</v>
      </c>
      <c r="AH922">
        <v>11</v>
      </c>
      <c r="AI922">
        <v>11</v>
      </c>
      <c r="AJ922">
        <v>0</v>
      </c>
      <c r="AK922">
        <v>7</v>
      </c>
      <c r="AL922" t="s">
        <v>3526</v>
      </c>
      <c r="AM922" t="s">
        <v>650</v>
      </c>
      <c r="AN922" t="s">
        <v>3527</v>
      </c>
      <c r="AO922" t="s">
        <v>10645</v>
      </c>
      <c r="AP922" t="s">
        <v>10646</v>
      </c>
      <c r="AQ922" t="s">
        <v>74</v>
      </c>
      <c r="AR922" t="s">
        <v>10647</v>
      </c>
      <c r="AS922" t="s">
        <v>10648</v>
      </c>
      <c r="AT922" t="s">
        <v>535</v>
      </c>
      <c r="AU922">
        <v>2021</v>
      </c>
      <c r="AV922">
        <v>261</v>
      </c>
      <c r="AW922" t="s">
        <v>74</v>
      </c>
      <c r="AX922" t="s">
        <v>74</v>
      </c>
      <c r="AY922" t="s">
        <v>74</v>
      </c>
      <c r="AZ922" t="s">
        <v>74</v>
      </c>
      <c r="BA922" t="s">
        <v>74</v>
      </c>
      <c r="BB922" t="s">
        <v>74</v>
      </c>
      <c r="BC922" t="s">
        <v>74</v>
      </c>
      <c r="BD922">
        <v>112460</v>
      </c>
      <c r="BE922" t="s">
        <v>17799</v>
      </c>
      <c r="BF922" t="str">
        <f>HYPERLINK("http://dx.doi.org/10.1016/j.rse.2021.112460","http://dx.doi.org/10.1016/j.rse.2021.112460")</f>
        <v>http://dx.doi.org/10.1016/j.rse.2021.112460</v>
      </c>
      <c r="BG922" t="s">
        <v>74</v>
      </c>
      <c r="BH922" t="s">
        <v>14415</v>
      </c>
      <c r="BI922">
        <v>12</v>
      </c>
      <c r="BJ922" t="s">
        <v>10650</v>
      </c>
      <c r="BK922" t="s">
        <v>128</v>
      </c>
      <c r="BL922" t="s">
        <v>10651</v>
      </c>
      <c r="BM922" t="s">
        <v>17800</v>
      </c>
      <c r="BN922" t="s">
        <v>74</v>
      </c>
      <c r="BO922" t="s">
        <v>74</v>
      </c>
      <c r="BP922" t="s">
        <v>74</v>
      </c>
      <c r="BQ922" t="s">
        <v>74</v>
      </c>
      <c r="BR922" t="s">
        <v>102</v>
      </c>
      <c r="BS922" t="s">
        <v>17801</v>
      </c>
      <c r="BT922" t="str">
        <f>HYPERLINK("https%3A%2F%2Fwww.webofscience.com%2Fwos%2Fwoscc%2Ffull-record%2FWOS:000663450900001","View Full Record in Web of Science")</f>
        <v>View Full Record in Web of Science</v>
      </c>
    </row>
    <row r="923" spans="1:72" x14ac:dyDescent="0.15">
      <c r="A923" t="s">
        <v>72</v>
      </c>
      <c r="B923" t="s">
        <v>17802</v>
      </c>
      <c r="C923" t="s">
        <v>74</v>
      </c>
      <c r="D923" t="s">
        <v>74</v>
      </c>
      <c r="E923" t="s">
        <v>74</v>
      </c>
      <c r="F923" t="s">
        <v>17803</v>
      </c>
      <c r="G923" t="s">
        <v>74</v>
      </c>
      <c r="H923" t="s">
        <v>74</v>
      </c>
      <c r="I923" t="s">
        <v>17804</v>
      </c>
      <c r="J923" t="s">
        <v>2862</v>
      </c>
      <c r="K923" t="s">
        <v>74</v>
      </c>
      <c r="L923" t="s">
        <v>74</v>
      </c>
      <c r="M923" t="s">
        <v>78</v>
      </c>
      <c r="N923" t="s">
        <v>79</v>
      </c>
      <c r="O923" t="s">
        <v>74</v>
      </c>
      <c r="P923" t="s">
        <v>74</v>
      </c>
      <c r="Q923" t="s">
        <v>74</v>
      </c>
      <c r="R923" t="s">
        <v>74</v>
      </c>
      <c r="S923" t="s">
        <v>74</v>
      </c>
      <c r="T923" t="s">
        <v>17805</v>
      </c>
      <c r="U923" t="s">
        <v>17806</v>
      </c>
      <c r="V923" t="s">
        <v>17807</v>
      </c>
      <c r="W923" t="s">
        <v>17808</v>
      </c>
      <c r="X923" t="s">
        <v>17809</v>
      </c>
      <c r="Y923" t="s">
        <v>17810</v>
      </c>
      <c r="Z923" t="s">
        <v>17811</v>
      </c>
      <c r="AA923" t="s">
        <v>74</v>
      </c>
      <c r="AB923" t="s">
        <v>17812</v>
      </c>
      <c r="AC923" t="s">
        <v>17813</v>
      </c>
      <c r="AD923" t="s">
        <v>17814</v>
      </c>
      <c r="AE923" t="s">
        <v>17815</v>
      </c>
      <c r="AF923" t="s">
        <v>74</v>
      </c>
      <c r="AG923">
        <v>68</v>
      </c>
      <c r="AH923">
        <v>4</v>
      </c>
      <c r="AI923">
        <v>4</v>
      </c>
      <c r="AJ923">
        <v>1</v>
      </c>
      <c r="AK923">
        <v>10</v>
      </c>
      <c r="AL923" t="s">
        <v>450</v>
      </c>
      <c r="AM923" t="s">
        <v>650</v>
      </c>
      <c r="AN923" t="s">
        <v>1957</v>
      </c>
      <c r="AO923" t="s">
        <v>2874</v>
      </c>
      <c r="AP923" t="s">
        <v>2875</v>
      </c>
      <c r="AQ923" t="s">
        <v>74</v>
      </c>
      <c r="AR923" t="s">
        <v>2876</v>
      </c>
      <c r="AS923" t="s">
        <v>2877</v>
      </c>
      <c r="AT923" t="s">
        <v>4571</v>
      </c>
      <c r="AU923">
        <v>2021</v>
      </c>
      <c r="AV923">
        <v>44</v>
      </c>
      <c r="AW923">
        <v>6</v>
      </c>
      <c r="AX923" t="s">
        <v>74</v>
      </c>
      <c r="AY923" t="s">
        <v>74</v>
      </c>
      <c r="AZ923" t="s">
        <v>74</v>
      </c>
      <c r="BA923" t="s">
        <v>74</v>
      </c>
      <c r="BB923">
        <v>1127</v>
      </c>
      <c r="BC923">
        <v>1139</v>
      </c>
      <c r="BD923" t="s">
        <v>74</v>
      </c>
      <c r="BE923" t="s">
        <v>17816</v>
      </c>
      <c r="BF923" t="str">
        <f>HYPERLINK("http://dx.doi.org/10.1007/s00300-021-02879-4","http://dx.doi.org/10.1007/s00300-021-02879-4")</f>
        <v>http://dx.doi.org/10.1007/s00300-021-02879-4</v>
      </c>
      <c r="BG923" t="s">
        <v>74</v>
      </c>
      <c r="BH923" t="s">
        <v>14415</v>
      </c>
      <c r="BI923">
        <v>13</v>
      </c>
      <c r="BJ923" t="s">
        <v>1883</v>
      </c>
      <c r="BK923" t="s">
        <v>128</v>
      </c>
      <c r="BL923" t="s">
        <v>207</v>
      </c>
      <c r="BM923" t="s">
        <v>16915</v>
      </c>
      <c r="BN923" t="s">
        <v>74</v>
      </c>
      <c r="BO923" t="s">
        <v>74</v>
      </c>
      <c r="BP923" t="s">
        <v>74</v>
      </c>
      <c r="BQ923" t="s">
        <v>74</v>
      </c>
      <c r="BR923" t="s">
        <v>102</v>
      </c>
      <c r="BS923" t="s">
        <v>17817</v>
      </c>
      <c r="BT923" t="str">
        <f>HYPERLINK("https%3A%2F%2Fwww.webofscience.com%2Fwos%2Fwoscc%2Ffull-record%2FWOS:000646974100001","View Full Record in Web of Science")</f>
        <v>View Full Record in Web of Science</v>
      </c>
    </row>
    <row r="924" spans="1:72" x14ac:dyDescent="0.15">
      <c r="A924" t="s">
        <v>72</v>
      </c>
      <c r="B924" t="s">
        <v>17818</v>
      </c>
      <c r="C924" t="s">
        <v>74</v>
      </c>
      <c r="D924" t="s">
        <v>74</v>
      </c>
      <c r="E924" t="s">
        <v>74</v>
      </c>
      <c r="F924" t="s">
        <v>17819</v>
      </c>
      <c r="G924" t="s">
        <v>74</v>
      </c>
      <c r="H924" t="s">
        <v>74</v>
      </c>
      <c r="I924" t="s">
        <v>17820</v>
      </c>
      <c r="J924" t="s">
        <v>11754</v>
      </c>
      <c r="K924" t="s">
        <v>74</v>
      </c>
      <c r="L924" t="s">
        <v>74</v>
      </c>
      <c r="M924" t="s">
        <v>78</v>
      </c>
      <c r="N924" t="s">
        <v>79</v>
      </c>
      <c r="O924" t="s">
        <v>74</v>
      </c>
      <c r="P924" t="s">
        <v>74</v>
      </c>
      <c r="Q924" t="s">
        <v>74</v>
      </c>
      <c r="R924" t="s">
        <v>74</v>
      </c>
      <c r="S924" t="s">
        <v>74</v>
      </c>
      <c r="T924" t="s">
        <v>74</v>
      </c>
      <c r="U924" t="s">
        <v>17821</v>
      </c>
      <c r="V924" t="s">
        <v>17822</v>
      </c>
      <c r="W924" t="s">
        <v>17823</v>
      </c>
      <c r="X924" t="s">
        <v>17824</v>
      </c>
      <c r="Y924" t="s">
        <v>17825</v>
      </c>
      <c r="Z924" t="s">
        <v>17826</v>
      </c>
      <c r="AA924" t="s">
        <v>17827</v>
      </c>
      <c r="AB924" t="s">
        <v>17828</v>
      </c>
      <c r="AC924" t="s">
        <v>17829</v>
      </c>
      <c r="AD924" t="s">
        <v>17830</v>
      </c>
      <c r="AE924" t="s">
        <v>17831</v>
      </c>
      <c r="AF924" t="s">
        <v>74</v>
      </c>
      <c r="AG924">
        <v>74</v>
      </c>
      <c r="AH924">
        <v>7</v>
      </c>
      <c r="AI924">
        <v>12</v>
      </c>
      <c r="AJ924">
        <v>0</v>
      </c>
      <c r="AK924">
        <v>13</v>
      </c>
      <c r="AL924" t="s">
        <v>197</v>
      </c>
      <c r="AM924" t="s">
        <v>198</v>
      </c>
      <c r="AN924" t="s">
        <v>199</v>
      </c>
      <c r="AO924" t="s">
        <v>11766</v>
      </c>
      <c r="AP924" t="s">
        <v>11767</v>
      </c>
      <c r="AQ924" t="s">
        <v>74</v>
      </c>
      <c r="AR924" t="s">
        <v>11768</v>
      </c>
      <c r="AS924" t="s">
        <v>11769</v>
      </c>
      <c r="AT924" t="s">
        <v>4571</v>
      </c>
      <c r="AU924">
        <v>2021</v>
      </c>
      <c r="AV924">
        <v>66</v>
      </c>
      <c r="AW924">
        <v>6</v>
      </c>
      <c r="AX924" t="s">
        <v>74</v>
      </c>
      <c r="AY924" t="s">
        <v>74</v>
      </c>
      <c r="AZ924" t="s">
        <v>74</v>
      </c>
      <c r="BA924" t="s">
        <v>74</v>
      </c>
      <c r="BB924">
        <v>2234</v>
      </c>
      <c r="BC924">
        <v>2250</v>
      </c>
      <c r="BD924" t="s">
        <v>74</v>
      </c>
      <c r="BE924" t="s">
        <v>17832</v>
      </c>
      <c r="BF924" t="str">
        <f>HYPERLINK("http://dx.doi.org/10.1002/lno.11750","http://dx.doi.org/10.1002/lno.11750")</f>
        <v>http://dx.doi.org/10.1002/lno.11750</v>
      </c>
      <c r="BG924" t="s">
        <v>74</v>
      </c>
      <c r="BH924" t="s">
        <v>14415</v>
      </c>
      <c r="BI924">
        <v>17</v>
      </c>
      <c r="BJ924" t="s">
        <v>8999</v>
      </c>
      <c r="BK924" t="s">
        <v>128</v>
      </c>
      <c r="BL924" t="s">
        <v>3436</v>
      </c>
      <c r="BM924" t="s">
        <v>17463</v>
      </c>
      <c r="BN924" t="s">
        <v>74</v>
      </c>
      <c r="BO924" t="s">
        <v>1154</v>
      </c>
      <c r="BP924" t="s">
        <v>74</v>
      </c>
      <c r="BQ924" t="s">
        <v>74</v>
      </c>
      <c r="BR924" t="s">
        <v>102</v>
      </c>
      <c r="BS924" t="s">
        <v>17833</v>
      </c>
      <c r="BT924" t="str">
        <f>HYPERLINK("https%3A%2F%2Fwww.webofscience.com%2Fwos%2Fwoscc%2Ffull-record%2FWOS:000646459700001","View Full Record in Web of Science")</f>
        <v>View Full Record in Web of Science</v>
      </c>
    </row>
    <row r="925" spans="1:72" x14ac:dyDescent="0.15">
      <c r="A925" t="s">
        <v>72</v>
      </c>
      <c r="B925" t="s">
        <v>17834</v>
      </c>
      <c r="C925" t="s">
        <v>74</v>
      </c>
      <c r="D925" t="s">
        <v>74</v>
      </c>
      <c r="E925" t="s">
        <v>74</v>
      </c>
      <c r="F925" t="s">
        <v>17835</v>
      </c>
      <c r="G925" t="s">
        <v>74</v>
      </c>
      <c r="H925" t="s">
        <v>74</v>
      </c>
      <c r="I925" t="s">
        <v>17836</v>
      </c>
      <c r="J925" t="s">
        <v>11974</v>
      </c>
      <c r="K925" t="s">
        <v>74</v>
      </c>
      <c r="L925" t="s">
        <v>74</v>
      </c>
      <c r="M925" t="s">
        <v>78</v>
      </c>
      <c r="N925" t="s">
        <v>79</v>
      </c>
      <c r="O925" t="s">
        <v>74</v>
      </c>
      <c r="P925" t="s">
        <v>74</v>
      </c>
      <c r="Q925" t="s">
        <v>74</v>
      </c>
      <c r="R925" t="s">
        <v>74</v>
      </c>
      <c r="S925" t="s">
        <v>74</v>
      </c>
      <c r="T925" t="s">
        <v>74</v>
      </c>
      <c r="U925" t="s">
        <v>17837</v>
      </c>
      <c r="V925" t="s">
        <v>17838</v>
      </c>
      <c r="W925" t="s">
        <v>17839</v>
      </c>
      <c r="X925" t="s">
        <v>17840</v>
      </c>
      <c r="Y925" t="s">
        <v>17841</v>
      </c>
      <c r="Z925" t="s">
        <v>17842</v>
      </c>
      <c r="AA925" t="s">
        <v>17843</v>
      </c>
      <c r="AB925" t="s">
        <v>17844</v>
      </c>
      <c r="AC925" t="s">
        <v>17845</v>
      </c>
      <c r="AD925" t="s">
        <v>17846</v>
      </c>
      <c r="AE925" t="s">
        <v>17847</v>
      </c>
      <c r="AF925" t="s">
        <v>74</v>
      </c>
      <c r="AG925">
        <v>70</v>
      </c>
      <c r="AH925">
        <v>17</v>
      </c>
      <c r="AI925">
        <v>17</v>
      </c>
      <c r="AJ925">
        <v>0</v>
      </c>
      <c r="AK925">
        <v>42</v>
      </c>
      <c r="AL925" t="s">
        <v>197</v>
      </c>
      <c r="AM925" t="s">
        <v>198</v>
      </c>
      <c r="AN925" t="s">
        <v>199</v>
      </c>
      <c r="AO925" t="s">
        <v>11986</v>
      </c>
      <c r="AP925" t="s">
        <v>11987</v>
      </c>
      <c r="AQ925" t="s">
        <v>74</v>
      </c>
      <c r="AR925" t="s">
        <v>11988</v>
      </c>
      <c r="AS925" t="s">
        <v>11989</v>
      </c>
      <c r="AT925" t="s">
        <v>430</v>
      </c>
      <c r="AU925">
        <v>2021</v>
      </c>
      <c r="AV925">
        <v>23</v>
      </c>
      <c r="AW925">
        <v>7</v>
      </c>
      <c r="AX925" t="s">
        <v>74</v>
      </c>
      <c r="AY925" t="s">
        <v>74</v>
      </c>
      <c r="AZ925" t="s">
        <v>74</v>
      </c>
      <c r="BA925" t="s">
        <v>74</v>
      </c>
      <c r="BB925">
        <v>3335</v>
      </c>
      <c r="BC925">
        <v>3344</v>
      </c>
      <c r="BD925" t="s">
        <v>74</v>
      </c>
      <c r="BE925" t="s">
        <v>17848</v>
      </c>
      <c r="BF925" t="str">
        <f>HYPERLINK("http://dx.doi.org/10.1111/1462-2920.15499","http://dx.doi.org/10.1111/1462-2920.15499")</f>
        <v>http://dx.doi.org/10.1111/1462-2920.15499</v>
      </c>
      <c r="BG925" t="s">
        <v>74</v>
      </c>
      <c r="BH925" t="s">
        <v>14415</v>
      </c>
      <c r="BI925">
        <v>10</v>
      </c>
      <c r="BJ925" t="s">
        <v>1499</v>
      </c>
      <c r="BK925" t="s">
        <v>128</v>
      </c>
      <c r="BL925" t="s">
        <v>1499</v>
      </c>
      <c r="BM925" t="s">
        <v>17849</v>
      </c>
      <c r="BN925">
        <v>33817931</v>
      </c>
      <c r="BO925" t="s">
        <v>1770</v>
      </c>
      <c r="BP925" t="s">
        <v>74</v>
      </c>
      <c r="BQ925" t="s">
        <v>74</v>
      </c>
      <c r="BR925" t="s">
        <v>102</v>
      </c>
      <c r="BS925" t="s">
        <v>17850</v>
      </c>
      <c r="BT925" t="str">
        <f>HYPERLINK("https%3A%2F%2Fwww.webofscience.com%2Fwos%2Fwoscc%2Ffull-record%2FWOS:000646724400001","View Full Record in Web of Science")</f>
        <v>View Full Record in Web of Science</v>
      </c>
    </row>
    <row r="926" spans="1:72" x14ac:dyDescent="0.15">
      <c r="A926" t="s">
        <v>72</v>
      </c>
      <c r="B926" t="s">
        <v>17851</v>
      </c>
      <c r="C926" t="s">
        <v>74</v>
      </c>
      <c r="D926" t="s">
        <v>74</v>
      </c>
      <c r="E926" t="s">
        <v>74</v>
      </c>
      <c r="F926" t="s">
        <v>17852</v>
      </c>
      <c r="G926" t="s">
        <v>74</v>
      </c>
      <c r="H926" t="s">
        <v>74</v>
      </c>
      <c r="I926" t="s">
        <v>17853</v>
      </c>
      <c r="J926" t="s">
        <v>16262</v>
      </c>
      <c r="K926" t="s">
        <v>74</v>
      </c>
      <c r="L926" t="s">
        <v>74</v>
      </c>
      <c r="M926" t="s">
        <v>78</v>
      </c>
      <c r="N926" t="s">
        <v>79</v>
      </c>
      <c r="O926" t="s">
        <v>74</v>
      </c>
      <c r="P926" t="s">
        <v>74</v>
      </c>
      <c r="Q926" t="s">
        <v>74</v>
      </c>
      <c r="R926" t="s">
        <v>74</v>
      </c>
      <c r="S926" t="s">
        <v>74</v>
      </c>
      <c r="T926" t="s">
        <v>17854</v>
      </c>
      <c r="U926" t="s">
        <v>17855</v>
      </c>
      <c r="V926" t="s">
        <v>17856</v>
      </c>
      <c r="W926" t="s">
        <v>17857</v>
      </c>
      <c r="X926" t="s">
        <v>17858</v>
      </c>
      <c r="Y926" t="s">
        <v>17859</v>
      </c>
      <c r="Z926" t="s">
        <v>17860</v>
      </c>
      <c r="AA926" t="s">
        <v>17861</v>
      </c>
      <c r="AB926" t="s">
        <v>17862</v>
      </c>
      <c r="AC926" t="s">
        <v>17863</v>
      </c>
      <c r="AD926" t="s">
        <v>17864</v>
      </c>
      <c r="AE926" t="s">
        <v>17865</v>
      </c>
      <c r="AF926" t="s">
        <v>74</v>
      </c>
      <c r="AG926">
        <v>106</v>
      </c>
      <c r="AH926">
        <v>8</v>
      </c>
      <c r="AI926">
        <v>8</v>
      </c>
      <c r="AJ926">
        <v>1</v>
      </c>
      <c r="AK926">
        <v>15</v>
      </c>
      <c r="AL926" t="s">
        <v>10986</v>
      </c>
      <c r="AM926" t="s">
        <v>368</v>
      </c>
      <c r="AN926" t="s">
        <v>10987</v>
      </c>
      <c r="AO926" t="s">
        <v>16275</v>
      </c>
      <c r="AP926" t="s">
        <v>74</v>
      </c>
      <c r="AQ926" t="s">
        <v>74</v>
      </c>
      <c r="AR926" t="s">
        <v>16276</v>
      </c>
      <c r="AS926" t="s">
        <v>16277</v>
      </c>
      <c r="AT926" t="s">
        <v>17723</v>
      </c>
      <c r="AU926">
        <v>2021</v>
      </c>
      <c r="AV926">
        <v>9</v>
      </c>
      <c r="AW926">
        <v>1</v>
      </c>
      <c r="AX926" t="s">
        <v>74</v>
      </c>
      <c r="AY926" t="s">
        <v>74</v>
      </c>
      <c r="AZ926" t="s">
        <v>74</v>
      </c>
      <c r="BA926" t="s">
        <v>74</v>
      </c>
      <c r="BB926" t="s">
        <v>74</v>
      </c>
      <c r="BC926" t="s">
        <v>74</v>
      </c>
      <c r="BD926">
        <v>22</v>
      </c>
      <c r="BE926" t="s">
        <v>17866</v>
      </c>
      <c r="BF926" t="str">
        <f>HYPERLINK("http://dx.doi.org/10.1186/s40462-021-00261-x","http://dx.doi.org/10.1186/s40462-021-00261-x")</f>
        <v>http://dx.doi.org/10.1186/s40462-021-00261-x</v>
      </c>
      <c r="BG926" t="s">
        <v>74</v>
      </c>
      <c r="BH926" t="s">
        <v>74</v>
      </c>
      <c r="BI926">
        <v>14</v>
      </c>
      <c r="BJ926" t="s">
        <v>1462</v>
      </c>
      <c r="BK926" t="s">
        <v>128</v>
      </c>
      <c r="BL926" t="s">
        <v>263</v>
      </c>
      <c r="BM926" t="s">
        <v>17867</v>
      </c>
      <c r="BN926">
        <v>33947478</v>
      </c>
      <c r="BO926" t="s">
        <v>486</v>
      </c>
      <c r="BP926" t="s">
        <v>74</v>
      </c>
      <c r="BQ926" t="s">
        <v>74</v>
      </c>
      <c r="BR926" t="s">
        <v>102</v>
      </c>
      <c r="BS926" t="s">
        <v>17868</v>
      </c>
      <c r="BT926" t="str">
        <f>HYPERLINK("https%3A%2F%2Fwww.webofscience.com%2Fwos%2Fwoscc%2Ffull-record%2FWOS:000647153000001","View Full Record in Web of Science")</f>
        <v>View Full Record in Web of Science</v>
      </c>
    </row>
    <row r="927" spans="1:72" x14ac:dyDescent="0.15">
      <c r="A927" t="s">
        <v>72</v>
      </c>
      <c r="B927" t="s">
        <v>17869</v>
      </c>
      <c r="C927" t="s">
        <v>74</v>
      </c>
      <c r="D927" t="s">
        <v>74</v>
      </c>
      <c r="E927" t="s">
        <v>74</v>
      </c>
      <c r="F927" t="s">
        <v>17870</v>
      </c>
      <c r="G927" t="s">
        <v>74</v>
      </c>
      <c r="H927" t="s">
        <v>74</v>
      </c>
      <c r="I927" t="s">
        <v>17871</v>
      </c>
      <c r="J927" t="s">
        <v>17872</v>
      </c>
      <c r="K927" t="s">
        <v>74</v>
      </c>
      <c r="L927" t="s">
        <v>74</v>
      </c>
      <c r="M927" t="s">
        <v>78</v>
      </c>
      <c r="N927" t="s">
        <v>79</v>
      </c>
      <c r="O927" t="s">
        <v>74</v>
      </c>
      <c r="P927" t="s">
        <v>74</v>
      </c>
      <c r="Q927" t="s">
        <v>74</v>
      </c>
      <c r="R927" t="s">
        <v>74</v>
      </c>
      <c r="S927" t="s">
        <v>74</v>
      </c>
      <c r="T927" t="s">
        <v>17873</v>
      </c>
      <c r="U927" t="s">
        <v>17874</v>
      </c>
      <c r="V927" t="s">
        <v>17875</v>
      </c>
      <c r="W927" t="s">
        <v>17876</v>
      </c>
      <c r="X927" t="s">
        <v>17877</v>
      </c>
      <c r="Y927" t="s">
        <v>17878</v>
      </c>
      <c r="Z927" t="s">
        <v>17879</v>
      </c>
      <c r="AA927" t="s">
        <v>17880</v>
      </c>
      <c r="AB927" t="s">
        <v>17881</v>
      </c>
      <c r="AC927" t="s">
        <v>17882</v>
      </c>
      <c r="AD927" t="s">
        <v>17883</v>
      </c>
      <c r="AE927" t="s">
        <v>17884</v>
      </c>
      <c r="AF927" t="s">
        <v>74</v>
      </c>
      <c r="AG927">
        <v>32</v>
      </c>
      <c r="AH927">
        <v>0</v>
      </c>
      <c r="AI927">
        <v>0</v>
      </c>
      <c r="AJ927">
        <v>1</v>
      </c>
      <c r="AK927">
        <v>5</v>
      </c>
      <c r="AL927" t="s">
        <v>2190</v>
      </c>
      <c r="AM927" t="s">
        <v>228</v>
      </c>
      <c r="AN927" t="s">
        <v>2191</v>
      </c>
      <c r="AO927" t="s">
        <v>17885</v>
      </c>
      <c r="AP927" t="s">
        <v>17886</v>
      </c>
      <c r="AQ927" t="s">
        <v>74</v>
      </c>
      <c r="AR927" t="s">
        <v>17887</v>
      </c>
      <c r="AS927" t="s">
        <v>17888</v>
      </c>
      <c r="AT927" t="s">
        <v>4571</v>
      </c>
      <c r="AU927">
        <v>2021</v>
      </c>
      <c r="AV927">
        <v>41</v>
      </c>
      <c r="AW927">
        <v>2</v>
      </c>
      <c r="AX927" t="s">
        <v>74</v>
      </c>
      <c r="AY927" t="s">
        <v>74</v>
      </c>
      <c r="AZ927" t="s">
        <v>74</v>
      </c>
      <c r="BA927" t="s">
        <v>74</v>
      </c>
      <c r="BB927" t="s">
        <v>74</v>
      </c>
      <c r="BC927" t="s">
        <v>74</v>
      </c>
      <c r="BD927" t="s">
        <v>74</v>
      </c>
      <c r="BE927" t="s">
        <v>17889</v>
      </c>
      <c r="BF927" t="str">
        <f>HYPERLINK("http://dx.doi.org/10.1093/jcbiol/ruab013","http://dx.doi.org/10.1093/jcbiol/ruab013")</f>
        <v>http://dx.doi.org/10.1093/jcbiol/ruab013</v>
      </c>
      <c r="BG927" t="s">
        <v>74</v>
      </c>
      <c r="BH927" t="s">
        <v>14415</v>
      </c>
      <c r="BI927">
        <v>9</v>
      </c>
      <c r="BJ927" t="s">
        <v>3582</v>
      </c>
      <c r="BK927" t="s">
        <v>128</v>
      </c>
      <c r="BL927" t="s">
        <v>3582</v>
      </c>
      <c r="BM927" t="s">
        <v>17890</v>
      </c>
      <c r="BN927" t="s">
        <v>74</v>
      </c>
      <c r="BO927" t="s">
        <v>74</v>
      </c>
      <c r="BP927" t="s">
        <v>74</v>
      </c>
      <c r="BQ927" t="s">
        <v>74</v>
      </c>
      <c r="BR927" t="s">
        <v>102</v>
      </c>
      <c r="BS927" t="s">
        <v>17891</v>
      </c>
      <c r="BT927" t="str">
        <f>HYPERLINK("https%3A%2F%2Fwww.webofscience.com%2Fwos%2Fwoscc%2Ffull-record%2FWOS:000697763200005","View Full Record in Web of Science")</f>
        <v>View Full Record in Web of Science</v>
      </c>
    </row>
    <row r="928" spans="1:72" x14ac:dyDescent="0.15">
      <c r="A928" t="s">
        <v>72</v>
      </c>
      <c r="B928" t="s">
        <v>17892</v>
      </c>
      <c r="C928" t="s">
        <v>74</v>
      </c>
      <c r="D928" t="s">
        <v>74</v>
      </c>
      <c r="E928" t="s">
        <v>74</v>
      </c>
      <c r="F928" t="s">
        <v>17893</v>
      </c>
      <c r="G928" t="s">
        <v>74</v>
      </c>
      <c r="H928" t="s">
        <v>74</v>
      </c>
      <c r="I928" t="s">
        <v>17894</v>
      </c>
      <c r="J928" t="s">
        <v>243</v>
      </c>
      <c r="K928" t="s">
        <v>74</v>
      </c>
      <c r="L928" t="s">
        <v>74</v>
      </c>
      <c r="M928" t="s">
        <v>78</v>
      </c>
      <c r="N928" t="s">
        <v>79</v>
      </c>
      <c r="O928" t="s">
        <v>74</v>
      </c>
      <c r="P928" t="s">
        <v>74</v>
      </c>
      <c r="Q928" t="s">
        <v>74</v>
      </c>
      <c r="R928" t="s">
        <v>74</v>
      </c>
      <c r="S928" t="s">
        <v>74</v>
      </c>
      <c r="T928" t="s">
        <v>17895</v>
      </c>
      <c r="U928" t="s">
        <v>17896</v>
      </c>
      <c r="V928" t="s">
        <v>17897</v>
      </c>
      <c r="W928" t="s">
        <v>17898</v>
      </c>
      <c r="X928" t="s">
        <v>17899</v>
      </c>
      <c r="Y928" t="s">
        <v>17900</v>
      </c>
      <c r="Z928" t="s">
        <v>17901</v>
      </c>
      <c r="AA928" t="s">
        <v>74</v>
      </c>
      <c r="AB928" t="s">
        <v>74</v>
      </c>
      <c r="AC928" t="s">
        <v>17902</v>
      </c>
      <c r="AD928" t="s">
        <v>17903</v>
      </c>
      <c r="AE928" t="s">
        <v>17904</v>
      </c>
      <c r="AF928" t="s">
        <v>74</v>
      </c>
      <c r="AG928">
        <v>56</v>
      </c>
      <c r="AH928">
        <v>7</v>
      </c>
      <c r="AI928">
        <v>8</v>
      </c>
      <c r="AJ928">
        <v>0</v>
      </c>
      <c r="AK928">
        <v>35</v>
      </c>
      <c r="AL928" t="s">
        <v>89</v>
      </c>
      <c r="AM928" t="s">
        <v>90</v>
      </c>
      <c r="AN928" t="s">
        <v>91</v>
      </c>
      <c r="AO928" t="s">
        <v>256</v>
      </c>
      <c r="AP928" t="s">
        <v>257</v>
      </c>
      <c r="AQ928" t="s">
        <v>74</v>
      </c>
      <c r="AR928" t="s">
        <v>258</v>
      </c>
      <c r="AS928" t="s">
        <v>259</v>
      </c>
      <c r="AT928" t="s">
        <v>3271</v>
      </c>
      <c r="AU928">
        <v>2021</v>
      </c>
      <c r="AV928">
        <v>785</v>
      </c>
      <c r="AW928" t="s">
        <v>74</v>
      </c>
      <c r="AX928" t="s">
        <v>74</v>
      </c>
      <c r="AY928" t="s">
        <v>74</v>
      </c>
      <c r="AZ928" t="s">
        <v>74</v>
      </c>
      <c r="BA928" t="s">
        <v>74</v>
      </c>
      <c r="BB928" t="s">
        <v>74</v>
      </c>
      <c r="BC928" t="s">
        <v>74</v>
      </c>
      <c r="BD928">
        <v>147206</v>
      </c>
      <c r="BE928" t="s">
        <v>17905</v>
      </c>
      <c r="BF928" t="str">
        <f>HYPERLINK("http://dx.doi.org/10.1016/j.scitotenv.2021.147206","http://dx.doi.org/10.1016/j.scitotenv.2021.147206")</f>
        <v>http://dx.doi.org/10.1016/j.scitotenv.2021.147206</v>
      </c>
      <c r="BG928" t="s">
        <v>74</v>
      </c>
      <c r="BH928" t="s">
        <v>14415</v>
      </c>
      <c r="BI928">
        <v>10</v>
      </c>
      <c r="BJ928" t="s">
        <v>262</v>
      </c>
      <c r="BK928" t="s">
        <v>128</v>
      </c>
      <c r="BL928" t="s">
        <v>263</v>
      </c>
      <c r="BM928" t="s">
        <v>17906</v>
      </c>
      <c r="BN928">
        <v>33957587</v>
      </c>
      <c r="BO928" t="s">
        <v>74</v>
      </c>
      <c r="BP928" t="s">
        <v>74</v>
      </c>
      <c r="BQ928" t="s">
        <v>74</v>
      </c>
      <c r="BR928" t="s">
        <v>102</v>
      </c>
      <c r="BS928" t="s">
        <v>17907</v>
      </c>
      <c r="BT928" t="str">
        <f>HYPERLINK("https%3A%2F%2Fwww.webofscience.com%2Fwos%2Fwoscc%2Ffull-record%2FWOS:000659455600010","View Full Record in Web of Science")</f>
        <v>View Full Record in Web of Science</v>
      </c>
    </row>
    <row r="929" spans="1:72" x14ac:dyDescent="0.15">
      <c r="A929" t="s">
        <v>72</v>
      </c>
      <c r="B929" t="s">
        <v>17908</v>
      </c>
      <c r="C929" t="s">
        <v>74</v>
      </c>
      <c r="D929" t="s">
        <v>74</v>
      </c>
      <c r="E929" t="s">
        <v>74</v>
      </c>
      <c r="F929" t="s">
        <v>17909</v>
      </c>
      <c r="G929" t="s">
        <v>74</v>
      </c>
      <c r="H929" t="s">
        <v>74</v>
      </c>
      <c r="I929" t="s">
        <v>17910</v>
      </c>
      <c r="J929" t="s">
        <v>107</v>
      </c>
      <c r="K929" t="s">
        <v>74</v>
      </c>
      <c r="L929" t="s">
        <v>74</v>
      </c>
      <c r="M929" t="s">
        <v>78</v>
      </c>
      <c r="N929" t="s">
        <v>79</v>
      </c>
      <c r="O929" t="s">
        <v>74</v>
      </c>
      <c r="P929" t="s">
        <v>74</v>
      </c>
      <c r="Q929" t="s">
        <v>74</v>
      </c>
      <c r="R929" t="s">
        <v>74</v>
      </c>
      <c r="S929" t="s">
        <v>74</v>
      </c>
      <c r="T929" t="s">
        <v>17911</v>
      </c>
      <c r="U929" t="s">
        <v>17912</v>
      </c>
      <c r="V929" t="s">
        <v>17913</v>
      </c>
      <c r="W929" t="s">
        <v>17914</v>
      </c>
      <c r="X929" t="s">
        <v>17915</v>
      </c>
      <c r="Y929" t="s">
        <v>17916</v>
      </c>
      <c r="Z929" t="s">
        <v>17917</v>
      </c>
      <c r="AA929" t="s">
        <v>17918</v>
      </c>
      <c r="AB929" t="s">
        <v>17919</v>
      </c>
      <c r="AC929" t="s">
        <v>17920</v>
      </c>
      <c r="AD929" t="s">
        <v>17921</v>
      </c>
      <c r="AE929" t="s">
        <v>17922</v>
      </c>
      <c r="AF929" t="s">
        <v>74</v>
      </c>
      <c r="AG929">
        <v>66</v>
      </c>
      <c r="AH929">
        <v>13</v>
      </c>
      <c r="AI929">
        <v>13</v>
      </c>
      <c r="AJ929">
        <v>0</v>
      </c>
      <c r="AK929">
        <v>14</v>
      </c>
      <c r="AL929" t="s">
        <v>119</v>
      </c>
      <c r="AM929" t="s">
        <v>120</v>
      </c>
      <c r="AN929" t="s">
        <v>121</v>
      </c>
      <c r="AO929" t="s">
        <v>74</v>
      </c>
      <c r="AP929" t="s">
        <v>122</v>
      </c>
      <c r="AQ929" t="s">
        <v>74</v>
      </c>
      <c r="AR929" t="s">
        <v>123</v>
      </c>
      <c r="AS929" t="s">
        <v>124</v>
      </c>
      <c r="AT929" t="s">
        <v>17923</v>
      </c>
      <c r="AU929">
        <v>2021</v>
      </c>
      <c r="AV929">
        <v>8</v>
      </c>
      <c r="AW929" t="s">
        <v>74</v>
      </c>
      <c r="AX929" t="s">
        <v>74</v>
      </c>
      <c r="AY929" t="s">
        <v>74</v>
      </c>
      <c r="AZ929" t="s">
        <v>74</v>
      </c>
      <c r="BA929" t="s">
        <v>74</v>
      </c>
      <c r="BB929" t="s">
        <v>74</v>
      </c>
      <c r="BC929" t="s">
        <v>74</v>
      </c>
      <c r="BD929">
        <v>640690</v>
      </c>
      <c r="BE929" t="s">
        <v>17924</v>
      </c>
      <c r="BF929" t="str">
        <f>HYPERLINK("http://dx.doi.org/10.3389/fmars.2021.640697","http://dx.doi.org/10.3389/fmars.2021.640697")</f>
        <v>http://dx.doi.org/10.3389/fmars.2021.640697</v>
      </c>
      <c r="BG929" t="s">
        <v>74</v>
      </c>
      <c r="BH929" t="s">
        <v>74</v>
      </c>
      <c r="BI929">
        <v>20</v>
      </c>
      <c r="BJ929" t="s">
        <v>127</v>
      </c>
      <c r="BK929" t="s">
        <v>128</v>
      </c>
      <c r="BL929" t="s">
        <v>129</v>
      </c>
      <c r="BM929" t="s">
        <v>17925</v>
      </c>
      <c r="BN929" t="s">
        <v>74</v>
      </c>
      <c r="BO929" t="s">
        <v>638</v>
      </c>
      <c r="BP929" t="s">
        <v>74</v>
      </c>
      <c r="BQ929" t="s">
        <v>74</v>
      </c>
      <c r="BR929" t="s">
        <v>102</v>
      </c>
      <c r="BS929" t="s">
        <v>17926</v>
      </c>
      <c r="BT929" t="str">
        <f>HYPERLINK("https%3A%2F%2Fwww.webofscience.com%2Fwos%2Fwoscc%2Ffull-record%2FWOS:000651382900001","View Full Record in Web of Science")</f>
        <v>View Full Record in Web of Science</v>
      </c>
    </row>
    <row r="930" spans="1:72" x14ac:dyDescent="0.15">
      <c r="A930" t="s">
        <v>72</v>
      </c>
      <c r="B930" t="s">
        <v>17927</v>
      </c>
      <c r="C930" t="s">
        <v>74</v>
      </c>
      <c r="D930" t="s">
        <v>74</v>
      </c>
      <c r="E930" t="s">
        <v>74</v>
      </c>
      <c r="F930" t="s">
        <v>17928</v>
      </c>
      <c r="G930" t="s">
        <v>74</v>
      </c>
      <c r="H930" t="s">
        <v>74</v>
      </c>
      <c r="I930" t="s">
        <v>17929</v>
      </c>
      <c r="J930" t="s">
        <v>10885</v>
      </c>
      <c r="K930" t="s">
        <v>74</v>
      </c>
      <c r="L930" t="s">
        <v>74</v>
      </c>
      <c r="M930" t="s">
        <v>78</v>
      </c>
      <c r="N930" t="s">
        <v>79</v>
      </c>
      <c r="O930" t="s">
        <v>74</v>
      </c>
      <c r="P930" t="s">
        <v>74</v>
      </c>
      <c r="Q930" t="s">
        <v>74</v>
      </c>
      <c r="R930" t="s">
        <v>74</v>
      </c>
      <c r="S930" t="s">
        <v>74</v>
      </c>
      <c r="T930" t="s">
        <v>17930</v>
      </c>
      <c r="U930" t="s">
        <v>17931</v>
      </c>
      <c r="V930" t="s">
        <v>17932</v>
      </c>
      <c r="W930" t="s">
        <v>17933</v>
      </c>
      <c r="X930" t="s">
        <v>17934</v>
      </c>
      <c r="Y930" t="s">
        <v>17935</v>
      </c>
      <c r="Z930" t="s">
        <v>17936</v>
      </c>
      <c r="AA930" t="s">
        <v>17937</v>
      </c>
      <c r="AB930" t="s">
        <v>17938</v>
      </c>
      <c r="AC930" t="s">
        <v>74</v>
      </c>
      <c r="AD930" t="s">
        <v>74</v>
      </c>
      <c r="AE930" t="s">
        <v>74</v>
      </c>
      <c r="AF930" t="s">
        <v>74</v>
      </c>
      <c r="AG930">
        <v>48</v>
      </c>
      <c r="AH930">
        <v>2</v>
      </c>
      <c r="AI930">
        <v>2</v>
      </c>
      <c r="AJ930">
        <v>0</v>
      </c>
      <c r="AK930">
        <v>6</v>
      </c>
      <c r="AL930" t="s">
        <v>10075</v>
      </c>
      <c r="AM930" t="s">
        <v>10076</v>
      </c>
      <c r="AN930" t="s">
        <v>10077</v>
      </c>
      <c r="AO930" t="s">
        <v>10898</v>
      </c>
      <c r="AP930" t="s">
        <v>10899</v>
      </c>
      <c r="AQ930" t="s">
        <v>74</v>
      </c>
      <c r="AR930" t="s">
        <v>10885</v>
      </c>
      <c r="AS930" t="s">
        <v>10900</v>
      </c>
      <c r="AT930" t="s">
        <v>10878</v>
      </c>
      <c r="AU930">
        <v>2021</v>
      </c>
      <c r="AV930">
        <v>25</v>
      </c>
      <c r="AW930">
        <v>3</v>
      </c>
      <c r="AX930" t="s">
        <v>74</v>
      </c>
      <c r="AY930" t="s">
        <v>74</v>
      </c>
      <c r="AZ930" t="s">
        <v>74</v>
      </c>
      <c r="BA930" t="s">
        <v>74</v>
      </c>
      <c r="BB930">
        <v>267</v>
      </c>
      <c r="BC930">
        <v>283</v>
      </c>
      <c r="BD930" t="s">
        <v>74</v>
      </c>
      <c r="BE930" t="s">
        <v>17939</v>
      </c>
      <c r="BF930" t="str">
        <f>HYPERLINK("http://dx.doi.org/10.1007/s00792-021-01227-y","http://dx.doi.org/10.1007/s00792-021-01227-y")</f>
        <v>http://dx.doi.org/10.1007/s00792-021-01227-y</v>
      </c>
      <c r="BG930" t="s">
        <v>74</v>
      </c>
      <c r="BH930" t="s">
        <v>14415</v>
      </c>
      <c r="BI930">
        <v>17</v>
      </c>
      <c r="BJ930" t="s">
        <v>10902</v>
      </c>
      <c r="BK930" t="s">
        <v>128</v>
      </c>
      <c r="BL930" t="s">
        <v>10902</v>
      </c>
      <c r="BM930" t="s">
        <v>17940</v>
      </c>
      <c r="BN930">
        <v>33942193</v>
      </c>
      <c r="BO930" t="s">
        <v>1154</v>
      </c>
      <c r="BP930" t="s">
        <v>74</v>
      </c>
      <c r="BQ930" t="s">
        <v>74</v>
      </c>
      <c r="BR930" t="s">
        <v>102</v>
      </c>
      <c r="BS930" t="s">
        <v>17941</v>
      </c>
      <c r="BT930" t="str">
        <f>HYPERLINK("https%3A%2F%2Fwww.webofscience.com%2Fwos%2Fwoscc%2Ffull-record%2FWOS:000646490800003","View Full Record in Web of Science")</f>
        <v>View Full Record in Web of Science</v>
      </c>
    </row>
    <row r="931" spans="1:72" x14ac:dyDescent="0.15">
      <c r="A931" t="s">
        <v>72</v>
      </c>
      <c r="B931" t="s">
        <v>17942</v>
      </c>
      <c r="C931" t="s">
        <v>74</v>
      </c>
      <c r="D931" t="s">
        <v>74</v>
      </c>
      <c r="E931" t="s">
        <v>74</v>
      </c>
      <c r="F931" t="s">
        <v>17943</v>
      </c>
      <c r="G931" t="s">
        <v>74</v>
      </c>
      <c r="H931" t="s">
        <v>74</v>
      </c>
      <c r="I931" t="s">
        <v>17944</v>
      </c>
      <c r="J931" t="s">
        <v>17945</v>
      </c>
      <c r="K931" t="s">
        <v>74</v>
      </c>
      <c r="L931" t="s">
        <v>74</v>
      </c>
      <c r="M931" t="s">
        <v>78</v>
      </c>
      <c r="N931" t="s">
        <v>79</v>
      </c>
      <c r="O931" t="s">
        <v>74</v>
      </c>
      <c r="P931" t="s">
        <v>74</v>
      </c>
      <c r="Q931" t="s">
        <v>74</v>
      </c>
      <c r="R931" t="s">
        <v>74</v>
      </c>
      <c r="S931" t="s">
        <v>74</v>
      </c>
      <c r="T931" t="s">
        <v>17946</v>
      </c>
      <c r="U931" t="s">
        <v>74</v>
      </c>
      <c r="V931" t="s">
        <v>17947</v>
      </c>
      <c r="W931" t="s">
        <v>17948</v>
      </c>
      <c r="X931" t="s">
        <v>17949</v>
      </c>
      <c r="Y931" t="s">
        <v>17950</v>
      </c>
      <c r="Z931" t="s">
        <v>17951</v>
      </c>
      <c r="AA931" t="s">
        <v>17952</v>
      </c>
      <c r="AB931" t="s">
        <v>74</v>
      </c>
      <c r="AC931" t="s">
        <v>17953</v>
      </c>
      <c r="AD931" t="s">
        <v>17954</v>
      </c>
      <c r="AE931" t="s">
        <v>17955</v>
      </c>
      <c r="AF931" t="s">
        <v>74</v>
      </c>
      <c r="AG931">
        <v>24</v>
      </c>
      <c r="AH931">
        <v>3</v>
      </c>
      <c r="AI931">
        <v>3</v>
      </c>
      <c r="AJ931">
        <v>3</v>
      </c>
      <c r="AK931">
        <v>16</v>
      </c>
      <c r="AL931" t="s">
        <v>17956</v>
      </c>
      <c r="AM931" t="s">
        <v>12169</v>
      </c>
      <c r="AN931" t="s">
        <v>17957</v>
      </c>
      <c r="AO931" t="s">
        <v>17958</v>
      </c>
      <c r="AP931" t="s">
        <v>17959</v>
      </c>
      <c r="AQ931" t="s">
        <v>74</v>
      </c>
      <c r="AR931" t="s">
        <v>17960</v>
      </c>
      <c r="AS931" t="s">
        <v>17961</v>
      </c>
      <c r="AT931" t="s">
        <v>2651</v>
      </c>
      <c r="AU931">
        <v>2022</v>
      </c>
      <c r="AV931">
        <v>58</v>
      </c>
      <c r="AW931">
        <v>1</v>
      </c>
      <c r="AX931" t="s">
        <v>74</v>
      </c>
      <c r="AY931" t="s">
        <v>74</v>
      </c>
      <c r="AZ931" t="s">
        <v>74</v>
      </c>
      <c r="BA931" t="s">
        <v>74</v>
      </c>
      <c r="BB931">
        <v>117</v>
      </c>
      <c r="BC931">
        <v>126</v>
      </c>
      <c r="BD931" t="s">
        <v>74</v>
      </c>
      <c r="BE931" t="s">
        <v>17962</v>
      </c>
      <c r="BF931" t="str">
        <f>HYPERLINK("http://dx.doi.org/10.1007/s13143-021-00244-3","http://dx.doi.org/10.1007/s13143-021-00244-3")</f>
        <v>http://dx.doi.org/10.1007/s13143-021-00244-3</v>
      </c>
      <c r="BG931" t="s">
        <v>74</v>
      </c>
      <c r="BH931" t="s">
        <v>14415</v>
      </c>
      <c r="BI931">
        <v>10</v>
      </c>
      <c r="BJ931" t="s">
        <v>567</v>
      </c>
      <c r="BK931" t="s">
        <v>128</v>
      </c>
      <c r="BL931" t="s">
        <v>567</v>
      </c>
      <c r="BM931" t="s">
        <v>17963</v>
      </c>
      <c r="BN931" t="s">
        <v>74</v>
      </c>
      <c r="BO931" t="s">
        <v>74</v>
      </c>
      <c r="BP931" t="s">
        <v>74</v>
      </c>
      <c r="BQ931" t="s">
        <v>74</v>
      </c>
      <c r="BR931" t="s">
        <v>102</v>
      </c>
      <c r="BS931" t="s">
        <v>17964</v>
      </c>
      <c r="BT931" t="str">
        <f>HYPERLINK("https%3A%2F%2Fwww.webofscience.com%2Fwos%2Fwoscc%2Ffull-record%2FWOS:000646569000002","View Full Record in Web of Science")</f>
        <v>View Full Record in Web of Science</v>
      </c>
    </row>
    <row r="932" spans="1:72" x14ac:dyDescent="0.15">
      <c r="A932" t="s">
        <v>72</v>
      </c>
      <c r="B932" t="s">
        <v>17965</v>
      </c>
      <c r="C932" t="s">
        <v>74</v>
      </c>
      <c r="D932" t="s">
        <v>74</v>
      </c>
      <c r="E932" t="s">
        <v>74</v>
      </c>
      <c r="F932" t="s">
        <v>17966</v>
      </c>
      <c r="G932" t="s">
        <v>74</v>
      </c>
      <c r="H932" t="s">
        <v>74</v>
      </c>
      <c r="I932" t="s">
        <v>17967</v>
      </c>
      <c r="J932" t="s">
        <v>11754</v>
      </c>
      <c r="K932" t="s">
        <v>74</v>
      </c>
      <c r="L932" t="s">
        <v>74</v>
      </c>
      <c r="M932" t="s">
        <v>78</v>
      </c>
      <c r="N932" t="s">
        <v>79</v>
      </c>
      <c r="O932" t="s">
        <v>74</v>
      </c>
      <c r="P932" t="s">
        <v>74</v>
      </c>
      <c r="Q932" t="s">
        <v>74</v>
      </c>
      <c r="R932" t="s">
        <v>74</v>
      </c>
      <c r="S932" t="s">
        <v>74</v>
      </c>
      <c r="T932" t="s">
        <v>74</v>
      </c>
      <c r="U932" t="s">
        <v>17968</v>
      </c>
      <c r="V932" t="s">
        <v>17969</v>
      </c>
      <c r="W932" t="s">
        <v>17970</v>
      </c>
      <c r="X932" t="s">
        <v>17971</v>
      </c>
      <c r="Y932" t="s">
        <v>17972</v>
      </c>
      <c r="Z932" t="s">
        <v>17973</v>
      </c>
      <c r="AA932" t="s">
        <v>17974</v>
      </c>
      <c r="AB932" t="s">
        <v>17975</v>
      </c>
      <c r="AC932" t="s">
        <v>17976</v>
      </c>
      <c r="AD932" t="s">
        <v>17977</v>
      </c>
      <c r="AE932" t="s">
        <v>17978</v>
      </c>
      <c r="AF932" t="s">
        <v>74</v>
      </c>
      <c r="AG932">
        <v>51</v>
      </c>
      <c r="AH932">
        <v>8</v>
      </c>
      <c r="AI932">
        <v>8</v>
      </c>
      <c r="AJ932">
        <v>1</v>
      </c>
      <c r="AK932">
        <v>16</v>
      </c>
      <c r="AL932" t="s">
        <v>197</v>
      </c>
      <c r="AM932" t="s">
        <v>198</v>
      </c>
      <c r="AN932" t="s">
        <v>199</v>
      </c>
      <c r="AO932" t="s">
        <v>11766</v>
      </c>
      <c r="AP932" t="s">
        <v>11767</v>
      </c>
      <c r="AQ932" t="s">
        <v>74</v>
      </c>
      <c r="AR932" t="s">
        <v>11768</v>
      </c>
      <c r="AS932" t="s">
        <v>11769</v>
      </c>
      <c r="AT932" t="s">
        <v>4571</v>
      </c>
      <c r="AU932">
        <v>2021</v>
      </c>
      <c r="AV932">
        <v>66</v>
      </c>
      <c r="AW932">
        <v>6</v>
      </c>
      <c r="AX932" t="s">
        <v>74</v>
      </c>
      <c r="AY932" t="s">
        <v>74</v>
      </c>
      <c r="AZ932" t="s">
        <v>74</v>
      </c>
      <c r="BA932" t="s">
        <v>74</v>
      </c>
      <c r="BB932">
        <v>2187</v>
      </c>
      <c r="BC932">
        <v>2202</v>
      </c>
      <c r="BD932" t="s">
        <v>74</v>
      </c>
      <c r="BE932" t="s">
        <v>17979</v>
      </c>
      <c r="BF932" t="str">
        <f>HYPERLINK("http://dx.doi.org/10.1002/lno.11743","http://dx.doi.org/10.1002/lno.11743")</f>
        <v>http://dx.doi.org/10.1002/lno.11743</v>
      </c>
      <c r="BG932" t="s">
        <v>74</v>
      </c>
      <c r="BH932" t="s">
        <v>14415</v>
      </c>
      <c r="BI932">
        <v>16</v>
      </c>
      <c r="BJ932" t="s">
        <v>8999</v>
      </c>
      <c r="BK932" t="s">
        <v>128</v>
      </c>
      <c r="BL932" t="s">
        <v>3436</v>
      </c>
      <c r="BM932" t="s">
        <v>17463</v>
      </c>
      <c r="BN932" t="s">
        <v>74</v>
      </c>
      <c r="BO932" t="s">
        <v>1154</v>
      </c>
      <c r="BP932" t="s">
        <v>74</v>
      </c>
      <c r="BQ932" t="s">
        <v>74</v>
      </c>
      <c r="BR932" t="s">
        <v>102</v>
      </c>
      <c r="BS932" t="s">
        <v>17980</v>
      </c>
      <c r="BT932" t="str">
        <f>HYPERLINK("https%3A%2F%2Fwww.webofscience.com%2Fwos%2Fwoscc%2Ffull-record%2FWOS:000646279600001","View Full Record in Web of Science")</f>
        <v>View Full Record in Web of Science</v>
      </c>
    </row>
    <row r="933" spans="1:72" x14ac:dyDescent="0.15">
      <c r="A933" t="s">
        <v>72</v>
      </c>
      <c r="B933" t="s">
        <v>17981</v>
      </c>
      <c r="C933" t="s">
        <v>74</v>
      </c>
      <c r="D933" t="s">
        <v>74</v>
      </c>
      <c r="E933" t="s">
        <v>74</v>
      </c>
      <c r="F933" t="s">
        <v>17982</v>
      </c>
      <c r="G933" t="s">
        <v>74</v>
      </c>
      <c r="H933" t="s">
        <v>74</v>
      </c>
      <c r="I933" t="s">
        <v>17983</v>
      </c>
      <c r="J933" t="s">
        <v>17984</v>
      </c>
      <c r="K933" t="s">
        <v>74</v>
      </c>
      <c r="L933" t="s">
        <v>74</v>
      </c>
      <c r="M933" t="s">
        <v>78</v>
      </c>
      <c r="N933" t="s">
        <v>79</v>
      </c>
      <c r="O933" t="s">
        <v>74</v>
      </c>
      <c r="P933" t="s">
        <v>74</v>
      </c>
      <c r="Q933" t="s">
        <v>74</v>
      </c>
      <c r="R933" t="s">
        <v>74</v>
      </c>
      <c r="S933" t="s">
        <v>74</v>
      </c>
      <c r="T933" t="s">
        <v>74</v>
      </c>
      <c r="U933" t="s">
        <v>74</v>
      </c>
      <c r="V933" t="s">
        <v>17985</v>
      </c>
      <c r="W933" t="s">
        <v>17986</v>
      </c>
      <c r="X933" t="s">
        <v>17987</v>
      </c>
      <c r="Y933" t="s">
        <v>17988</v>
      </c>
      <c r="Z933" t="s">
        <v>17989</v>
      </c>
      <c r="AA933" t="s">
        <v>74</v>
      </c>
      <c r="AB933" t="s">
        <v>17990</v>
      </c>
      <c r="AC933" t="s">
        <v>74</v>
      </c>
      <c r="AD933" t="s">
        <v>74</v>
      </c>
      <c r="AE933" t="s">
        <v>74</v>
      </c>
      <c r="AF933" t="s">
        <v>74</v>
      </c>
      <c r="AG933">
        <v>6</v>
      </c>
      <c r="AH933">
        <v>0</v>
      </c>
      <c r="AI933">
        <v>0</v>
      </c>
      <c r="AJ933">
        <v>0</v>
      </c>
      <c r="AK933">
        <v>0</v>
      </c>
      <c r="AL933" t="s">
        <v>5653</v>
      </c>
      <c r="AM933" t="s">
        <v>5654</v>
      </c>
      <c r="AN933" t="s">
        <v>5655</v>
      </c>
      <c r="AO933" t="s">
        <v>17991</v>
      </c>
      <c r="AP933" t="s">
        <v>17992</v>
      </c>
      <c r="AQ933" t="s">
        <v>74</v>
      </c>
      <c r="AR933" t="s">
        <v>17993</v>
      </c>
      <c r="AS933" t="s">
        <v>17994</v>
      </c>
      <c r="AT933" t="s">
        <v>10878</v>
      </c>
      <c r="AU933">
        <v>2021</v>
      </c>
      <c r="AV933">
        <v>57</v>
      </c>
      <c r="AW933">
        <v>1</v>
      </c>
      <c r="AX933" t="s">
        <v>74</v>
      </c>
      <c r="AY933" t="s">
        <v>74</v>
      </c>
      <c r="AZ933" t="s">
        <v>74</v>
      </c>
      <c r="BA933" t="s">
        <v>74</v>
      </c>
      <c r="BB933" t="s">
        <v>74</v>
      </c>
      <c r="BC933" t="s">
        <v>74</v>
      </c>
      <c r="BD933" t="s">
        <v>17995</v>
      </c>
      <c r="BE933" t="s">
        <v>17996</v>
      </c>
      <c r="BF933" t="str">
        <f>HYPERLINK("http://dx.doi.org/10.1144/sjg2020-029","http://dx.doi.org/10.1144/sjg2020-029")</f>
        <v>http://dx.doi.org/10.1144/sjg2020-029</v>
      </c>
      <c r="BG933" t="s">
        <v>74</v>
      </c>
      <c r="BH933" t="s">
        <v>74</v>
      </c>
      <c r="BI933">
        <v>7</v>
      </c>
      <c r="BJ933" t="s">
        <v>406</v>
      </c>
      <c r="BK933" t="s">
        <v>128</v>
      </c>
      <c r="BL933" t="s">
        <v>406</v>
      </c>
      <c r="BM933" t="s">
        <v>17997</v>
      </c>
      <c r="BN933" t="s">
        <v>74</v>
      </c>
      <c r="BO933" t="s">
        <v>74</v>
      </c>
      <c r="BP933" t="s">
        <v>74</v>
      </c>
      <c r="BQ933" t="s">
        <v>74</v>
      </c>
      <c r="BR933" t="s">
        <v>102</v>
      </c>
      <c r="BS933" t="s">
        <v>17998</v>
      </c>
      <c r="BT933" t="str">
        <f>HYPERLINK("https%3A%2F%2Fwww.webofscience.com%2Fwos%2Fwoscc%2Ffull-record%2FWOS:000761543700001","View Full Record in Web of Science")</f>
        <v>View Full Record in Web of Science</v>
      </c>
    </row>
    <row r="934" spans="1:72" x14ac:dyDescent="0.15">
      <c r="A934" t="s">
        <v>72</v>
      </c>
      <c r="B934" t="s">
        <v>17999</v>
      </c>
      <c r="C934" t="s">
        <v>74</v>
      </c>
      <c r="D934" t="s">
        <v>74</v>
      </c>
      <c r="E934" t="s">
        <v>74</v>
      </c>
      <c r="F934" t="s">
        <v>18000</v>
      </c>
      <c r="G934" t="s">
        <v>74</v>
      </c>
      <c r="H934" t="s">
        <v>74</v>
      </c>
      <c r="I934" t="s">
        <v>18001</v>
      </c>
      <c r="J934" t="s">
        <v>806</v>
      </c>
      <c r="K934" t="s">
        <v>74</v>
      </c>
      <c r="L934" t="s">
        <v>74</v>
      </c>
      <c r="M934" t="s">
        <v>78</v>
      </c>
      <c r="N934" t="s">
        <v>79</v>
      </c>
      <c r="O934" t="s">
        <v>74</v>
      </c>
      <c r="P934" t="s">
        <v>74</v>
      </c>
      <c r="Q934" t="s">
        <v>74</v>
      </c>
      <c r="R934" t="s">
        <v>74</v>
      </c>
      <c r="S934" t="s">
        <v>74</v>
      </c>
      <c r="T934" t="s">
        <v>74</v>
      </c>
      <c r="U934" t="s">
        <v>18002</v>
      </c>
      <c r="V934" t="s">
        <v>18003</v>
      </c>
      <c r="W934" t="s">
        <v>18004</v>
      </c>
      <c r="X934" t="s">
        <v>18005</v>
      </c>
      <c r="Y934" t="s">
        <v>18006</v>
      </c>
      <c r="Z934" t="s">
        <v>18007</v>
      </c>
      <c r="AA934" t="s">
        <v>74</v>
      </c>
      <c r="AB934" t="s">
        <v>18008</v>
      </c>
      <c r="AC934" t="s">
        <v>18009</v>
      </c>
      <c r="AD934" t="s">
        <v>18010</v>
      </c>
      <c r="AE934" t="s">
        <v>18011</v>
      </c>
      <c r="AF934" t="s">
        <v>74</v>
      </c>
      <c r="AG934">
        <v>90</v>
      </c>
      <c r="AH934">
        <v>1</v>
      </c>
      <c r="AI934">
        <v>1</v>
      </c>
      <c r="AJ934">
        <v>2</v>
      </c>
      <c r="AK934">
        <v>2</v>
      </c>
      <c r="AL934" t="s">
        <v>814</v>
      </c>
      <c r="AM934" t="s">
        <v>815</v>
      </c>
      <c r="AN934" t="s">
        <v>816</v>
      </c>
      <c r="AO934" t="s">
        <v>817</v>
      </c>
      <c r="AP934" t="s">
        <v>818</v>
      </c>
      <c r="AQ934" t="s">
        <v>74</v>
      </c>
      <c r="AR934" t="s">
        <v>819</v>
      </c>
      <c r="AS934" t="s">
        <v>820</v>
      </c>
      <c r="AT934" t="s">
        <v>10878</v>
      </c>
      <c r="AU934">
        <v>2021</v>
      </c>
      <c r="AV934">
        <v>168</v>
      </c>
      <c r="AW934">
        <v>5</v>
      </c>
      <c r="AX934" t="s">
        <v>74</v>
      </c>
      <c r="AY934" t="s">
        <v>74</v>
      </c>
      <c r="AZ934" t="s">
        <v>74</v>
      </c>
      <c r="BA934" t="s">
        <v>74</v>
      </c>
      <c r="BB934" t="s">
        <v>74</v>
      </c>
      <c r="BC934" t="s">
        <v>74</v>
      </c>
      <c r="BD934">
        <v>75</v>
      </c>
      <c r="BE934" t="s">
        <v>18012</v>
      </c>
      <c r="BF934" t="str">
        <f>HYPERLINK("http://dx.doi.org/10.1007/s00227-021-03876-1","http://dx.doi.org/10.1007/s00227-021-03876-1")</f>
        <v>http://dx.doi.org/10.1007/s00227-021-03876-1</v>
      </c>
      <c r="BG934" t="s">
        <v>74</v>
      </c>
      <c r="BH934" t="s">
        <v>74</v>
      </c>
      <c r="BI934">
        <v>13</v>
      </c>
      <c r="BJ934" t="s">
        <v>822</v>
      </c>
      <c r="BK934" t="s">
        <v>128</v>
      </c>
      <c r="BL934" t="s">
        <v>822</v>
      </c>
      <c r="BM934" t="s">
        <v>18013</v>
      </c>
      <c r="BN934" t="s">
        <v>74</v>
      </c>
      <c r="BO934" t="s">
        <v>74</v>
      </c>
      <c r="BP934" t="s">
        <v>74</v>
      </c>
      <c r="BQ934" t="s">
        <v>74</v>
      </c>
      <c r="BR934" t="s">
        <v>102</v>
      </c>
      <c r="BS934" t="s">
        <v>18014</v>
      </c>
      <c r="BT934" t="str">
        <f>HYPERLINK("https%3A%2F%2Fwww.webofscience.com%2Fwos%2Fwoscc%2Ffull-record%2FWOS:000713823900002","View Full Record in Web of Science")</f>
        <v>View Full Record in Web of Science</v>
      </c>
    </row>
    <row r="935" spans="1:72" x14ac:dyDescent="0.15">
      <c r="A935" t="s">
        <v>72</v>
      </c>
      <c r="B935" t="s">
        <v>18015</v>
      </c>
      <c r="C935" t="s">
        <v>74</v>
      </c>
      <c r="D935" t="s">
        <v>74</v>
      </c>
      <c r="E935" t="s">
        <v>74</v>
      </c>
      <c r="F935" t="s">
        <v>18016</v>
      </c>
      <c r="G935" t="s">
        <v>74</v>
      </c>
      <c r="H935" t="s">
        <v>74</v>
      </c>
      <c r="I935" t="s">
        <v>18017</v>
      </c>
      <c r="J935" t="s">
        <v>12289</v>
      </c>
      <c r="K935" t="s">
        <v>74</v>
      </c>
      <c r="L935" t="s">
        <v>74</v>
      </c>
      <c r="M935" t="s">
        <v>78</v>
      </c>
      <c r="N935" t="s">
        <v>79</v>
      </c>
      <c r="O935" t="s">
        <v>74</v>
      </c>
      <c r="P935" t="s">
        <v>74</v>
      </c>
      <c r="Q935" t="s">
        <v>74</v>
      </c>
      <c r="R935" t="s">
        <v>74</v>
      </c>
      <c r="S935" t="s">
        <v>74</v>
      </c>
      <c r="T935" t="s">
        <v>18018</v>
      </c>
      <c r="U935" t="s">
        <v>18019</v>
      </c>
      <c r="V935" t="s">
        <v>18020</v>
      </c>
      <c r="W935" t="s">
        <v>18021</v>
      </c>
      <c r="X935" t="s">
        <v>18022</v>
      </c>
      <c r="Y935" t="s">
        <v>18023</v>
      </c>
      <c r="Z935" t="s">
        <v>18024</v>
      </c>
      <c r="AA935" t="s">
        <v>74</v>
      </c>
      <c r="AB935" t="s">
        <v>74</v>
      </c>
      <c r="AC935" t="s">
        <v>74</v>
      </c>
      <c r="AD935" t="s">
        <v>74</v>
      </c>
      <c r="AE935" t="s">
        <v>74</v>
      </c>
      <c r="AF935" t="s">
        <v>74</v>
      </c>
      <c r="AG935">
        <v>18</v>
      </c>
      <c r="AH935">
        <v>2</v>
      </c>
      <c r="AI935">
        <v>2</v>
      </c>
      <c r="AJ935">
        <v>1</v>
      </c>
      <c r="AK935">
        <v>9</v>
      </c>
      <c r="AL935" t="s">
        <v>6620</v>
      </c>
      <c r="AM935" t="s">
        <v>650</v>
      </c>
      <c r="AN935" t="s">
        <v>6621</v>
      </c>
      <c r="AO935" t="s">
        <v>12301</v>
      </c>
      <c r="AP935" t="s">
        <v>12302</v>
      </c>
      <c r="AQ935" t="s">
        <v>74</v>
      </c>
      <c r="AR935" t="s">
        <v>12303</v>
      </c>
      <c r="AS935" t="s">
        <v>12304</v>
      </c>
      <c r="AT935" t="s">
        <v>10878</v>
      </c>
      <c r="AU935">
        <v>2021</v>
      </c>
      <c r="AV935">
        <v>46</v>
      </c>
      <c r="AW935">
        <v>5</v>
      </c>
      <c r="AX935" t="s">
        <v>74</v>
      </c>
      <c r="AY935" t="s">
        <v>74</v>
      </c>
      <c r="AZ935" t="s">
        <v>74</v>
      </c>
      <c r="BA935" t="s">
        <v>74</v>
      </c>
      <c r="BB935">
        <v>287</v>
      </c>
      <c r="BC935">
        <v>294</v>
      </c>
      <c r="BD935" t="s">
        <v>74</v>
      </c>
      <c r="BE935" t="s">
        <v>18025</v>
      </c>
      <c r="BF935" t="str">
        <f>HYPERLINK("http://dx.doi.org/10.3103/S1068373921050010","http://dx.doi.org/10.3103/S1068373921050010")</f>
        <v>http://dx.doi.org/10.3103/S1068373921050010</v>
      </c>
      <c r="BG935" t="s">
        <v>74</v>
      </c>
      <c r="BH935" t="s">
        <v>74</v>
      </c>
      <c r="BI935">
        <v>8</v>
      </c>
      <c r="BJ935" t="s">
        <v>567</v>
      </c>
      <c r="BK935" t="s">
        <v>128</v>
      </c>
      <c r="BL935" t="s">
        <v>567</v>
      </c>
      <c r="BM935" t="s">
        <v>18026</v>
      </c>
      <c r="BN935" t="s">
        <v>74</v>
      </c>
      <c r="BO935" t="s">
        <v>74</v>
      </c>
      <c r="BP935" t="s">
        <v>74</v>
      </c>
      <c r="BQ935" t="s">
        <v>74</v>
      </c>
      <c r="BR935" t="s">
        <v>102</v>
      </c>
      <c r="BS935" t="s">
        <v>18027</v>
      </c>
      <c r="BT935" t="str">
        <f>HYPERLINK("https%3A%2F%2Fwww.webofscience.com%2Fwos%2Fwoscc%2Ffull-record%2FWOS:000690960200001","View Full Record in Web of Science")</f>
        <v>View Full Record in Web of Science</v>
      </c>
    </row>
    <row r="936" spans="1:72" x14ac:dyDescent="0.15">
      <c r="A936" t="s">
        <v>72</v>
      </c>
      <c r="B936" t="s">
        <v>18028</v>
      </c>
      <c r="C936" t="s">
        <v>74</v>
      </c>
      <c r="D936" t="s">
        <v>74</v>
      </c>
      <c r="E936" t="s">
        <v>74</v>
      </c>
      <c r="F936" t="s">
        <v>18029</v>
      </c>
      <c r="G936" t="s">
        <v>74</v>
      </c>
      <c r="H936" t="s">
        <v>74</v>
      </c>
      <c r="I936" t="s">
        <v>18030</v>
      </c>
      <c r="J936" t="s">
        <v>12289</v>
      </c>
      <c r="K936" t="s">
        <v>74</v>
      </c>
      <c r="L936" t="s">
        <v>74</v>
      </c>
      <c r="M936" t="s">
        <v>78</v>
      </c>
      <c r="N936" t="s">
        <v>79</v>
      </c>
      <c r="O936" t="s">
        <v>74</v>
      </c>
      <c r="P936" t="s">
        <v>74</v>
      </c>
      <c r="Q936" t="s">
        <v>74</v>
      </c>
      <c r="R936" t="s">
        <v>74</v>
      </c>
      <c r="S936" t="s">
        <v>74</v>
      </c>
      <c r="T936" t="s">
        <v>18031</v>
      </c>
      <c r="U936" t="s">
        <v>18032</v>
      </c>
      <c r="V936" t="s">
        <v>18033</v>
      </c>
      <c r="W936" t="s">
        <v>18034</v>
      </c>
      <c r="X936" t="s">
        <v>74</v>
      </c>
      <c r="Y936" t="s">
        <v>18035</v>
      </c>
      <c r="Z936" t="s">
        <v>18036</v>
      </c>
      <c r="AA936" t="s">
        <v>74</v>
      </c>
      <c r="AB936" t="s">
        <v>74</v>
      </c>
      <c r="AC936" t="s">
        <v>74</v>
      </c>
      <c r="AD936" t="s">
        <v>74</v>
      </c>
      <c r="AE936" t="s">
        <v>74</v>
      </c>
      <c r="AF936" t="s">
        <v>74</v>
      </c>
      <c r="AG936">
        <v>17</v>
      </c>
      <c r="AH936">
        <v>2</v>
      </c>
      <c r="AI936">
        <v>2</v>
      </c>
      <c r="AJ936">
        <v>0</v>
      </c>
      <c r="AK936">
        <v>2</v>
      </c>
      <c r="AL936" t="s">
        <v>6620</v>
      </c>
      <c r="AM936" t="s">
        <v>650</v>
      </c>
      <c r="AN936" t="s">
        <v>6621</v>
      </c>
      <c r="AO936" t="s">
        <v>12301</v>
      </c>
      <c r="AP936" t="s">
        <v>12302</v>
      </c>
      <c r="AQ936" t="s">
        <v>74</v>
      </c>
      <c r="AR936" t="s">
        <v>12303</v>
      </c>
      <c r="AS936" t="s">
        <v>12304</v>
      </c>
      <c r="AT936" t="s">
        <v>10878</v>
      </c>
      <c r="AU936">
        <v>2021</v>
      </c>
      <c r="AV936">
        <v>46</v>
      </c>
      <c r="AW936">
        <v>5</v>
      </c>
      <c r="AX936" t="s">
        <v>74</v>
      </c>
      <c r="AY936" t="s">
        <v>74</v>
      </c>
      <c r="AZ936" t="s">
        <v>74</v>
      </c>
      <c r="BA936" t="s">
        <v>74</v>
      </c>
      <c r="BB936">
        <v>295</v>
      </c>
      <c r="BC936">
        <v>301</v>
      </c>
      <c r="BD936" t="s">
        <v>74</v>
      </c>
      <c r="BE936" t="s">
        <v>18037</v>
      </c>
      <c r="BF936" t="str">
        <f>HYPERLINK("http://dx.doi.org/10.3103/S1068373921050022","http://dx.doi.org/10.3103/S1068373921050022")</f>
        <v>http://dx.doi.org/10.3103/S1068373921050022</v>
      </c>
      <c r="BG936" t="s">
        <v>74</v>
      </c>
      <c r="BH936" t="s">
        <v>74</v>
      </c>
      <c r="BI936">
        <v>7</v>
      </c>
      <c r="BJ936" t="s">
        <v>567</v>
      </c>
      <c r="BK936" t="s">
        <v>128</v>
      </c>
      <c r="BL936" t="s">
        <v>567</v>
      </c>
      <c r="BM936" t="s">
        <v>18026</v>
      </c>
      <c r="BN936" t="s">
        <v>74</v>
      </c>
      <c r="BO936" t="s">
        <v>74</v>
      </c>
      <c r="BP936" t="s">
        <v>74</v>
      </c>
      <c r="BQ936" t="s">
        <v>74</v>
      </c>
      <c r="BR936" t="s">
        <v>102</v>
      </c>
      <c r="BS936" t="s">
        <v>18038</v>
      </c>
      <c r="BT936" t="str">
        <f>HYPERLINK("https%3A%2F%2Fwww.webofscience.com%2Fwos%2Fwoscc%2Ffull-record%2FWOS:000690960200002","View Full Record in Web of Science")</f>
        <v>View Full Record in Web of Science</v>
      </c>
    </row>
    <row r="937" spans="1:72" x14ac:dyDescent="0.15">
      <c r="A937" t="s">
        <v>72</v>
      </c>
      <c r="B937" t="s">
        <v>18039</v>
      </c>
      <c r="C937" t="s">
        <v>74</v>
      </c>
      <c r="D937" t="s">
        <v>74</v>
      </c>
      <c r="E937" t="s">
        <v>74</v>
      </c>
      <c r="F937" t="s">
        <v>18040</v>
      </c>
      <c r="G937" t="s">
        <v>74</v>
      </c>
      <c r="H937" t="s">
        <v>74</v>
      </c>
      <c r="I937" t="s">
        <v>18041</v>
      </c>
      <c r="J937" t="s">
        <v>18042</v>
      </c>
      <c r="K937" t="s">
        <v>74</v>
      </c>
      <c r="L937" t="s">
        <v>74</v>
      </c>
      <c r="M937" t="s">
        <v>78</v>
      </c>
      <c r="N937" t="s">
        <v>79</v>
      </c>
      <c r="O937" t="s">
        <v>74</v>
      </c>
      <c r="P937" t="s">
        <v>74</v>
      </c>
      <c r="Q937" t="s">
        <v>74</v>
      </c>
      <c r="R937" t="s">
        <v>74</v>
      </c>
      <c r="S937" t="s">
        <v>74</v>
      </c>
      <c r="T937" t="s">
        <v>18043</v>
      </c>
      <c r="U937" t="s">
        <v>18044</v>
      </c>
      <c r="V937" t="s">
        <v>18045</v>
      </c>
      <c r="W937" t="s">
        <v>18046</v>
      </c>
      <c r="X937" t="s">
        <v>18047</v>
      </c>
      <c r="Y937" t="s">
        <v>18048</v>
      </c>
      <c r="Z937" t="s">
        <v>18049</v>
      </c>
      <c r="AA937" t="s">
        <v>18050</v>
      </c>
      <c r="AB937" t="s">
        <v>18051</v>
      </c>
      <c r="AC937" t="s">
        <v>18052</v>
      </c>
      <c r="AD937" t="s">
        <v>18053</v>
      </c>
      <c r="AE937" t="s">
        <v>18054</v>
      </c>
      <c r="AF937" t="s">
        <v>74</v>
      </c>
      <c r="AG937">
        <v>112</v>
      </c>
      <c r="AH937">
        <v>10</v>
      </c>
      <c r="AI937">
        <v>10</v>
      </c>
      <c r="AJ937">
        <v>1</v>
      </c>
      <c r="AK937">
        <v>3</v>
      </c>
      <c r="AL937" t="s">
        <v>18055</v>
      </c>
      <c r="AM937" t="s">
        <v>18056</v>
      </c>
      <c r="AN937" t="s">
        <v>18057</v>
      </c>
      <c r="AO937" t="s">
        <v>18058</v>
      </c>
      <c r="AP937" t="s">
        <v>74</v>
      </c>
      <c r="AQ937" t="s">
        <v>74</v>
      </c>
      <c r="AR937" t="s">
        <v>18059</v>
      </c>
      <c r="AS937" t="s">
        <v>18060</v>
      </c>
      <c r="AT937" t="s">
        <v>10878</v>
      </c>
      <c r="AU937">
        <v>2021</v>
      </c>
      <c r="AV937">
        <v>48</v>
      </c>
      <c r="AW937">
        <v>2</v>
      </c>
      <c r="AX937" t="s">
        <v>74</v>
      </c>
      <c r="AY937" t="s">
        <v>74</v>
      </c>
      <c r="AZ937" t="s">
        <v>74</v>
      </c>
      <c r="BA937" t="s">
        <v>74</v>
      </c>
      <c r="BB937">
        <v>185</v>
      </c>
      <c r="BC937">
        <v>218</v>
      </c>
      <c r="BD937" t="s">
        <v>74</v>
      </c>
      <c r="BE937" t="s">
        <v>18061</v>
      </c>
      <c r="BF937" t="str">
        <f>HYPERLINK("http://dx.doi.org/10.5027/andgeoV48n2-3339","http://dx.doi.org/10.5027/andgeoV48n2-3339")</f>
        <v>http://dx.doi.org/10.5027/andgeoV48n2-3339</v>
      </c>
      <c r="BG937" t="s">
        <v>74</v>
      </c>
      <c r="BH937" t="s">
        <v>74</v>
      </c>
      <c r="BI937">
        <v>34</v>
      </c>
      <c r="BJ937" t="s">
        <v>406</v>
      </c>
      <c r="BK937" t="s">
        <v>128</v>
      </c>
      <c r="BL937" t="s">
        <v>406</v>
      </c>
      <c r="BM937" t="s">
        <v>18062</v>
      </c>
      <c r="BN937" t="s">
        <v>74</v>
      </c>
      <c r="BO937" t="s">
        <v>2995</v>
      </c>
      <c r="BP937" t="s">
        <v>74</v>
      </c>
      <c r="BQ937" t="s">
        <v>74</v>
      </c>
      <c r="BR937" t="s">
        <v>102</v>
      </c>
      <c r="BS937" t="s">
        <v>18063</v>
      </c>
      <c r="BT937" t="str">
        <f>HYPERLINK("https%3A%2F%2Fwww.webofscience.com%2Fwos%2Fwoscc%2Ffull-record%2FWOS:000679426500001","View Full Record in Web of Science")</f>
        <v>View Full Record in Web of Science</v>
      </c>
    </row>
    <row r="938" spans="1:72" x14ac:dyDescent="0.15">
      <c r="A938" t="s">
        <v>72</v>
      </c>
      <c r="B938" t="s">
        <v>18064</v>
      </c>
      <c r="C938" t="s">
        <v>74</v>
      </c>
      <c r="D938" t="s">
        <v>74</v>
      </c>
      <c r="E938" t="s">
        <v>74</v>
      </c>
      <c r="F938" t="s">
        <v>18065</v>
      </c>
      <c r="G938" t="s">
        <v>74</v>
      </c>
      <c r="H938" t="s">
        <v>74</v>
      </c>
      <c r="I938" t="s">
        <v>18066</v>
      </c>
      <c r="J938" t="s">
        <v>18067</v>
      </c>
      <c r="K938" t="s">
        <v>74</v>
      </c>
      <c r="L938" t="s">
        <v>74</v>
      </c>
      <c r="M938" t="s">
        <v>78</v>
      </c>
      <c r="N938" t="s">
        <v>79</v>
      </c>
      <c r="O938" t="s">
        <v>74</v>
      </c>
      <c r="P938" t="s">
        <v>74</v>
      </c>
      <c r="Q938" t="s">
        <v>74</v>
      </c>
      <c r="R938" t="s">
        <v>74</v>
      </c>
      <c r="S938" t="s">
        <v>74</v>
      </c>
      <c r="T938" t="s">
        <v>18068</v>
      </c>
      <c r="U938" t="s">
        <v>18069</v>
      </c>
      <c r="V938" t="s">
        <v>18070</v>
      </c>
      <c r="W938" t="s">
        <v>18071</v>
      </c>
      <c r="X938" t="s">
        <v>18072</v>
      </c>
      <c r="Y938" t="s">
        <v>18073</v>
      </c>
      <c r="Z938" t="s">
        <v>18074</v>
      </c>
      <c r="AA938" t="s">
        <v>18075</v>
      </c>
      <c r="AB938" t="s">
        <v>18076</v>
      </c>
      <c r="AC938" t="s">
        <v>18077</v>
      </c>
      <c r="AD938" t="s">
        <v>74</v>
      </c>
      <c r="AE938" t="s">
        <v>18078</v>
      </c>
      <c r="AF938" t="s">
        <v>74</v>
      </c>
      <c r="AG938">
        <v>35</v>
      </c>
      <c r="AH938">
        <v>0</v>
      </c>
      <c r="AI938">
        <v>0</v>
      </c>
      <c r="AJ938">
        <v>0</v>
      </c>
      <c r="AK938">
        <v>6</v>
      </c>
      <c r="AL938" t="s">
        <v>18079</v>
      </c>
      <c r="AM938" t="s">
        <v>650</v>
      </c>
      <c r="AN938" t="s">
        <v>18080</v>
      </c>
      <c r="AO938" t="s">
        <v>18081</v>
      </c>
      <c r="AP938" t="s">
        <v>18082</v>
      </c>
      <c r="AQ938" t="s">
        <v>74</v>
      </c>
      <c r="AR938" t="s">
        <v>18083</v>
      </c>
      <c r="AS938" t="s">
        <v>18084</v>
      </c>
      <c r="AT938" t="s">
        <v>10878</v>
      </c>
      <c r="AU938">
        <v>2021</v>
      </c>
      <c r="AV938">
        <v>47</v>
      </c>
      <c r="AW938">
        <v>3</v>
      </c>
      <c r="AX938" t="s">
        <v>74</v>
      </c>
      <c r="AY938" t="s">
        <v>74</v>
      </c>
      <c r="AZ938" t="s">
        <v>74</v>
      </c>
      <c r="BA938" t="s">
        <v>74</v>
      </c>
      <c r="BB938">
        <v>169</v>
      </c>
      <c r="BC938">
        <v>175</v>
      </c>
      <c r="BD938" t="s">
        <v>74</v>
      </c>
      <c r="BE938" t="s">
        <v>18085</v>
      </c>
      <c r="BF938" t="str">
        <f>HYPERLINK("http://dx.doi.org/10.1134/S1063074021030093","http://dx.doi.org/10.1134/S1063074021030093")</f>
        <v>http://dx.doi.org/10.1134/S1063074021030093</v>
      </c>
      <c r="BG938" t="s">
        <v>74</v>
      </c>
      <c r="BH938" t="s">
        <v>74</v>
      </c>
      <c r="BI938">
        <v>7</v>
      </c>
      <c r="BJ938" t="s">
        <v>822</v>
      </c>
      <c r="BK938" t="s">
        <v>128</v>
      </c>
      <c r="BL938" t="s">
        <v>822</v>
      </c>
      <c r="BM938" t="s">
        <v>18086</v>
      </c>
      <c r="BN938" t="s">
        <v>74</v>
      </c>
      <c r="BO938" t="s">
        <v>74</v>
      </c>
      <c r="BP938" t="s">
        <v>74</v>
      </c>
      <c r="BQ938" t="s">
        <v>74</v>
      </c>
      <c r="BR938" t="s">
        <v>102</v>
      </c>
      <c r="BS938" t="s">
        <v>18087</v>
      </c>
      <c r="BT938" t="str">
        <f>HYPERLINK("https%3A%2F%2Fwww.webofscience.com%2Fwos%2Fwoscc%2Ffull-record%2FWOS:000678047700003","View Full Record in Web of Science")</f>
        <v>View Full Record in Web of Science</v>
      </c>
    </row>
    <row r="939" spans="1:72" x14ac:dyDescent="0.15">
      <c r="A939" t="s">
        <v>72</v>
      </c>
      <c r="B939" t="s">
        <v>18088</v>
      </c>
      <c r="C939" t="s">
        <v>74</v>
      </c>
      <c r="D939" t="s">
        <v>74</v>
      </c>
      <c r="E939" t="s">
        <v>74</v>
      </c>
      <c r="F939" t="s">
        <v>18089</v>
      </c>
      <c r="G939" t="s">
        <v>74</v>
      </c>
      <c r="H939" t="s">
        <v>74</v>
      </c>
      <c r="I939" t="s">
        <v>18090</v>
      </c>
      <c r="J939" t="s">
        <v>6584</v>
      </c>
      <c r="K939" t="s">
        <v>74</v>
      </c>
      <c r="L939" t="s">
        <v>74</v>
      </c>
      <c r="M939" t="s">
        <v>78</v>
      </c>
      <c r="N939" t="s">
        <v>79</v>
      </c>
      <c r="O939" t="s">
        <v>74</v>
      </c>
      <c r="P939" t="s">
        <v>74</v>
      </c>
      <c r="Q939" t="s">
        <v>74</v>
      </c>
      <c r="R939" t="s">
        <v>74</v>
      </c>
      <c r="S939" t="s">
        <v>74</v>
      </c>
      <c r="T939" t="s">
        <v>18091</v>
      </c>
      <c r="U939" t="s">
        <v>18092</v>
      </c>
      <c r="V939" t="s">
        <v>18093</v>
      </c>
      <c r="W939" t="s">
        <v>18094</v>
      </c>
      <c r="X939" t="s">
        <v>6589</v>
      </c>
      <c r="Y939" t="s">
        <v>18095</v>
      </c>
      <c r="Z939" t="s">
        <v>10729</v>
      </c>
      <c r="AA939" t="s">
        <v>18096</v>
      </c>
      <c r="AB939" t="s">
        <v>18097</v>
      </c>
      <c r="AC939" t="s">
        <v>18098</v>
      </c>
      <c r="AD939" t="s">
        <v>12299</v>
      </c>
      <c r="AE939" t="s">
        <v>18099</v>
      </c>
      <c r="AF939" t="s">
        <v>74</v>
      </c>
      <c r="AG939">
        <v>21</v>
      </c>
      <c r="AH939">
        <v>0</v>
      </c>
      <c r="AI939">
        <v>0</v>
      </c>
      <c r="AJ939">
        <v>0</v>
      </c>
      <c r="AK939">
        <v>0</v>
      </c>
      <c r="AL939" t="s">
        <v>6595</v>
      </c>
      <c r="AM939" t="s">
        <v>6596</v>
      </c>
      <c r="AN939" t="s">
        <v>6597</v>
      </c>
      <c r="AO939" t="s">
        <v>6598</v>
      </c>
      <c r="AP939" t="s">
        <v>74</v>
      </c>
      <c r="AQ939" t="s">
        <v>74</v>
      </c>
      <c r="AR939" t="s">
        <v>6599</v>
      </c>
      <c r="AS939" t="s">
        <v>6600</v>
      </c>
      <c r="AT939" t="s">
        <v>17395</v>
      </c>
      <c r="AU939">
        <v>2021</v>
      </c>
      <c r="AV939">
        <v>21</v>
      </c>
      <c r="AW939">
        <v>3</v>
      </c>
      <c r="AX939" t="s">
        <v>74</v>
      </c>
      <c r="AY939" t="s">
        <v>74</v>
      </c>
      <c r="AZ939" t="s">
        <v>74</v>
      </c>
      <c r="BA939" t="s">
        <v>74</v>
      </c>
      <c r="BB939" t="s">
        <v>74</v>
      </c>
      <c r="BC939" t="s">
        <v>74</v>
      </c>
      <c r="BD939" t="s">
        <v>18100</v>
      </c>
      <c r="BE939" t="s">
        <v>18101</v>
      </c>
      <c r="BF939" t="str">
        <f>HYPERLINK("http://dx.doi.org/10.2205/2021ES000769","http://dx.doi.org/10.2205/2021ES000769")</f>
        <v>http://dx.doi.org/10.2205/2021ES000769</v>
      </c>
      <c r="BG939" t="s">
        <v>74</v>
      </c>
      <c r="BH939" t="s">
        <v>74</v>
      </c>
      <c r="BI939">
        <v>7</v>
      </c>
      <c r="BJ939" t="s">
        <v>405</v>
      </c>
      <c r="BK939" t="s">
        <v>1819</v>
      </c>
      <c r="BL939" t="s">
        <v>406</v>
      </c>
      <c r="BM939" t="s">
        <v>18102</v>
      </c>
      <c r="BN939" t="s">
        <v>74</v>
      </c>
      <c r="BO939" t="s">
        <v>661</v>
      </c>
      <c r="BP939" t="s">
        <v>74</v>
      </c>
      <c r="BQ939" t="s">
        <v>74</v>
      </c>
      <c r="BR939" t="s">
        <v>102</v>
      </c>
      <c r="BS939" t="s">
        <v>18103</v>
      </c>
      <c r="BT939" t="str">
        <f>HYPERLINK("https%3A%2F%2Fwww.webofscience.com%2Fwos%2Fwoscc%2Ffull-record%2FWOS:000675850500004","View Full Record in Web of Science")</f>
        <v>View Full Record in Web of Science</v>
      </c>
    </row>
    <row r="940" spans="1:72" x14ac:dyDescent="0.15">
      <c r="A940" t="s">
        <v>72</v>
      </c>
      <c r="B940" t="s">
        <v>18104</v>
      </c>
      <c r="C940" t="s">
        <v>74</v>
      </c>
      <c r="D940" t="s">
        <v>74</v>
      </c>
      <c r="E940" t="s">
        <v>74</v>
      </c>
      <c r="F940" t="s">
        <v>18105</v>
      </c>
      <c r="G940" t="s">
        <v>74</v>
      </c>
      <c r="H940" t="s">
        <v>74</v>
      </c>
      <c r="I940" t="s">
        <v>18106</v>
      </c>
      <c r="J940" t="s">
        <v>1750</v>
      </c>
      <c r="K940" t="s">
        <v>74</v>
      </c>
      <c r="L940" t="s">
        <v>74</v>
      </c>
      <c r="M940" t="s">
        <v>78</v>
      </c>
      <c r="N940" t="s">
        <v>79</v>
      </c>
      <c r="O940" t="s">
        <v>74</v>
      </c>
      <c r="P940" t="s">
        <v>74</v>
      </c>
      <c r="Q940" t="s">
        <v>74</v>
      </c>
      <c r="R940" t="s">
        <v>74</v>
      </c>
      <c r="S940" t="s">
        <v>74</v>
      </c>
      <c r="T940" t="s">
        <v>18107</v>
      </c>
      <c r="U940" t="s">
        <v>18108</v>
      </c>
      <c r="V940" t="s">
        <v>18109</v>
      </c>
      <c r="W940" t="s">
        <v>18110</v>
      </c>
      <c r="X940" t="s">
        <v>18111</v>
      </c>
      <c r="Y940" t="s">
        <v>18112</v>
      </c>
      <c r="Z940" t="s">
        <v>18113</v>
      </c>
      <c r="AA940" t="s">
        <v>18114</v>
      </c>
      <c r="AB940" t="s">
        <v>18115</v>
      </c>
      <c r="AC940" t="s">
        <v>18116</v>
      </c>
      <c r="AD940" t="s">
        <v>18117</v>
      </c>
      <c r="AE940" t="s">
        <v>18118</v>
      </c>
      <c r="AF940" t="s">
        <v>74</v>
      </c>
      <c r="AG940">
        <v>69</v>
      </c>
      <c r="AH940">
        <v>12</v>
      </c>
      <c r="AI940">
        <v>12</v>
      </c>
      <c r="AJ940">
        <v>2</v>
      </c>
      <c r="AK940">
        <v>10</v>
      </c>
      <c r="AL940" t="s">
        <v>864</v>
      </c>
      <c r="AM940" t="s">
        <v>865</v>
      </c>
      <c r="AN940" t="s">
        <v>866</v>
      </c>
      <c r="AO940" t="s">
        <v>74</v>
      </c>
      <c r="AP940" t="s">
        <v>1763</v>
      </c>
      <c r="AQ940" t="s">
        <v>74</v>
      </c>
      <c r="AR940" t="s">
        <v>1764</v>
      </c>
      <c r="AS940" t="s">
        <v>1765</v>
      </c>
      <c r="AT940" t="s">
        <v>10878</v>
      </c>
      <c r="AU940">
        <v>2021</v>
      </c>
      <c r="AV940">
        <v>19</v>
      </c>
      <c r="AW940">
        <v>5</v>
      </c>
      <c r="AX940" t="s">
        <v>74</v>
      </c>
      <c r="AY940" t="s">
        <v>74</v>
      </c>
      <c r="AZ940" t="s">
        <v>74</v>
      </c>
      <c r="BA940" t="s">
        <v>74</v>
      </c>
      <c r="BB940" t="s">
        <v>74</v>
      </c>
      <c r="BC940" t="s">
        <v>74</v>
      </c>
      <c r="BD940" t="s">
        <v>18119</v>
      </c>
      <c r="BE940" t="s">
        <v>18120</v>
      </c>
      <c r="BF940" t="str">
        <f>HYPERLINK("http://dx.doi.org/10.1029/2020SW002683","http://dx.doi.org/10.1029/2020SW002683")</f>
        <v>http://dx.doi.org/10.1029/2020SW002683</v>
      </c>
      <c r="BG940" t="s">
        <v>74</v>
      </c>
      <c r="BH940" t="s">
        <v>74</v>
      </c>
      <c r="BI940">
        <v>25</v>
      </c>
      <c r="BJ940" t="s">
        <v>1768</v>
      </c>
      <c r="BK940" t="s">
        <v>128</v>
      </c>
      <c r="BL940" t="s">
        <v>1768</v>
      </c>
      <c r="BM940" t="s">
        <v>18121</v>
      </c>
      <c r="BN940" t="s">
        <v>74</v>
      </c>
      <c r="BO940" t="s">
        <v>209</v>
      </c>
      <c r="BP940" t="s">
        <v>74</v>
      </c>
      <c r="BQ940" t="s">
        <v>74</v>
      </c>
      <c r="BR940" t="s">
        <v>102</v>
      </c>
      <c r="BS940" t="s">
        <v>18122</v>
      </c>
      <c r="BT940" t="str">
        <f>HYPERLINK("https%3A%2F%2Fwww.webofscience.com%2Fwos%2Fwoscc%2Ffull-record%2FWOS:000674746600008","View Full Record in Web of Science")</f>
        <v>View Full Record in Web of Science</v>
      </c>
    </row>
    <row r="941" spans="1:72" x14ac:dyDescent="0.15">
      <c r="A941" t="s">
        <v>72</v>
      </c>
      <c r="B941" t="s">
        <v>18123</v>
      </c>
      <c r="C941" t="s">
        <v>74</v>
      </c>
      <c r="D941" t="s">
        <v>74</v>
      </c>
      <c r="E941" t="s">
        <v>74</v>
      </c>
      <c r="F941" t="s">
        <v>18124</v>
      </c>
      <c r="G941" t="s">
        <v>74</v>
      </c>
      <c r="H941" t="s">
        <v>74</v>
      </c>
      <c r="I941" t="s">
        <v>18125</v>
      </c>
      <c r="J941" t="s">
        <v>18126</v>
      </c>
      <c r="K941" t="s">
        <v>74</v>
      </c>
      <c r="L941" t="s">
        <v>74</v>
      </c>
      <c r="M941" t="s">
        <v>78</v>
      </c>
      <c r="N941" t="s">
        <v>52</v>
      </c>
      <c r="O941" t="s">
        <v>18127</v>
      </c>
      <c r="P941" t="s">
        <v>18128</v>
      </c>
      <c r="Q941" t="s">
        <v>9514</v>
      </c>
      <c r="R941" t="s">
        <v>74</v>
      </c>
      <c r="S941" t="s">
        <v>74</v>
      </c>
      <c r="T941" t="s">
        <v>74</v>
      </c>
      <c r="U941" t="s">
        <v>74</v>
      </c>
      <c r="V941" t="s">
        <v>74</v>
      </c>
      <c r="W941" t="s">
        <v>74</v>
      </c>
      <c r="X941" t="s">
        <v>74</v>
      </c>
      <c r="Y941" t="s">
        <v>74</v>
      </c>
      <c r="Z941" t="s">
        <v>74</v>
      </c>
      <c r="AA941" t="s">
        <v>74</v>
      </c>
      <c r="AB941" t="s">
        <v>74</v>
      </c>
      <c r="AC941" t="s">
        <v>18129</v>
      </c>
      <c r="AD941" t="s">
        <v>18130</v>
      </c>
      <c r="AE941" t="s">
        <v>18131</v>
      </c>
      <c r="AF941" t="s">
        <v>74</v>
      </c>
      <c r="AG941">
        <v>0</v>
      </c>
      <c r="AH941">
        <v>0</v>
      </c>
      <c r="AI941">
        <v>0</v>
      </c>
      <c r="AJ941">
        <v>0</v>
      </c>
      <c r="AK941">
        <v>2</v>
      </c>
      <c r="AL941" t="s">
        <v>197</v>
      </c>
      <c r="AM941" t="s">
        <v>198</v>
      </c>
      <c r="AN941" t="s">
        <v>199</v>
      </c>
      <c r="AO941" t="s">
        <v>18132</v>
      </c>
      <c r="AP941" t="s">
        <v>18133</v>
      </c>
      <c r="AQ941" t="s">
        <v>74</v>
      </c>
      <c r="AR941" t="s">
        <v>18134</v>
      </c>
      <c r="AS941" t="s">
        <v>18135</v>
      </c>
      <c r="AT941" t="s">
        <v>10878</v>
      </c>
      <c r="AU941">
        <v>2021</v>
      </c>
      <c r="AV941">
        <v>35</v>
      </c>
      <c r="AW941" t="s">
        <v>74</v>
      </c>
      <c r="AX941" t="s">
        <v>74</v>
      </c>
      <c r="AY941">
        <v>1</v>
      </c>
      <c r="AZ941" t="s">
        <v>431</v>
      </c>
      <c r="BA941" t="s">
        <v>74</v>
      </c>
      <c r="BB941" t="s">
        <v>74</v>
      </c>
      <c r="BC941" t="s">
        <v>74</v>
      </c>
      <c r="BD941" t="s">
        <v>74</v>
      </c>
      <c r="BE941" t="s">
        <v>18136</v>
      </c>
      <c r="BF941" t="str">
        <f>HYPERLINK("http://dx.doi.org/10.1096/fasebj.2021.35.S1.05035","http://dx.doi.org/10.1096/fasebj.2021.35.S1.05035")</f>
        <v>http://dx.doi.org/10.1096/fasebj.2021.35.S1.05035</v>
      </c>
      <c r="BG941" t="s">
        <v>74</v>
      </c>
      <c r="BH941" t="s">
        <v>74</v>
      </c>
      <c r="BI941">
        <v>2</v>
      </c>
      <c r="BJ941" t="s">
        <v>4664</v>
      </c>
      <c r="BK941" t="s">
        <v>962</v>
      </c>
      <c r="BL941" t="s">
        <v>4665</v>
      </c>
      <c r="BM941" t="s">
        <v>18137</v>
      </c>
      <c r="BN941" t="s">
        <v>74</v>
      </c>
      <c r="BO941" t="s">
        <v>661</v>
      </c>
      <c r="BP941" t="s">
        <v>74</v>
      </c>
      <c r="BQ941" t="s">
        <v>74</v>
      </c>
      <c r="BR941" t="s">
        <v>102</v>
      </c>
      <c r="BS941" t="s">
        <v>18138</v>
      </c>
      <c r="BT941" t="str">
        <f>HYPERLINK("https%3A%2F%2Fwww.webofscience.com%2Fwos%2Fwoscc%2Ffull-record%2FWOS:000669893105237","View Full Record in Web of Science")</f>
        <v>View Full Record in Web of Science</v>
      </c>
    </row>
    <row r="942" spans="1:72" x14ac:dyDescent="0.15">
      <c r="A942" t="s">
        <v>72</v>
      </c>
      <c r="B942" t="s">
        <v>18139</v>
      </c>
      <c r="C942" t="s">
        <v>74</v>
      </c>
      <c r="D942" t="s">
        <v>74</v>
      </c>
      <c r="E942" t="s">
        <v>74</v>
      </c>
      <c r="F942" t="s">
        <v>18140</v>
      </c>
      <c r="G942" t="s">
        <v>74</v>
      </c>
      <c r="H942" t="s">
        <v>74</v>
      </c>
      <c r="I942" t="s">
        <v>18141</v>
      </c>
      <c r="J942" t="s">
        <v>18142</v>
      </c>
      <c r="K942" t="s">
        <v>74</v>
      </c>
      <c r="L942" t="s">
        <v>74</v>
      </c>
      <c r="M942" t="s">
        <v>18143</v>
      </c>
      <c r="N942" t="s">
        <v>79</v>
      </c>
      <c r="O942" t="s">
        <v>74</v>
      </c>
      <c r="P942" t="s">
        <v>74</v>
      </c>
      <c r="Q942" t="s">
        <v>74</v>
      </c>
      <c r="R942" t="s">
        <v>74</v>
      </c>
      <c r="S942" t="s">
        <v>74</v>
      </c>
      <c r="T942" t="s">
        <v>18144</v>
      </c>
      <c r="U942" t="s">
        <v>74</v>
      </c>
      <c r="V942" t="s">
        <v>18145</v>
      </c>
      <c r="W942" t="s">
        <v>18146</v>
      </c>
      <c r="X942" t="s">
        <v>18147</v>
      </c>
      <c r="Y942" t="s">
        <v>18148</v>
      </c>
      <c r="Z942" t="s">
        <v>18149</v>
      </c>
      <c r="AA942" t="s">
        <v>18150</v>
      </c>
      <c r="AB942" t="s">
        <v>18151</v>
      </c>
      <c r="AC942" t="s">
        <v>74</v>
      </c>
      <c r="AD942" t="s">
        <v>74</v>
      </c>
      <c r="AE942" t="s">
        <v>74</v>
      </c>
      <c r="AF942" t="s">
        <v>74</v>
      </c>
      <c r="AG942">
        <v>14</v>
      </c>
      <c r="AH942">
        <v>0</v>
      </c>
      <c r="AI942">
        <v>0</v>
      </c>
      <c r="AJ942">
        <v>0</v>
      </c>
      <c r="AK942">
        <v>2</v>
      </c>
      <c r="AL942" t="s">
        <v>18152</v>
      </c>
      <c r="AM942" t="s">
        <v>18153</v>
      </c>
      <c r="AN942" t="s">
        <v>18154</v>
      </c>
      <c r="AO942" t="s">
        <v>18155</v>
      </c>
      <c r="AP942" t="s">
        <v>18156</v>
      </c>
      <c r="AQ942" t="s">
        <v>74</v>
      </c>
      <c r="AR942" t="s">
        <v>18157</v>
      </c>
      <c r="AS942" t="s">
        <v>18158</v>
      </c>
      <c r="AT942" t="s">
        <v>17395</v>
      </c>
      <c r="AU942">
        <v>2021</v>
      </c>
      <c r="AV942">
        <v>11</v>
      </c>
      <c r="AW942">
        <v>3</v>
      </c>
      <c r="AX942" t="s">
        <v>74</v>
      </c>
      <c r="AY942" t="s">
        <v>74</v>
      </c>
      <c r="AZ942" t="s">
        <v>74</v>
      </c>
      <c r="BA942" t="s">
        <v>74</v>
      </c>
      <c r="BB942">
        <v>585</v>
      </c>
      <c r="BC942" t="s">
        <v>403</v>
      </c>
      <c r="BD942" t="s">
        <v>74</v>
      </c>
      <c r="BE942" t="s">
        <v>18159</v>
      </c>
      <c r="BF942" t="str">
        <f>HYPERLINK("http://dx.doi.org/10.15789/2220-7619-ASS-1593","http://dx.doi.org/10.15789/2220-7619-ASS-1593")</f>
        <v>http://dx.doi.org/10.15789/2220-7619-ASS-1593</v>
      </c>
      <c r="BG942" t="s">
        <v>74</v>
      </c>
      <c r="BH942" t="s">
        <v>74</v>
      </c>
      <c r="BI942">
        <v>7</v>
      </c>
      <c r="BJ942" t="s">
        <v>18160</v>
      </c>
      <c r="BK942" t="s">
        <v>1819</v>
      </c>
      <c r="BL942" t="s">
        <v>18160</v>
      </c>
      <c r="BM942" t="s">
        <v>18161</v>
      </c>
      <c r="BN942" t="s">
        <v>74</v>
      </c>
      <c r="BO942" t="s">
        <v>311</v>
      </c>
      <c r="BP942" t="s">
        <v>74</v>
      </c>
      <c r="BQ942" t="s">
        <v>74</v>
      </c>
      <c r="BR942" t="s">
        <v>102</v>
      </c>
      <c r="BS942" t="s">
        <v>18162</v>
      </c>
      <c r="BT942" t="str">
        <f>HYPERLINK("https%3A%2F%2Fwww.webofscience.com%2Fwos%2Fwoscc%2Ffull-record%2FWOS:000664981200021","View Full Record in Web of Science")</f>
        <v>View Full Record in Web of Science</v>
      </c>
    </row>
    <row r="943" spans="1:72" x14ac:dyDescent="0.15">
      <c r="A943" t="s">
        <v>72</v>
      </c>
      <c r="B943" t="s">
        <v>18163</v>
      </c>
      <c r="C943" t="s">
        <v>74</v>
      </c>
      <c r="D943" t="s">
        <v>74</v>
      </c>
      <c r="E943" t="s">
        <v>74</v>
      </c>
      <c r="F943" t="s">
        <v>18164</v>
      </c>
      <c r="G943" t="s">
        <v>74</v>
      </c>
      <c r="H943" t="s">
        <v>74</v>
      </c>
      <c r="I943" t="s">
        <v>18165</v>
      </c>
      <c r="J943" t="s">
        <v>18166</v>
      </c>
      <c r="K943" t="s">
        <v>74</v>
      </c>
      <c r="L943" t="s">
        <v>74</v>
      </c>
      <c r="M943" t="s">
        <v>78</v>
      </c>
      <c r="N943" t="s">
        <v>79</v>
      </c>
      <c r="O943" t="s">
        <v>74</v>
      </c>
      <c r="P943" t="s">
        <v>74</v>
      </c>
      <c r="Q943" t="s">
        <v>74</v>
      </c>
      <c r="R943" t="s">
        <v>74</v>
      </c>
      <c r="S943" t="s">
        <v>74</v>
      </c>
      <c r="T943" t="s">
        <v>18167</v>
      </c>
      <c r="U943" t="s">
        <v>18168</v>
      </c>
      <c r="V943" t="s">
        <v>18169</v>
      </c>
      <c r="W943" t="s">
        <v>18170</v>
      </c>
      <c r="X943" t="s">
        <v>18022</v>
      </c>
      <c r="Y943" t="s">
        <v>18171</v>
      </c>
      <c r="Z943" t="s">
        <v>18172</v>
      </c>
      <c r="AA943" t="s">
        <v>74</v>
      </c>
      <c r="AB943" t="s">
        <v>74</v>
      </c>
      <c r="AC943" t="s">
        <v>74</v>
      </c>
      <c r="AD943" t="s">
        <v>74</v>
      </c>
      <c r="AE943" t="s">
        <v>74</v>
      </c>
      <c r="AF943" t="s">
        <v>74</v>
      </c>
      <c r="AG943">
        <v>71</v>
      </c>
      <c r="AH943">
        <v>2</v>
      </c>
      <c r="AI943">
        <v>2</v>
      </c>
      <c r="AJ943">
        <v>4</v>
      </c>
      <c r="AK943">
        <v>6</v>
      </c>
      <c r="AL943" t="s">
        <v>18079</v>
      </c>
      <c r="AM943" t="s">
        <v>650</v>
      </c>
      <c r="AN943" t="s">
        <v>18080</v>
      </c>
      <c r="AO943" t="s">
        <v>18173</v>
      </c>
      <c r="AP943" t="s">
        <v>18174</v>
      </c>
      <c r="AQ943" t="s">
        <v>74</v>
      </c>
      <c r="AR943" t="s">
        <v>18175</v>
      </c>
      <c r="AS943" t="s">
        <v>18176</v>
      </c>
      <c r="AT943" t="s">
        <v>10878</v>
      </c>
      <c r="AU943">
        <v>2021</v>
      </c>
      <c r="AV943">
        <v>57</v>
      </c>
      <c r="AW943">
        <v>3</v>
      </c>
      <c r="AX943" t="s">
        <v>74</v>
      </c>
      <c r="AY943" t="s">
        <v>74</v>
      </c>
      <c r="AZ943" t="s">
        <v>74</v>
      </c>
      <c r="BA943" t="s">
        <v>74</v>
      </c>
      <c r="BB943">
        <v>233</v>
      </c>
      <c r="BC943">
        <v>246</v>
      </c>
      <c r="BD943" t="s">
        <v>74</v>
      </c>
      <c r="BE943" t="s">
        <v>18177</v>
      </c>
      <c r="BF943" t="str">
        <f>HYPERLINK("http://dx.doi.org/10.1134/S0001433821030063","http://dx.doi.org/10.1134/S0001433821030063")</f>
        <v>http://dx.doi.org/10.1134/S0001433821030063</v>
      </c>
      <c r="BG943" t="s">
        <v>74</v>
      </c>
      <c r="BH943" t="s">
        <v>74</v>
      </c>
      <c r="BI943">
        <v>14</v>
      </c>
      <c r="BJ943" t="s">
        <v>4049</v>
      </c>
      <c r="BK943" t="s">
        <v>128</v>
      </c>
      <c r="BL943" t="s">
        <v>4049</v>
      </c>
      <c r="BM943" t="s">
        <v>18178</v>
      </c>
      <c r="BN943" t="s">
        <v>74</v>
      </c>
      <c r="BO943" t="s">
        <v>74</v>
      </c>
      <c r="BP943" t="s">
        <v>74</v>
      </c>
      <c r="BQ943" t="s">
        <v>74</v>
      </c>
      <c r="BR943" t="s">
        <v>102</v>
      </c>
      <c r="BS943" t="s">
        <v>18179</v>
      </c>
      <c r="BT943" t="str">
        <f>HYPERLINK("https%3A%2F%2Fwww.webofscience.com%2Fwos%2Fwoscc%2Ffull-record%2FWOS:000669873800001","View Full Record in Web of Science")</f>
        <v>View Full Record in Web of Science</v>
      </c>
    </row>
    <row r="944" spans="1:72" x14ac:dyDescent="0.15">
      <c r="A944" t="s">
        <v>72</v>
      </c>
      <c r="B944" t="s">
        <v>18180</v>
      </c>
      <c r="C944" t="s">
        <v>74</v>
      </c>
      <c r="D944" t="s">
        <v>74</v>
      </c>
      <c r="E944" t="s">
        <v>74</v>
      </c>
      <c r="F944" t="s">
        <v>18181</v>
      </c>
      <c r="G944" t="s">
        <v>74</v>
      </c>
      <c r="H944" t="s">
        <v>74</v>
      </c>
      <c r="I944" t="s">
        <v>18182</v>
      </c>
      <c r="J944" t="s">
        <v>18183</v>
      </c>
      <c r="K944" t="s">
        <v>74</v>
      </c>
      <c r="L944" t="s">
        <v>74</v>
      </c>
      <c r="M944" t="s">
        <v>78</v>
      </c>
      <c r="N944" t="s">
        <v>79</v>
      </c>
      <c r="O944" t="s">
        <v>74</v>
      </c>
      <c r="P944" t="s">
        <v>74</v>
      </c>
      <c r="Q944" t="s">
        <v>74</v>
      </c>
      <c r="R944" t="s">
        <v>74</v>
      </c>
      <c r="S944" t="s">
        <v>74</v>
      </c>
      <c r="T944" t="s">
        <v>74</v>
      </c>
      <c r="U944" t="s">
        <v>18184</v>
      </c>
      <c r="V944" t="s">
        <v>18185</v>
      </c>
      <c r="W944" t="s">
        <v>18186</v>
      </c>
      <c r="X944" t="s">
        <v>18187</v>
      </c>
      <c r="Y944" t="s">
        <v>18188</v>
      </c>
      <c r="Z944" t="s">
        <v>18189</v>
      </c>
      <c r="AA944" t="s">
        <v>18190</v>
      </c>
      <c r="AB944" t="s">
        <v>18191</v>
      </c>
      <c r="AC944" t="s">
        <v>18192</v>
      </c>
      <c r="AD944" t="s">
        <v>18193</v>
      </c>
      <c r="AE944" t="s">
        <v>18194</v>
      </c>
      <c r="AF944" t="s">
        <v>74</v>
      </c>
      <c r="AG944">
        <v>58</v>
      </c>
      <c r="AH944">
        <v>10</v>
      </c>
      <c r="AI944">
        <v>10</v>
      </c>
      <c r="AJ944">
        <v>2</v>
      </c>
      <c r="AK944">
        <v>22</v>
      </c>
      <c r="AL944" t="s">
        <v>4451</v>
      </c>
      <c r="AM944" t="s">
        <v>4452</v>
      </c>
      <c r="AN944" t="s">
        <v>4453</v>
      </c>
      <c r="AO944" t="s">
        <v>18195</v>
      </c>
      <c r="AP944" t="s">
        <v>18196</v>
      </c>
      <c r="AQ944" t="s">
        <v>74</v>
      </c>
      <c r="AR944" t="s">
        <v>18197</v>
      </c>
      <c r="AS944" t="s">
        <v>18198</v>
      </c>
      <c r="AT944" t="s">
        <v>10878</v>
      </c>
      <c r="AU944">
        <v>2021</v>
      </c>
      <c r="AV944">
        <v>19</v>
      </c>
      <c r="AW944">
        <v>5</v>
      </c>
      <c r="AX944" t="s">
        <v>74</v>
      </c>
      <c r="AY944" t="s">
        <v>74</v>
      </c>
      <c r="AZ944" t="s">
        <v>74</v>
      </c>
      <c r="BA944" t="s">
        <v>74</v>
      </c>
      <c r="BB944" t="s">
        <v>74</v>
      </c>
      <c r="BC944" t="s">
        <v>74</v>
      </c>
      <c r="BD944" t="s">
        <v>18199</v>
      </c>
      <c r="BE944" t="s">
        <v>18200</v>
      </c>
      <c r="BF944" t="str">
        <f>HYPERLINK("http://dx.doi.org/10.1371/journal.pbio.3001195","http://dx.doi.org/10.1371/journal.pbio.3001195")</f>
        <v>http://dx.doi.org/10.1371/journal.pbio.3001195</v>
      </c>
      <c r="BG944" t="s">
        <v>74</v>
      </c>
      <c r="BH944" t="s">
        <v>74</v>
      </c>
      <c r="BI944">
        <v>18</v>
      </c>
      <c r="BJ944" t="s">
        <v>18201</v>
      </c>
      <c r="BK944" t="s">
        <v>128</v>
      </c>
      <c r="BL944" t="s">
        <v>18202</v>
      </c>
      <c r="BM944" t="s">
        <v>18203</v>
      </c>
      <c r="BN944">
        <v>34010287</v>
      </c>
      <c r="BO944" t="s">
        <v>18204</v>
      </c>
      <c r="BP944" t="s">
        <v>74</v>
      </c>
      <c r="BQ944" t="s">
        <v>74</v>
      </c>
      <c r="BR944" t="s">
        <v>102</v>
      </c>
      <c r="BS944" t="s">
        <v>18205</v>
      </c>
      <c r="BT944" t="str">
        <f>HYPERLINK("https%3A%2F%2Fwww.webofscience.com%2Fwos%2Fwoscc%2Ffull-record%2FWOS:000664237300002","View Full Record in Web of Science")</f>
        <v>View Full Record in Web of Science</v>
      </c>
    </row>
    <row r="945" spans="1:72" x14ac:dyDescent="0.15">
      <c r="A945" t="s">
        <v>72</v>
      </c>
      <c r="B945" t="s">
        <v>18206</v>
      </c>
      <c r="C945" t="s">
        <v>74</v>
      </c>
      <c r="D945" t="s">
        <v>74</v>
      </c>
      <c r="E945" t="s">
        <v>74</v>
      </c>
      <c r="F945" t="s">
        <v>18207</v>
      </c>
      <c r="G945" t="s">
        <v>74</v>
      </c>
      <c r="H945" t="s">
        <v>74</v>
      </c>
      <c r="I945" t="s">
        <v>18208</v>
      </c>
      <c r="J945" t="s">
        <v>18209</v>
      </c>
      <c r="K945" t="s">
        <v>74</v>
      </c>
      <c r="L945" t="s">
        <v>74</v>
      </c>
      <c r="M945" t="s">
        <v>78</v>
      </c>
      <c r="N945" t="s">
        <v>79</v>
      </c>
      <c r="O945" t="s">
        <v>74</v>
      </c>
      <c r="P945" t="s">
        <v>74</v>
      </c>
      <c r="Q945" t="s">
        <v>74</v>
      </c>
      <c r="R945" t="s">
        <v>74</v>
      </c>
      <c r="S945" t="s">
        <v>74</v>
      </c>
      <c r="T945" t="s">
        <v>18210</v>
      </c>
      <c r="U945" t="s">
        <v>74</v>
      </c>
      <c r="V945" t="s">
        <v>18211</v>
      </c>
      <c r="W945" t="s">
        <v>18212</v>
      </c>
      <c r="X945" t="s">
        <v>18213</v>
      </c>
      <c r="Y945" t="s">
        <v>18214</v>
      </c>
      <c r="Z945" t="s">
        <v>18215</v>
      </c>
      <c r="AA945" t="s">
        <v>74</v>
      </c>
      <c r="AB945" t="s">
        <v>74</v>
      </c>
      <c r="AC945" t="s">
        <v>74</v>
      </c>
      <c r="AD945" t="s">
        <v>74</v>
      </c>
      <c r="AE945" t="s">
        <v>74</v>
      </c>
      <c r="AF945" t="s">
        <v>74</v>
      </c>
      <c r="AG945">
        <v>47</v>
      </c>
      <c r="AH945">
        <v>6</v>
      </c>
      <c r="AI945">
        <v>6</v>
      </c>
      <c r="AJ945">
        <v>0</v>
      </c>
      <c r="AK945">
        <v>7</v>
      </c>
      <c r="AL945" t="s">
        <v>12356</v>
      </c>
      <c r="AM945" t="s">
        <v>12357</v>
      </c>
      <c r="AN945" t="s">
        <v>12358</v>
      </c>
      <c r="AO945" t="s">
        <v>18216</v>
      </c>
      <c r="AP945" t="s">
        <v>18217</v>
      </c>
      <c r="AQ945" t="s">
        <v>74</v>
      </c>
      <c r="AR945" t="s">
        <v>18218</v>
      </c>
      <c r="AS945" t="s">
        <v>18219</v>
      </c>
      <c r="AT945" t="s">
        <v>10878</v>
      </c>
      <c r="AU945">
        <v>2021</v>
      </c>
      <c r="AV945">
        <v>9</v>
      </c>
      <c r="AW945">
        <v>1</v>
      </c>
      <c r="AX945" t="s">
        <v>74</v>
      </c>
      <c r="AY945" t="s">
        <v>74</v>
      </c>
      <c r="AZ945" t="s">
        <v>74</v>
      </c>
      <c r="BA945" t="s">
        <v>74</v>
      </c>
      <c r="BB945">
        <v>84</v>
      </c>
      <c r="BC945">
        <v>107</v>
      </c>
      <c r="BD945" t="s">
        <v>74</v>
      </c>
      <c r="BE945" t="s">
        <v>18220</v>
      </c>
      <c r="BF945" t="str">
        <f>HYPERLINK("http://dx.doi.org/10.1163/22134484-12340147","http://dx.doi.org/10.1163/22134484-12340147")</f>
        <v>http://dx.doi.org/10.1163/22134484-12340147</v>
      </c>
      <c r="BG945" t="s">
        <v>74</v>
      </c>
      <c r="BH945" t="s">
        <v>74</v>
      </c>
      <c r="BI945">
        <v>24</v>
      </c>
      <c r="BJ945" t="s">
        <v>4283</v>
      </c>
      <c r="BK945" t="s">
        <v>1819</v>
      </c>
      <c r="BL945" t="s">
        <v>4284</v>
      </c>
      <c r="BM945" t="s">
        <v>18221</v>
      </c>
      <c r="BN945" t="s">
        <v>74</v>
      </c>
      <c r="BO945" t="s">
        <v>291</v>
      </c>
      <c r="BP945" t="s">
        <v>74</v>
      </c>
      <c r="BQ945" t="s">
        <v>74</v>
      </c>
      <c r="BR945" t="s">
        <v>102</v>
      </c>
      <c r="BS945" t="s">
        <v>18222</v>
      </c>
      <c r="BT945" t="str">
        <f>HYPERLINK("https%3A%2F%2Fwww.webofscience.com%2Fwos%2Fwoscc%2Ffull-record%2FWOS:000659314600007","View Full Record in Web of Science")</f>
        <v>View Full Record in Web of Science</v>
      </c>
    </row>
    <row r="946" spans="1:72" x14ac:dyDescent="0.15">
      <c r="A946" t="s">
        <v>72</v>
      </c>
      <c r="B946" t="s">
        <v>18223</v>
      </c>
      <c r="C946" t="s">
        <v>74</v>
      </c>
      <c r="D946" t="s">
        <v>74</v>
      </c>
      <c r="E946" t="s">
        <v>74</v>
      </c>
      <c r="F946" t="s">
        <v>18224</v>
      </c>
      <c r="G946" t="s">
        <v>74</v>
      </c>
      <c r="H946" t="s">
        <v>74</v>
      </c>
      <c r="I946" t="s">
        <v>18225</v>
      </c>
      <c r="J946" t="s">
        <v>2157</v>
      </c>
      <c r="K946" t="s">
        <v>74</v>
      </c>
      <c r="L946" t="s">
        <v>74</v>
      </c>
      <c r="M946" t="s">
        <v>78</v>
      </c>
      <c r="N946" t="s">
        <v>79</v>
      </c>
      <c r="O946" t="s">
        <v>74</v>
      </c>
      <c r="P946" t="s">
        <v>74</v>
      </c>
      <c r="Q946" t="s">
        <v>74</v>
      </c>
      <c r="R946" t="s">
        <v>74</v>
      </c>
      <c r="S946" t="s">
        <v>74</v>
      </c>
      <c r="T946" t="s">
        <v>18226</v>
      </c>
      <c r="U946" t="s">
        <v>18227</v>
      </c>
      <c r="V946" t="s">
        <v>18228</v>
      </c>
      <c r="W946" t="s">
        <v>18229</v>
      </c>
      <c r="X946" t="s">
        <v>18230</v>
      </c>
      <c r="Y946" t="s">
        <v>18231</v>
      </c>
      <c r="Z946" t="s">
        <v>18232</v>
      </c>
      <c r="AA946" t="s">
        <v>18233</v>
      </c>
      <c r="AB946" t="s">
        <v>18234</v>
      </c>
      <c r="AC946" t="s">
        <v>18235</v>
      </c>
      <c r="AD946" t="s">
        <v>18236</v>
      </c>
      <c r="AE946" t="s">
        <v>18237</v>
      </c>
      <c r="AF946" t="s">
        <v>74</v>
      </c>
      <c r="AG946">
        <v>68</v>
      </c>
      <c r="AH946">
        <v>4</v>
      </c>
      <c r="AI946">
        <v>4</v>
      </c>
      <c r="AJ946">
        <v>0</v>
      </c>
      <c r="AK946">
        <v>1</v>
      </c>
      <c r="AL946" t="s">
        <v>1101</v>
      </c>
      <c r="AM946" t="s">
        <v>1102</v>
      </c>
      <c r="AN946" t="s">
        <v>1103</v>
      </c>
      <c r="AO946" t="s">
        <v>74</v>
      </c>
      <c r="AP946" t="s">
        <v>2167</v>
      </c>
      <c r="AQ946" t="s">
        <v>74</v>
      </c>
      <c r="AR946" t="s">
        <v>2168</v>
      </c>
      <c r="AS946" t="s">
        <v>2169</v>
      </c>
      <c r="AT946" t="s">
        <v>10878</v>
      </c>
      <c r="AU946">
        <v>2021</v>
      </c>
      <c r="AV946">
        <v>21</v>
      </c>
      <c r="AW946">
        <v>10</v>
      </c>
      <c r="AX946" t="s">
        <v>74</v>
      </c>
      <c r="AY946" t="s">
        <v>74</v>
      </c>
      <c r="AZ946" t="s">
        <v>74</v>
      </c>
      <c r="BA946" t="s">
        <v>74</v>
      </c>
      <c r="BB946" t="s">
        <v>74</v>
      </c>
      <c r="BC946" t="s">
        <v>74</v>
      </c>
      <c r="BD946">
        <v>3446</v>
      </c>
      <c r="BE946" t="s">
        <v>18238</v>
      </c>
      <c r="BF946" t="str">
        <f>HYPERLINK("http://dx.doi.org/10.3390/s21103446","http://dx.doi.org/10.3390/s21103446")</f>
        <v>http://dx.doi.org/10.3390/s21103446</v>
      </c>
      <c r="BG946" t="s">
        <v>74</v>
      </c>
      <c r="BH946" t="s">
        <v>74</v>
      </c>
      <c r="BI946">
        <v>30</v>
      </c>
      <c r="BJ946" t="s">
        <v>2171</v>
      </c>
      <c r="BK946" t="s">
        <v>128</v>
      </c>
      <c r="BL946" t="s">
        <v>2172</v>
      </c>
      <c r="BM946" t="s">
        <v>18239</v>
      </c>
      <c r="BN946">
        <v>34063376</v>
      </c>
      <c r="BO946" t="s">
        <v>1377</v>
      </c>
      <c r="BP946" t="s">
        <v>74</v>
      </c>
      <c r="BQ946" t="s">
        <v>74</v>
      </c>
      <c r="BR946" t="s">
        <v>102</v>
      </c>
      <c r="BS946" t="s">
        <v>18240</v>
      </c>
      <c r="BT946" t="str">
        <f>HYPERLINK("https%3A%2F%2Fwww.webofscience.com%2Fwos%2Fwoscc%2Ffull-record%2FWOS:000662528000001","View Full Record in Web of Science")</f>
        <v>View Full Record in Web of Science</v>
      </c>
    </row>
    <row r="947" spans="1:72" x14ac:dyDescent="0.15">
      <c r="A947" t="s">
        <v>72</v>
      </c>
      <c r="B947" t="s">
        <v>18241</v>
      </c>
      <c r="C947" t="s">
        <v>74</v>
      </c>
      <c r="D947" t="s">
        <v>74</v>
      </c>
      <c r="E947" t="s">
        <v>74</v>
      </c>
      <c r="F947" t="s">
        <v>18242</v>
      </c>
      <c r="G947" t="s">
        <v>74</v>
      </c>
      <c r="H947" t="s">
        <v>74</v>
      </c>
      <c r="I947" t="s">
        <v>18243</v>
      </c>
      <c r="J947" t="s">
        <v>1358</v>
      </c>
      <c r="K947" t="s">
        <v>74</v>
      </c>
      <c r="L947" t="s">
        <v>74</v>
      </c>
      <c r="M947" t="s">
        <v>78</v>
      </c>
      <c r="N947" t="s">
        <v>79</v>
      </c>
      <c r="O947" t="s">
        <v>74</v>
      </c>
      <c r="P947" t="s">
        <v>74</v>
      </c>
      <c r="Q947" t="s">
        <v>74</v>
      </c>
      <c r="R947" t="s">
        <v>74</v>
      </c>
      <c r="S947" t="s">
        <v>74</v>
      </c>
      <c r="T947" t="s">
        <v>18244</v>
      </c>
      <c r="U947" t="s">
        <v>18245</v>
      </c>
      <c r="V947" t="s">
        <v>18246</v>
      </c>
      <c r="W947" t="s">
        <v>18247</v>
      </c>
      <c r="X947" t="s">
        <v>18248</v>
      </c>
      <c r="Y947" t="s">
        <v>18249</v>
      </c>
      <c r="Z947" t="s">
        <v>18250</v>
      </c>
      <c r="AA947" t="s">
        <v>74</v>
      </c>
      <c r="AB947" t="s">
        <v>74</v>
      </c>
      <c r="AC947" t="s">
        <v>74</v>
      </c>
      <c r="AD947" t="s">
        <v>74</v>
      </c>
      <c r="AE947" t="s">
        <v>74</v>
      </c>
      <c r="AF947" t="s">
        <v>74</v>
      </c>
      <c r="AG947">
        <v>79</v>
      </c>
      <c r="AH947">
        <v>6</v>
      </c>
      <c r="AI947">
        <v>6</v>
      </c>
      <c r="AJ947">
        <v>4</v>
      </c>
      <c r="AK947">
        <v>20</v>
      </c>
      <c r="AL947" t="s">
        <v>1101</v>
      </c>
      <c r="AM947" t="s">
        <v>1102</v>
      </c>
      <c r="AN947" t="s">
        <v>1103</v>
      </c>
      <c r="AO947" t="s">
        <v>74</v>
      </c>
      <c r="AP947" t="s">
        <v>1371</v>
      </c>
      <c r="AQ947" t="s">
        <v>74</v>
      </c>
      <c r="AR947" t="s">
        <v>1372</v>
      </c>
      <c r="AS947" t="s">
        <v>1373</v>
      </c>
      <c r="AT947" t="s">
        <v>10878</v>
      </c>
      <c r="AU947">
        <v>2021</v>
      </c>
      <c r="AV947">
        <v>11</v>
      </c>
      <c r="AW947">
        <v>5</v>
      </c>
      <c r="AX947" t="s">
        <v>74</v>
      </c>
      <c r="AY947" t="s">
        <v>74</v>
      </c>
      <c r="AZ947" t="s">
        <v>74</v>
      </c>
      <c r="BA947" t="s">
        <v>74</v>
      </c>
      <c r="BB947" t="s">
        <v>74</v>
      </c>
      <c r="BC947" t="s">
        <v>74</v>
      </c>
      <c r="BD947">
        <v>507</v>
      </c>
      <c r="BE947" t="s">
        <v>18251</v>
      </c>
      <c r="BF947" t="str">
        <f>HYPERLINK("http://dx.doi.org/10.3390/min11050507","http://dx.doi.org/10.3390/min11050507")</f>
        <v>http://dx.doi.org/10.3390/min11050507</v>
      </c>
      <c r="BG947" t="s">
        <v>74</v>
      </c>
      <c r="BH947" t="s">
        <v>74</v>
      </c>
      <c r="BI947">
        <v>20</v>
      </c>
      <c r="BJ947" t="s">
        <v>1375</v>
      </c>
      <c r="BK947" t="s">
        <v>128</v>
      </c>
      <c r="BL947" t="s">
        <v>1375</v>
      </c>
      <c r="BM947" t="s">
        <v>18252</v>
      </c>
      <c r="BN947" t="s">
        <v>74</v>
      </c>
      <c r="BO947" t="s">
        <v>638</v>
      </c>
      <c r="BP947" t="s">
        <v>74</v>
      </c>
      <c r="BQ947" t="s">
        <v>74</v>
      </c>
      <c r="BR947" t="s">
        <v>102</v>
      </c>
      <c r="BS947" t="s">
        <v>18253</v>
      </c>
      <c r="BT947" t="str">
        <f>HYPERLINK("https%3A%2F%2Fwww.webofscience.com%2Fwos%2Fwoscc%2Ffull-record%2FWOS:000662438500001","View Full Record in Web of Science")</f>
        <v>View Full Record in Web of Science</v>
      </c>
    </row>
    <row r="948" spans="1:72" x14ac:dyDescent="0.15">
      <c r="A948" t="s">
        <v>72</v>
      </c>
      <c r="B948" t="s">
        <v>18254</v>
      </c>
      <c r="C948" t="s">
        <v>74</v>
      </c>
      <c r="D948" t="s">
        <v>74</v>
      </c>
      <c r="E948" t="s">
        <v>74</v>
      </c>
      <c r="F948" t="s">
        <v>18255</v>
      </c>
      <c r="G948" t="s">
        <v>74</v>
      </c>
      <c r="H948" t="s">
        <v>74</v>
      </c>
      <c r="I948" t="s">
        <v>18256</v>
      </c>
      <c r="J948" t="s">
        <v>1486</v>
      </c>
      <c r="K948" t="s">
        <v>74</v>
      </c>
      <c r="L948" t="s">
        <v>74</v>
      </c>
      <c r="M948" t="s">
        <v>78</v>
      </c>
      <c r="N948" t="s">
        <v>79</v>
      </c>
      <c r="O948" t="s">
        <v>74</v>
      </c>
      <c r="P948" t="s">
        <v>74</v>
      </c>
      <c r="Q948" t="s">
        <v>74</v>
      </c>
      <c r="R948" t="s">
        <v>74</v>
      </c>
      <c r="S948" t="s">
        <v>74</v>
      </c>
      <c r="T948" t="s">
        <v>18257</v>
      </c>
      <c r="U948" t="s">
        <v>18258</v>
      </c>
      <c r="V948" t="s">
        <v>18259</v>
      </c>
      <c r="W948" t="s">
        <v>18260</v>
      </c>
      <c r="X948" t="s">
        <v>18261</v>
      </c>
      <c r="Y948" t="s">
        <v>18262</v>
      </c>
      <c r="Z948" t="s">
        <v>18263</v>
      </c>
      <c r="AA948" t="s">
        <v>18264</v>
      </c>
      <c r="AB948" t="s">
        <v>18265</v>
      </c>
      <c r="AC948" t="s">
        <v>18266</v>
      </c>
      <c r="AD948" t="s">
        <v>18267</v>
      </c>
      <c r="AE948" t="s">
        <v>18268</v>
      </c>
      <c r="AF948" t="s">
        <v>74</v>
      </c>
      <c r="AG948">
        <v>89</v>
      </c>
      <c r="AH948">
        <v>10</v>
      </c>
      <c r="AI948">
        <v>11</v>
      </c>
      <c r="AJ948">
        <v>2</v>
      </c>
      <c r="AK948">
        <v>18</v>
      </c>
      <c r="AL948" t="s">
        <v>1101</v>
      </c>
      <c r="AM948" t="s">
        <v>1102</v>
      </c>
      <c r="AN948" t="s">
        <v>1103</v>
      </c>
      <c r="AO948" t="s">
        <v>74</v>
      </c>
      <c r="AP948" t="s">
        <v>1496</v>
      </c>
      <c r="AQ948" t="s">
        <v>74</v>
      </c>
      <c r="AR948" t="s">
        <v>1486</v>
      </c>
      <c r="AS948" t="s">
        <v>1497</v>
      </c>
      <c r="AT948" t="s">
        <v>10878</v>
      </c>
      <c r="AU948">
        <v>2021</v>
      </c>
      <c r="AV948">
        <v>9</v>
      </c>
      <c r="AW948">
        <v>5</v>
      </c>
      <c r="AX948" t="s">
        <v>74</v>
      </c>
      <c r="AY948" t="s">
        <v>74</v>
      </c>
      <c r="AZ948" t="s">
        <v>74</v>
      </c>
      <c r="BA948" t="s">
        <v>74</v>
      </c>
      <c r="BB948" t="s">
        <v>74</v>
      </c>
      <c r="BC948" t="s">
        <v>74</v>
      </c>
      <c r="BD948">
        <v>987</v>
      </c>
      <c r="BE948" t="s">
        <v>18269</v>
      </c>
      <c r="BF948" t="str">
        <f>HYPERLINK("http://dx.doi.org/10.3390/microorganisms9050987","http://dx.doi.org/10.3390/microorganisms9050987")</f>
        <v>http://dx.doi.org/10.3390/microorganisms9050987</v>
      </c>
      <c r="BG948" t="s">
        <v>74</v>
      </c>
      <c r="BH948" t="s">
        <v>74</v>
      </c>
      <c r="BI948">
        <v>21</v>
      </c>
      <c r="BJ948" t="s">
        <v>1499</v>
      </c>
      <c r="BK948" t="s">
        <v>128</v>
      </c>
      <c r="BL948" t="s">
        <v>1499</v>
      </c>
      <c r="BM948" t="s">
        <v>18270</v>
      </c>
      <c r="BN948">
        <v>34063289</v>
      </c>
      <c r="BO948" t="s">
        <v>131</v>
      </c>
      <c r="BP948" t="s">
        <v>74</v>
      </c>
      <c r="BQ948" t="s">
        <v>74</v>
      </c>
      <c r="BR948" t="s">
        <v>102</v>
      </c>
      <c r="BS948" t="s">
        <v>18271</v>
      </c>
      <c r="BT948" t="str">
        <f>HYPERLINK("https%3A%2F%2Fwww.webofscience.com%2Fwos%2Fwoscc%2Ffull-record%2FWOS:000662440300001","View Full Record in Web of Science")</f>
        <v>View Full Record in Web of Science</v>
      </c>
    </row>
    <row r="949" spans="1:72" x14ac:dyDescent="0.15">
      <c r="A949" t="s">
        <v>72</v>
      </c>
      <c r="B949" t="s">
        <v>18272</v>
      </c>
      <c r="C949" t="s">
        <v>74</v>
      </c>
      <c r="D949" t="s">
        <v>74</v>
      </c>
      <c r="E949" t="s">
        <v>74</v>
      </c>
      <c r="F949" t="s">
        <v>18273</v>
      </c>
      <c r="G949" t="s">
        <v>74</v>
      </c>
      <c r="H949" t="s">
        <v>74</v>
      </c>
      <c r="I949" t="s">
        <v>18274</v>
      </c>
      <c r="J949" t="s">
        <v>1486</v>
      </c>
      <c r="K949" t="s">
        <v>74</v>
      </c>
      <c r="L949" t="s">
        <v>74</v>
      </c>
      <c r="M949" t="s">
        <v>78</v>
      </c>
      <c r="N949" t="s">
        <v>79</v>
      </c>
      <c r="O949" t="s">
        <v>74</v>
      </c>
      <c r="P949" t="s">
        <v>74</v>
      </c>
      <c r="Q949" t="s">
        <v>74</v>
      </c>
      <c r="R949" t="s">
        <v>74</v>
      </c>
      <c r="S949" t="s">
        <v>74</v>
      </c>
      <c r="T949" t="s">
        <v>18275</v>
      </c>
      <c r="U949" t="s">
        <v>18276</v>
      </c>
      <c r="V949" t="s">
        <v>18277</v>
      </c>
      <c r="W949" t="s">
        <v>18278</v>
      </c>
      <c r="X949" t="s">
        <v>18279</v>
      </c>
      <c r="Y949" t="s">
        <v>18280</v>
      </c>
      <c r="Z949" t="s">
        <v>18281</v>
      </c>
      <c r="AA949" t="s">
        <v>18282</v>
      </c>
      <c r="AB949" t="s">
        <v>18283</v>
      </c>
      <c r="AC949" t="s">
        <v>74</v>
      </c>
      <c r="AD949" t="s">
        <v>74</v>
      </c>
      <c r="AE949" t="s">
        <v>74</v>
      </c>
      <c r="AF949" t="s">
        <v>74</v>
      </c>
      <c r="AG949">
        <v>50</v>
      </c>
      <c r="AH949">
        <v>2</v>
      </c>
      <c r="AI949">
        <v>2</v>
      </c>
      <c r="AJ949">
        <v>1</v>
      </c>
      <c r="AK949">
        <v>12</v>
      </c>
      <c r="AL949" t="s">
        <v>1101</v>
      </c>
      <c r="AM949" t="s">
        <v>1102</v>
      </c>
      <c r="AN949" t="s">
        <v>1103</v>
      </c>
      <c r="AO949" t="s">
        <v>74</v>
      </c>
      <c r="AP949" t="s">
        <v>1496</v>
      </c>
      <c r="AQ949" t="s">
        <v>74</v>
      </c>
      <c r="AR949" t="s">
        <v>1486</v>
      </c>
      <c r="AS949" t="s">
        <v>1497</v>
      </c>
      <c r="AT949" t="s">
        <v>10878</v>
      </c>
      <c r="AU949">
        <v>2021</v>
      </c>
      <c r="AV949">
        <v>9</v>
      </c>
      <c r="AW949">
        <v>5</v>
      </c>
      <c r="AX949" t="s">
        <v>74</v>
      </c>
      <c r="AY949" t="s">
        <v>74</v>
      </c>
      <c r="AZ949" t="s">
        <v>74</v>
      </c>
      <c r="BA949" t="s">
        <v>74</v>
      </c>
      <c r="BB949" t="s">
        <v>74</v>
      </c>
      <c r="BC949" t="s">
        <v>74</v>
      </c>
      <c r="BD949">
        <v>967</v>
      </c>
      <c r="BE949" t="s">
        <v>18284</v>
      </c>
      <c r="BF949" t="str">
        <f>HYPERLINK("http://dx.doi.org/10.3390/microorganisms9050967","http://dx.doi.org/10.3390/microorganisms9050967")</f>
        <v>http://dx.doi.org/10.3390/microorganisms9050967</v>
      </c>
      <c r="BG949" t="s">
        <v>74</v>
      </c>
      <c r="BH949" t="s">
        <v>74</v>
      </c>
      <c r="BI949">
        <v>17</v>
      </c>
      <c r="BJ949" t="s">
        <v>1499</v>
      </c>
      <c r="BK949" t="s">
        <v>128</v>
      </c>
      <c r="BL949" t="s">
        <v>1499</v>
      </c>
      <c r="BM949" t="s">
        <v>18285</v>
      </c>
      <c r="BN949">
        <v>33947171</v>
      </c>
      <c r="BO949" t="s">
        <v>311</v>
      </c>
      <c r="BP949" t="s">
        <v>74</v>
      </c>
      <c r="BQ949" t="s">
        <v>74</v>
      </c>
      <c r="BR949" t="s">
        <v>102</v>
      </c>
      <c r="BS949" t="s">
        <v>18286</v>
      </c>
      <c r="BT949" t="str">
        <f>HYPERLINK("https%3A%2F%2Fwww.webofscience.com%2Fwos%2Fwoscc%2Ffull-record%2FWOS:000662417600001","View Full Record in Web of Science")</f>
        <v>View Full Record in Web of Science</v>
      </c>
    </row>
    <row r="950" spans="1:72" x14ac:dyDescent="0.15">
      <c r="A950" t="s">
        <v>72</v>
      </c>
      <c r="B950" t="s">
        <v>18287</v>
      </c>
      <c r="C950" t="s">
        <v>74</v>
      </c>
      <c r="D950" t="s">
        <v>74</v>
      </c>
      <c r="E950" t="s">
        <v>74</v>
      </c>
      <c r="F950" t="s">
        <v>18288</v>
      </c>
      <c r="G950" t="s">
        <v>74</v>
      </c>
      <c r="H950" t="s">
        <v>74</v>
      </c>
      <c r="I950" t="s">
        <v>18289</v>
      </c>
      <c r="J950" t="s">
        <v>1404</v>
      </c>
      <c r="K950" t="s">
        <v>74</v>
      </c>
      <c r="L950" t="s">
        <v>74</v>
      </c>
      <c r="M950" t="s">
        <v>78</v>
      </c>
      <c r="N950" t="s">
        <v>79</v>
      </c>
      <c r="O950" t="s">
        <v>74</v>
      </c>
      <c r="P950" t="s">
        <v>74</v>
      </c>
      <c r="Q950" t="s">
        <v>74</v>
      </c>
      <c r="R950" t="s">
        <v>74</v>
      </c>
      <c r="S950" t="s">
        <v>74</v>
      </c>
      <c r="T950" t="s">
        <v>18290</v>
      </c>
      <c r="U950" t="s">
        <v>18291</v>
      </c>
      <c r="V950" t="s">
        <v>18292</v>
      </c>
      <c r="W950" t="s">
        <v>18293</v>
      </c>
      <c r="X950" t="s">
        <v>18294</v>
      </c>
      <c r="Y950" t="s">
        <v>18295</v>
      </c>
      <c r="Z950" t="s">
        <v>18296</v>
      </c>
      <c r="AA950" t="s">
        <v>18297</v>
      </c>
      <c r="AB950" t="s">
        <v>18298</v>
      </c>
      <c r="AC950" t="s">
        <v>18299</v>
      </c>
      <c r="AD950" t="s">
        <v>18300</v>
      </c>
      <c r="AE950" t="s">
        <v>18301</v>
      </c>
      <c r="AF950" t="s">
        <v>74</v>
      </c>
      <c r="AG950">
        <v>63</v>
      </c>
      <c r="AH950">
        <v>4</v>
      </c>
      <c r="AI950">
        <v>4</v>
      </c>
      <c r="AJ950">
        <v>1</v>
      </c>
      <c r="AK950">
        <v>18</v>
      </c>
      <c r="AL950" t="s">
        <v>1101</v>
      </c>
      <c r="AM950" t="s">
        <v>1102</v>
      </c>
      <c r="AN950" t="s">
        <v>1103</v>
      </c>
      <c r="AO950" t="s">
        <v>74</v>
      </c>
      <c r="AP950" t="s">
        <v>1417</v>
      </c>
      <c r="AQ950" t="s">
        <v>74</v>
      </c>
      <c r="AR950" t="s">
        <v>1418</v>
      </c>
      <c r="AS950" t="s">
        <v>1419</v>
      </c>
      <c r="AT950" t="s">
        <v>10878</v>
      </c>
      <c r="AU950">
        <v>2021</v>
      </c>
      <c r="AV950">
        <v>13</v>
      </c>
      <c r="AW950">
        <v>10</v>
      </c>
      <c r="AX950" t="s">
        <v>74</v>
      </c>
      <c r="AY950" t="s">
        <v>74</v>
      </c>
      <c r="AZ950" t="s">
        <v>74</v>
      </c>
      <c r="BA950" t="s">
        <v>74</v>
      </c>
      <c r="BB950" t="s">
        <v>74</v>
      </c>
      <c r="BC950" t="s">
        <v>74</v>
      </c>
      <c r="BD950">
        <v>2004</v>
      </c>
      <c r="BE950" t="s">
        <v>18302</v>
      </c>
      <c r="BF950" t="str">
        <f>HYPERLINK("http://dx.doi.org/10.3390/rs13102004","http://dx.doi.org/10.3390/rs13102004")</f>
        <v>http://dx.doi.org/10.3390/rs13102004</v>
      </c>
      <c r="BG950" t="s">
        <v>74</v>
      </c>
      <c r="BH950" t="s">
        <v>74</v>
      </c>
      <c r="BI950">
        <v>18</v>
      </c>
      <c r="BJ950" t="s">
        <v>1421</v>
      </c>
      <c r="BK950" t="s">
        <v>128</v>
      </c>
      <c r="BL950" t="s">
        <v>1422</v>
      </c>
      <c r="BM950" t="s">
        <v>18303</v>
      </c>
      <c r="BN950" t="s">
        <v>74</v>
      </c>
      <c r="BO950" t="s">
        <v>638</v>
      </c>
      <c r="BP950" t="s">
        <v>74</v>
      </c>
      <c r="BQ950" t="s">
        <v>74</v>
      </c>
      <c r="BR950" t="s">
        <v>102</v>
      </c>
      <c r="BS950" t="s">
        <v>18304</v>
      </c>
      <c r="BT950" t="str">
        <f>HYPERLINK("https%3A%2F%2Fwww.webofscience.com%2Fwos%2Fwoscc%2Ffull-record%2FWOS:000662548800001","View Full Record in Web of Science")</f>
        <v>View Full Record in Web of Science</v>
      </c>
    </row>
    <row r="951" spans="1:72" x14ac:dyDescent="0.15">
      <c r="A951" t="s">
        <v>72</v>
      </c>
      <c r="B951" t="s">
        <v>18305</v>
      </c>
      <c r="C951" t="s">
        <v>74</v>
      </c>
      <c r="D951" t="s">
        <v>74</v>
      </c>
      <c r="E951" t="s">
        <v>74</v>
      </c>
      <c r="F951" t="s">
        <v>18306</v>
      </c>
      <c r="G951" t="s">
        <v>74</v>
      </c>
      <c r="H951" t="s">
        <v>74</v>
      </c>
      <c r="I951" t="s">
        <v>18307</v>
      </c>
      <c r="J951" t="s">
        <v>6970</v>
      </c>
      <c r="K951" t="s">
        <v>74</v>
      </c>
      <c r="L951" t="s">
        <v>74</v>
      </c>
      <c r="M951" t="s">
        <v>78</v>
      </c>
      <c r="N951" t="s">
        <v>700</v>
      </c>
      <c r="O951" t="s">
        <v>74</v>
      </c>
      <c r="P951" t="s">
        <v>74</v>
      </c>
      <c r="Q951" t="s">
        <v>74</v>
      </c>
      <c r="R951" t="s">
        <v>74</v>
      </c>
      <c r="S951" t="s">
        <v>74</v>
      </c>
      <c r="T951" t="s">
        <v>18308</v>
      </c>
      <c r="U951" t="s">
        <v>18309</v>
      </c>
      <c r="V951" t="s">
        <v>18310</v>
      </c>
      <c r="W951" t="s">
        <v>18311</v>
      </c>
      <c r="X951" t="s">
        <v>18312</v>
      </c>
      <c r="Y951" t="s">
        <v>18313</v>
      </c>
      <c r="Z951" t="s">
        <v>18314</v>
      </c>
      <c r="AA951" t="s">
        <v>18315</v>
      </c>
      <c r="AB951" t="s">
        <v>18316</v>
      </c>
      <c r="AC951" t="s">
        <v>18317</v>
      </c>
      <c r="AD951" t="s">
        <v>18318</v>
      </c>
      <c r="AE951" t="s">
        <v>18319</v>
      </c>
      <c r="AF951" t="s">
        <v>74</v>
      </c>
      <c r="AG951">
        <v>147</v>
      </c>
      <c r="AH951">
        <v>2</v>
      </c>
      <c r="AI951">
        <v>2</v>
      </c>
      <c r="AJ951">
        <v>6</v>
      </c>
      <c r="AK951">
        <v>24</v>
      </c>
      <c r="AL951" t="s">
        <v>6983</v>
      </c>
      <c r="AM951" t="s">
        <v>2239</v>
      </c>
      <c r="AN951" t="s">
        <v>6984</v>
      </c>
      <c r="AO951" t="s">
        <v>6985</v>
      </c>
      <c r="AP951" t="s">
        <v>6986</v>
      </c>
      <c r="AQ951" t="s">
        <v>74</v>
      </c>
      <c r="AR951" t="s">
        <v>6987</v>
      </c>
      <c r="AS951" t="s">
        <v>6988</v>
      </c>
      <c r="AT951" t="s">
        <v>10878</v>
      </c>
      <c r="AU951">
        <v>2021</v>
      </c>
      <c r="AV951">
        <v>224</v>
      </c>
      <c r="AW951">
        <v>10</v>
      </c>
      <c r="AX951" t="s">
        <v>74</v>
      </c>
      <c r="AY951" t="s">
        <v>74</v>
      </c>
      <c r="AZ951" t="s">
        <v>74</v>
      </c>
      <c r="BA951" t="s">
        <v>74</v>
      </c>
      <c r="BB951" t="s">
        <v>74</v>
      </c>
      <c r="BC951" t="s">
        <v>74</v>
      </c>
      <c r="BD951" t="s">
        <v>18320</v>
      </c>
      <c r="BE951" t="s">
        <v>18321</v>
      </c>
      <c r="BF951" t="str">
        <f>HYPERLINK("http://dx.doi.org/10.1242/jeb.220129","http://dx.doi.org/10.1242/jeb.220129")</f>
        <v>http://dx.doi.org/10.1242/jeb.220129</v>
      </c>
      <c r="BG951" t="s">
        <v>74</v>
      </c>
      <c r="BH951" t="s">
        <v>74</v>
      </c>
      <c r="BI951">
        <v>14</v>
      </c>
      <c r="BJ951" t="s">
        <v>511</v>
      </c>
      <c r="BK951" t="s">
        <v>128</v>
      </c>
      <c r="BL951" t="s">
        <v>512</v>
      </c>
      <c r="BM951" t="s">
        <v>18322</v>
      </c>
      <c r="BN951">
        <v>34042975</v>
      </c>
      <c r="BO951" t="s">
        <v>7579</v>
      </c>
      <c r="BP951" t="s">
        <v>74</v>
      </c>
      <c r="BQ951" t="s">
        <v>74</v>
      </c>
      <c r="BR951" t="s">
        <v>102</v>
      </c>
      <c r="BS951" t="s">
        <v>18323</v>
      </c>
      <c r="BT951" t="str">
        <f>HYPERLINK("https%3A%2F%2Fwww.webofscience.com%2Fwos%2Fwoscc%2Ffull-record%2FWOS:000660873700001","View Full Record in Web of Science")</f>
        <v>View Full Record in Web of Science</v>
      </c>
    </row>
    <row r="952" spans="1:72" x14ac:dyDescent="0.15">
      <c r="A952" t="s">
        <v>72</v>
      </c>
      <c r="B952" t="s">
        <v>18324</v>
      </c>
      <c r="C952" t="s">
        <v>74</v>
      </c>
      <c r="D952" t="s">
        <v>74</v>
      </c>
      <c r="E952" t="s">
        <v>74</v>
      </c>
      <c r="F952" t="s">
        <v>18325</v>
      </c>
      <c r="G952" t="s">
        <v>74</v>
      </c>
      <c r="H952" t="s">
        <v>74</v>
      </c>
      <c r="I952" t="s">
        <v>18326</v>
      </c>
      <c r="J952" t="s">
        <v>1115</v>
      </c>
      <c r="K952" t="s">
        <v>74</v>
      </c>
      <c r="L952" t="s">
        <v>74</v>
      </c>
      <c r="M952" t="s">
        <v>78</v>
      </c>
      <c r="N952" t="s">
        <v>79</v>
      </c>
      <c r="O952" t="s">
        <v>74</v>
      </c>
      <c r="P952" t="s">
        <v>74</v>
      </c>
      <c r="Q952" t="s">
        <v>74</v>
      </c>
      <c r="R952" t="s">
        <v>74</v>
      </c>
      <c r="S952" t="s">
        <v>74</v>
      </c>
      <c r="T952" t="s">
        <v>18327</v>
      </c>
      <c r="U952" t="s">
        <v>18328</v>
      </c>
      <c r="V952" t="s">
        <v>18329</v>
      </c>
      <c r="W952" t="s">
        <v>18330</v>
      </c>
      <c r="X952" t="s">
        <v>18331</v>
      </c>
      <c r="Y952" t="s">
        <v>18332</v>
      </c>
      <c r="Z952" t="s">
        <v>18333</v>
      </c>
      <c r="AA952" t="s">
        <v>18334</v>
      </c>
      <c r="AB952" t="s">
        <v>18335</v>
      </c>
      <c r="AC952" t="s">
        <v>18336</v>
      </c>
      <c r="AD952" t="s">
        <v>18337</v>
      </c>
      <c r="AE952" t="s">
        <v>18338</v>
      </c>
      <c r="AF952" t="s">
        <v>74</v>
      </c>
      <c r="AG952">
        <v>103</v>
      </c>
      <c r="AH952">
        <v>7</v>
      </c>
      <c r="AI952">
        <v>7</v>
      </c>
      <c r="AJ952">
        <v>3</v>
      </c>
      <c r="AK952">
        <v>9</v>
      </c>
      <c r="AL952" t="s">
        <v>864</v>
      </c>
      <c r="AM952" t="s">
        <v>865</v>
      </c>
      <c r="AN952" t="s">
        <v>866</v>
      </c>
      <c r="AO952" t="s">
        <v>1128</v>
      </c>
      <c r="AP952" t="s">
        <v>1129</v>
      </c>
      <c r="AQ952" t="s">
        <v>74</v>
      </c>
      <c r="AR952" t="s">
        <v>1130</v>
      </c>
      <c r="AS952" t="s">
        <v>1131</v>
      </c>
      <c r="AT952" t="s">
        <v>10878</v>
      </c>
      <c r="AU952">
        <v>2021</v>
      </c>
      <c r="AV952">
        <v>126</v>
      </c>
      <c r="AW952">
        <v>5</v>
      </c>
      <c r="AX952" t="s">
        <v>74</v>
      </c>
      <c r="AY952" t="s">
        <v>74</v>
      </c>
      <c r="AZ952" t="s">
        <v>74</v>
      </c>
      <c r="BA952" t="s">
        <v>74</v>
      </c>
      <c r="BB952" t="s">
        <v>74</v>
      </c>
      <c r="BC952" t="s">
        <v>74</v>
      </c>
      <c r="BD952" t="s">
        <v>18339</v>
      </c>
      <c r="BE952" t="s">
        <v>18340</v>
      </c>
      <c r="BF952" t="str">
        <f>HYPERLINK("http://dx.doi.org/10.1029/2020JC017146","http://dx.doi.org/10.1029/2020JC017146")</f>
        <v>http://dx.doi.org/10.1029/2020JC017146</v>
      </c>
      <c r="BG952" t="s">
        <v>74</v>
      </c>
      <c r="BH952" t="s">
        <v>74</v>
      </c>
      <c r="BI952">
        <v>25</v>
      </c>
      <c r="BJ952" t="s">
        <v>1134</v>
      </c>
      <c r="BK952" t="s">
        <v>128</v>
      </c>
      <c r="BL952" t="s">
        <v>1134</v>
      </c>
      <c r="BM952" t="s">
        <v>18341</v>
      </c>
      <c r="BN952" t="s">
        <v>74</v>
      </c>
      <c r="BO952" t="s">
        <v>238</v>
      </c>
      <c r="BP952" t="s">
        <v>74</v>
      </c>
      <c r="BQ952" t="s">
        <v>74</v>
      </c>
      <c r="BR952" t="s">
        <v>102</v>
      </c>
      <c r="BS952" t="s">
        <v>18342</v>
      </c>
      <c r="BT952" t="str">
        <f>HYPERLINK("https%3A%2F%2Fwww.webofscience.com%2Fwos%2Fwoscc%2Ffull-record%2FWOS:000654462400001","View Full Record in Web of Science")</f>
        <v>View Full Record in Web of Science</v>
      </c>
    </row>
    <row r="953" spans="1:72" x14ac:dyDescent="0.15">
      <c r="A953" t="s">
        <v>72</v>
      </c>
      <c r="B953" t="s">
        <v>18343</v>
      </c>
      <c r="C953" t="s">
        <v>74</v>
      </c>
      <c r="D953" t="s">
        <v>74</v>
      </c>
      <c r="E953" t="s">
        <v>74</v>
      </c>
      <c r="F953" t="s">
        <v>18344</v>
      </c>
      <c r="G953" t="s">
        <v>74</v>
      </c>
      <c r="H953" t="s">
        <v>74</v>
      </c>
      <c r="I953" t="s">
        <v>18345</v>
      </c>
      <c r="J953" t="s">
        <v>1115</v>
      </c>
      <c r="K953" t="s">
        <v>74</v>
      </c>
      <c r="L953" t="s">
        <v>74</v>
      </c>
      <c r="M953" t="s">
        <v>78</v>
      </c>
      <c r="N953" t="s">
        <v>79</v>
      </c>
      <c r="O953" t="s">
        <v>74</v>
      </c>
      <c r="P953" t="s">
        <v>74</v>
      </c>
      <c r="Q953" t="s">
        <v>74</v>
      </c>
      <c r="R953" t="s">
        <v>74</v>
      </c>
      <c r="S953" t="s">
        <v>74</v>
      </c>
      <c r="T953" t="s">
        <v>74</v>
      </c>
      <c r="U953" t="s">
        <v>18346</v>
      </c>
      <c r="V953" t="s">
        <v>18347</v>
      </c>
      <c r="W953" t="s">
        <v>18348</v>
      </c>
      <c r="X953" t="s">
        <v>18349</v>
      </c>
      <c r="Y953" t="s">
        <v>18350</v>
      </c>
      <c r="Z953" t="s">
        <v>18351</v>
      </c>
      <c r="AA953" t="s">
        <v>18352</v>
      </c>
      <c r="AB953" t="s">
        <v>18353</v>
      </c>
      <c r="AC953" t="s">
        <v>18354</v>
      </c>
      <c r="AD953" t="s">
        <v>18355</v>
      </c>
      <c r="AE953" t="s">
        <v>18356</v>
      </c>
      <c r="AF953" t="s">
        <v>74</v>
      </c>
      <c r="AG953">
        <v>74</v>
      </c>
      <c r="AH953">
        <v>9</v>
      </c>
      <c r="AI953">
        <v>9</v>
      </c>
      <c r="AJ953">
        <v>1</v>
      </c>
      <c r="AK953">
        <v>11</v>
      </c>
      <c r="AL953" t="s">
        <v>864</v>
      </c>
      <c r="AM953" t="s">
        <v>865</v>
      </c>
      <c r="AN953" t="s">
        <v>866</v>
      </c>
      <c r="AO953" t="s">
        <v>1128</v>
      </c>
      <c r="AP953" t="s">
        <v>1129</v>
      </c>
      <c r="AQ953" t="s">
        <v>74</v>
      </c>
      <c r="AR953" t="s">
        <v>1130</v>
      </c>
      <c r="AS953" t="s">
        <v>1131</v>
      </c>
      <c r="AT953" t="s">
        <v>10878</v>
      </c>
      <c r="AU953">
        <v>2021</v>
      </c>
      <c r="AV953">
        <v>126</v>
      </c>
      <c r="AW953">
        <v>5</v>
      </c>
      <c r="AX953" t="s">
        <v>74</v>
      </c>
      <c r="AY953" t="s">
        <v>74</v>
      </c>
      <c r="AZ953" t="s">
        <v>74</v>
      </c>
      <c r="BA953" t="s">
        <v>74</v>
      </c>
      <c r="BB953" t="s">
        <v>74</v>
      </c>
      <c r="BC953" t="s">
        <v>74</v>
      </c>
      <c r="BD953" t="s">
        <v>18357</v>
      </c>
      <c r="BE953" t="s">
        <v>18358</v>
      </c>
      <c r="BF953" t="str">
        <f>HYPERLINK("http://dx.doi.org/10.1029/2020JC016871","http://dx.doi.org/10.1029/2020JC016871")</f>
        <v>http://dx.doi.org/10.1029/2020JC016871</v>
      </c>
      <c r="BG953" t="s">
        <v>74</v>
      </c>
      <c r="BH953" t="s">
        <v>74</v>
      </c>
      <c r="BI953">
        <v>25</v>
      </c>
      <c r="BJ953" t="s">
        <v>1134</v>
      </c>
      <c r="BK953" t="s">
        <v>128</v>
      </c>
      <c r="BL953" t="s">
        <v>1134</v>
      </c>
      <c r="BM953" t="s">
        <v>18341</v>
      </c>
      <c r="BN953" t="s">
        <v>74</v>
      </c>
      <c r="BO953" t="s">
        <v>8669</v>
      </c>
      <c r="BP953" t="s">
        <v>74</v>
      </c>
      <c r="BQ953" t="s">
        <v>74</v>
      </c>
      <c r="BR953" t="s">
        <v>102</v>
      </c>
      <c r="BS953" t="s">
        <v>18359</v>
      </c>
      <c r="BT953" t="str">
        <f>HYPERLINK("https%3A%2F%2Fwww.webofscience.com%2Fwos%2Fwoscc%2Ffull-record%2FWOS:000654462400063","View Full Record in Web of Science")</f>
        <v>View Full Record in Web of Science</v>
      </c>
    </row>
    <row r="954" spans="1:72" x14ac:dyDescent="0.15">
      <c r="A954" t="s">
        <v>72</v>
      </c>
      <c r="B954" t="s">
        <v>18360</v>
      </c>
      <c r="C954" t="s">
        <v>74</v>
      </c>
      <c r="D954" t="s">
        <v>74</v>
      </c>
      <c r="E954" t="s">
        <v>74</v>
      </c>
      <c r="F954" t="s">
        <v>18361</v>
      </c>
      <c r="G954" t="s">
        <v>74</v>
      </c>
      <c r="H954" t="s">
        <v>74</v>
      </c>
      <c r="I954" t="s">
        <v>18362</v>
      </c>
      <c r="J954" t="s">
        <v>1115</v>
      </c>
      <c r="K954" t="s">
        <v>74</v>
      </c>
      <c r="L954" t="s">
        <v>74</v>
      </c>
      <c r="M954" t="s">
        <v>78</v>
      </c>
      <c r="N954" t="s">
        <v>79</v>
      </c>
      <c r="O954" t="s">
        <v>74</v>
      </c>
      <c r="P954" t="s">
        <v>74</v>
      </c>
      <c r="Q954" t="s">
        <v>74</v>
      </c>
      <c r="R954" t="s">
        <v>74</v>
      </c>
      <c r="S954" t="s">
        <v>74</v>
      </c>
      <c r="T954" t="s">
        <v>18363</v>
      </c>
      <c r="U954" t="s">
        <v>18364</v>
      </c>
      <c r="V954" t="s">
        <v>18365</v>
      </c>
      <c r="W954" t="s">
        <v>18366</v>
      </c>
      <c r="X954" t="s">
        <v>18367</v>
      </c>
      <c r="Y954" t="s">
        <v>18368</v>
      </c>
      <c r="Z954" t="s">
        <v>18369</v>
      </c>
      <c r="AA954" t="s">
        <v>74</v>
      </c>
      <c r="AB954" t="s">
        <v>18370</v>
      </c>
      <c r="AC954" t="s">
        <v>18371</v>
      </c>
      <c r="AD954" t="s">
        <v>18372</v>
      </c>
      <c r="AE954" t="s">
        <v>18373</v>
      </c>
      <c r="AF954" t="s">
        <v>74</v>
      </c>
      <c r="AG954">
        <v>68</v>
      </c>
      <c r="AH954">
        <v>5</v>
      </c>
      <c r="AI954">
        <v>5</v>
      </c>
      <c r="AJ954">
        <v>1</v>
      </c>
      <c r="AK954">
        <v>8</v>
      </c>
      <c r="AL954" t="s">
        <v>864</v>
      </c>
      <c r="AM954" t="s">
        <v>865</v>
      </c>
      <c r="AN954" t="s">
        <v>866</v>
      </c>
      <c r="AO954" t="s">
        <v>1128</v>
      </c>
      <c r="AP954" t="s">
        <v>1129</v>
      </c>
      <c r="AQ954" t="s">
        <v>74</v>
      </c>
      <c r="AR954" t="s">
        <v>1130</v>
      </c>
      <c r="AS954" t="s">
        <v>1131</v>
      </c>
      <c r="AT954" t="s">
        <v>10878</v>
      </c>
      <c r="AU954">
        <v>2021</v>
      </c>
      <c r="AV954">
        <v>126</v>
      </c>
      <c r="AW954">
        <v>5</v>
      </c>
      <c r="AX954" t="s">
        <v>74</v>
      </c>
      <c r="AY954" t="s">
        <v>74</v>
      </c>
      <c r="AZ954" t="s">
        <v>74</v>
      </c>
      <c r="BA954" t="s">
        <v>74</v>
      </c>
      <c r="BB954" t="s">
        <v>74</v>
      </c>
      <c r="BC954" t="s">
        <v>74</v>
      </c>
      <c r="BD954" t="s">
        <v>18374</v>
      </c>
      <c r="BE954" t="s">
        <v>18375</v>
      </c>
      <c r="BF954" t="str">
        <f>HYPERLINK("http://dx.doi.org/10.1029/2020JC016957","http://dx.doi.org/10.1029/2020JC016957")</f>
        <v>http://dx.doi.org/10.1029/2020JC016957</v>
      </c>
      <c r="BG954" t="s">
        <v>74</v>
      </c>
      <c r="BH954" t="s">
        <v>74</v>
      </c>
      <c r="BI954">
        <v>20</v>
      </c>
      <c r="BJ954" t="s">
        <v>1134</v>
      </c>
      <c r="BK954" t="s">
        <v>128</v>
      </c>
      <c r="BL954" t="s">
        <v>1134</v>
      </c>
      <c r="BM954" t="s">
        <v>18341</v>
      </c>
      <c r="BN954" t="s">
        <v>74</v>
      </c>
      <c r="BO954" t="s">
        <v>1845</v>
      </c>
      <c r="BP954" t="s">
        <v>74</v>
      </c>
      <c r="BQ954" t="s">
        <v>74</v>
      </c>
      <c r="BR954" t="s">
        <v>102</v>
      </c>
      <c r="BS954" t="s">
        <v>18376</v>
      </c>
      <c r="BT954" t="str">
        <f>HYPERLINK("https%3A%2F%2Fwww.webofscience.com%2Fwos%2Fwoscc%2Ffull-record%2FWOS:000654462400008","View Full Record in Web of Science")</f>
        <v>View Full Record in Web of Science</v>
      </c>
    </row>
    <row r="955" spans="1:72" x14ac:dyDescent="0.15">
      <c r="A955" t="s">
        <v>72</v>
      </c>
      <c r="B955" t="s">
        <v>18377</v>
      </c>
      <c r="C955" t="s">
        <v>74</v>
      </c>
      <c r="D955" t="s">
        <v>74</v>
      </c>
      <c r="E955" t="s">
        <v>74</v>
      </c>
      <c r="F955" t="s">
        <v>18378</v>
      </c>
      <c r="G955" t="s">
        <v>74</v>
      </c>
      <c r="H955" t="s">
        <v>74</v>
      </c>
      <c r="I955" t="s">
        <v>18379</v>
      </c>
      <c r="J955" t="s">
        <v>1115</v>
      </c>
      <c r="K955" t="s">
        <v>74</v>
      </c>
      <c r="L955" t="s">
        <v>74</v>
      </c>
      <c r="M955" t="s">
        <v>78</v>
      </c>
      <c r="N955" t="s">
        <v>79</v>
      </c>
      <c r="O955" t="s">
        <v>74</v>
      </c>
      <c r="P955" t="s">
        <v>74</v>
      </c>
      <c r="Q955" t="s">
        <v>74</v>
      </c>
      <c r="R955" t="s">
        <v>74</v>
      </c>
      <c r="S955" t="s">
        <v>74</v>
      </c>
      <c r="T955" t="s">
        <v>18380</v>
      </c>
      <c r="U955" t="s">
        <v>18381</v>
      </c>
      <c r="V955" t="s">
        <v>18382</v>
      </c>
      <c r="W955" t="s">
        <v>18383</v>
      </c>
      <c r="X955" t="s">
        <v>18384</v>
      </c>
      <c r="Y955" t="s">
        <v>18385</v>
      </c>
      <c r="Z955" t="s">
        <v>18386</v>
      </c>
      <c r="AA955" t="s">
        <v>18387</v>
      </c>
      <c r="AB955" t="s">
        <v>18388</v>
      </c>
      <c r="AC955" t="s">
        <v>18389</v>
      </c>
      <c r="AD955" t="s">
        <v>18390</v>
      </c>
      <c r="AE955" t="s">
        <v>18391</v>
      </c>
      <c r="AF955" t="s">
        <v>74</v>
      </c>
      <c r="AG955">
        <v>75</v>
      </c>
      <c r="AH955">
        <v>4</v>
      </c>
      <c r="AI955">
        <v>5</v>
      </c>
      <c r="AJ955">
        <v>0</v>
      </c>
      <c r="AK955">
        <v>9</v>
      </c>
      <c r="AL955" t="s">
        <v>864</v>
      </c>
      <c r="AM955" t="s">
        <v>865</v>
      </c>
      <c r="AN955" t="s">
        <v>866</v>
      </c>
      <c r="AO955" t="s">
        <v>1128</v>
      </c>
      <c r="AP955" t="s">
        <v>1129</v>
      </c>
      <c r="AQ955" t="s">
        <v>74</v>
      </c>
      <c r="AR955" t="s">
        <v>1130</v>
      </c>
      <c r="AS955" t="s">
        <v>1131</v>
      </c>
      <c r="AT955" t="s">
        <v>10878</v>
      </c>
      <c r="AU955">
        <v>2021</v>
      </c>
      <c r="AV955">
        <v>126</v>
      </c>
      <c r="AW955">
        <v>5</v>
      </c>
      <c r="AX955" t="s">
        <v>74</v>
      </c>
      <c r="AY955" t="s">
        <v>74</v>
      </c>
      <c r="AZ955" t="s">
        <v>74</v>
      </c>
      <c r="BA955" t="s">
        <v>74</v>
      </c>
      <c r="BB955" t="s">
        <v>74</v>
      </c>
      <c r="BC955" t="s">
        <v>74</v>
      </c>
      <c r="BD955" t="s">
        <v>18392</v>
      </c>
      <c r="BE955" t="s">
        <v>18393</v>
      </c>
      <c r="BF955" t="str">
        <f>HYPERLINK("http://dx.doi.org/10.1029/2020JC016861","http://dx.doi.org/10.1029/2020JC016861")</f>
        <v>http://dx.doi.org/10.1029/2020JC016861</v>
      </c>
      <c r="BG955" t="s">
        <v>74</v>
      </c>
      <c r="BH955" t="s">
        <v>74</v>
      </c>
      <c r="BI955">
        <v>26</v>
      </c>
      <c r="BJ955" t="s">
        <v>1134</v>
      </c>
      <c r="BK955" t="s">
        <v>128</v>
      </c>
      <c r="BL955" t="s">
        <v>1134</v>
      </c>
      <c r="BM955" t="s">
        <v>18341</v>
      </c>
      <c r="BN955" t="s">
        <v>74</v>
      </c>
      <c r="BO955" t="s">
        <v>74</v>
      </c>
      <c r="BP955" t="s">
        <v>74</v>
      </c>
      <c r="BQ955" t="s">
        <v>74</v>
      </c>
      <c r="BR955" t="s">
        <v>102</v>
      </c>
      <c r="BS955" t="s">
        <v>18394</v>
      </c>
      <c r="BT955" t="str">
        <f>HYPERLINK("https%3A%2F%2Fwww.webofscience.com%2Fwos%2Fwoscc%2Ffull-record%2FWOS:000654462400054","View Full Record in Web of Science")</f>
        <v>View Full Record in Web of Science</v>
      </c>
    </row>
    <row r="956" spans="1:72" x14ac:dyDescent="0.15">
      <c r="A956" t="s">
        <v>72</v>
      </c>
      <c r="B956" t="s">
        <v>18395</v>
      </c>
      <c r="C956" t="s">
        <v>74</v>
      </c>
      <c r="D956" t="s">
        <v>74</v>
      </c>
      <c r="E956" t="s">
        <v>74</v>
      </c>
      <c r="F956" t="s">
        <v>18396</v>
      </c>
      <c r="G956" t="s">
        <v>74</v>
      </c>
      <c r="H956" t="s">
        <v>74</v>
      </c>
      <c r="I956" t="s">
        <v>18397</v>
      </c>
      <c r="J956" t="s">
        <v>1115</v>
      </c>
      <c r="K956" t="s">
        <v>74</v>
      </c>
      <c r="L956" t="s">
        <v>74</v>
      </c>
      <c r="M956" t="s">
        <v>78</v>
      </c>
      <c r="N956" t="s">
        <v>79</v>
      </c>
      <c r="O956" t="s">
        <v>74</v>
      </c>
      <c r="P956" t="s">
        <v>74</v>
      </c>
      <c r="Q956" t="s">
        <v>74</v>
      </c>
      <c r="R956" t="s">
        <v>74</v>
      </c>
      <c r="S956" t="s">
        <v>74</v>
      </c>
      <c r="T956" t="s">
        <v>74</v>
      </c>
      <c r="U956" t="s">
        <v>18398</v>
      </c>
      <c r="V956" t="s">
        <v>18399</v>
      </c>
      <c r="W956" t="s">
        <v>18400</v>
      </c>
      <c r="X956" t="s">
        <v>18401</v>
      </c>
      <c r="Y956" t="s">
        <v>18402</v>
      </c>
      <c r="Z956" t="s">
        <v>18403</v>
      </c>
      <c r="AA956" t="s">
        <v>18404</v>
      </c>
      <c r="AB956" t="s">
        <v>18405</v>
      </c>
      <c r="AC956" t="s">
        <v>18406</v>
      </c>
      <c r="AD956" t="s">
        <v>18407</v>
      </c>
      <c r="AE956" t="s">
        <v>18408</v>
      </c>
      <c r="AF956" t="s">
        <v>74</v>
      </c>
      <c r="AG956">
        <v>60</v>
      </c>
      <c r="AH956">
        <v>6</v>
      </c>
      <c r="AI956">
        <v>6</v>
      </c>
      <c r="AJ956">
        <v>0</v>
      </c>
      <c r="AK956">
        <v>4</v>
      </c>
      <c r="AL956" t="s">
        <v>864</v>
      </c>
      <c r="AM956" t="s">
        <v>865</v>
      </c>
      <c r="AN956" t="s">
        <v>866</v>
      </c>
      <c r="AO956" t="s">
        <v>1128</v>
      </c>
      <c r="AP956" t="s">
        <v>1129</v>
      </c>
      <c r="AQ956" t="s">
        <v>74</v>
      </c>
      <c r="AR956" t="s">
        <v>1130</v>
      </c>
      <c r="AS956" t="s">
        <v>1131</v>
      </c>
      <c r="AT956" t="s">
        <v>10878</v>
      </c>
      <c r="AU956">
        <v>2021</v>
      </c>
      <c r="AV956">
        <v>126</v>
      </c>
      <c r="AW956">
        <v>5</v>
      </c>
      <c r="AX956" t="s">
        <v>74</v>
      </c>
      <c r="AY956" t="s">
        <v>74</v>
      </c>
      <c r="AZ956" t="s">
        <v>74</v>
      </c>
      <c r="BA956" t="s">
        <v>74</v>
      </c>
      <c r="BB956" t="s">
        <v>74</v>
      </c>
      <c r="BC956" t="s">
        <v>74</v>
      </c>
      <c r="BD956" t="s">
        <v>18409</v>
      </c>
      <c r="BE956" t="s">
        <v>18410</v>
      </c>
      <c r="BF956" t="str">
        <f>HYPERLINK("http://dx.doi.org/10.1029/2020JC016863","http://dx.doi.org/10.1029/2020JC016863")</f>
        <v>http://dx.doi.org/10.1029/2020JC016863</v>
      </c>
      <c r="BG956" t="s">
        <v>74</v>
      </c>
      <c r="BH956" t="s">
        <v>74</v>
      </c>
      <c r="BI956">
        <v>25</v>
      </c>
      <c r="BJ956" t="s">
        <v>1134</v>
      </c>
      <c r="BK956" t="s">
        <v>128</v>
      </c>
      <c r="BL956" t="s">
        <v>1134</v>
      </c>
      <c r="BM956" t="s">
        <v>18341</v>
      </c>
      <c r="BN956" t="s">
        <v>74</v>
      </c>
      <c r="BO956" t="s">
        <v>7579</v>
      </c>
      <c r="BP956" t="s">
        <v>74</v>
      </c>
      <c r="BQ956" t="s">
        <v>74</v>
      </c>
      <c r="BR956" t="s">
        <v>102</v>
      </c>
      <c r="BS956" t="s">
        <v>18411</v>
      </c>
      <c r="BT956" t="str">
        <f>HYPERLINK("https%3A%2F%2Fwww.webofscience.com%2Fwos%2Fwoscc%2Ffull-record%2FWOS:000654462400004","View Full Record in Web of Science")</f>
        <v>View Full Record in Web of Science</v>
      </c>
    </row>
    <row r="957" spans="1:72" x14ac:dyDescent="0.15">
      <c r="A957" t="s">
        <v>72</v>
      </c>
      <c r="B957" t="s">
        <v>18412</v>
      </c>
      <c r="C957" t="s">
        <v>74</v>
      </c>
      <c r="D957" t="s">
        <v>74</v>
      </c>
      <c r="E957" t="s">
        <v>74</v>
      </c>
      <c r="F957" t="s">
        <v>18413</v>
      </c>
      <c r="G957" t="s">
        <v>74</v>
      </c>
      <c r="H957" t="s">
        <v>74</v>
      </c>
      <c r="I957" t="s">
        <v>18414</v>
      </c>
      <c r="J957" t="s">
        <v>18415</v>
      </c>
      <c r="K957" t="s">
        <v>74</v>
      </c>
      <c r="L957" t="s">
        <v>74</v>
      </c>
      <c r="M957" t="s">
        <v>78</v>
      </c>
      <c r="N957" t="s">
        <v>79</v>
      </c>
      <c r="O957" t="s">
        <v>74</v>
      </c>
      <c r="P957" t="s">
        <v>74</v>
      </c>
      <c r="Q957" t="s">
        <v>74</v>
      </c>
      <c r="R957" t="s">
        <v>74</v>
      </c>
      <c r="S957" t="s">
        <v>74</v>
      </c>
      <c r="T957" t="s">
        <v>18416</v>
      </c>
      <c r="U957" t="s">
        <v>18417</v>
      </c>
      <c r="V957" t="s">
        <v>18418</v>
      </c>
      <c r="W957" t="s">
        <v>18419</v>
      </c>
      <c r="X957" t="s">
        <v>18420</v>
      </c>
      <c r="Y957" t="s">
        <v>18421</v>
      </c>
      <c r="Z957" t="s">
        <v>18422</v>
      </c>
      <c r="AA957" t="s">
        <v>74</v>
      </c>
      <c r="AB957" t="s">
        <v>74</v>
      </c>
      <c r="AC957" t="s">
        <v>18423</v>
      </c>
      <c r="AD957" t="s">
        <v>13450</v>
      </c>
      <c r="AE957" t="s">
        <v>18424</v>
      </c>
      <c r="AF957" t="s">
        <v>74</v>
      </c>
      <c r="AG957">
        <v>82</v>
      </c>
      <c r="AH957">
        <v>1</v>
      </c>
      <c r="AI957">
        <v>1</v>
      </c>
      <c r="AJ957">
        <v>0</v>
      </c>
      <c r="AK957">
        <v>0</v>
      </c>
      <c r="AL957" t="s">
        <v>6620</v>
      </c>
      <c r="AM957" t="s">
        <v>650</v>
      </c>
      <c r="AN957" t="s">
        <v>6621</v>
      </c>
      <c r="AO957" t="s">
        <v>18425</v>
      </c>
      <c r="AP957" t="s">
        <v>18426</v>
      </c>
      <c r="AQ957" t="s">
        <v>74</v>
      </c>
      <c r="AR957" t="s">
        <v>18427</v>
      </c>
      <c r="AS957" t="s">
        <v>18428</v>
      </c>
      <c r="AT957" t="s">
        <v>10878</v>
      </c>
      <c r="AU957">
        <v>2021</v>
      </c>
      <c r="AV957">
        <v>29</v>
      </c>
      <c r="AW957">
        <v>3</v>
      </c>
      <c r="AX957" t="s">
        <v>74</v>
      </c>
      <c r="AY957" t="s">
        <v>74</v>
      </c>
      <c r="AZ957" t="s">
        <v>74</v>
      </c>
      <c r="BA957" t="s">
        <v>74</v>
      </c>
      <c r="BB957">
        <v>287</v>
      </c>
      <c r="BC957">
        <v>302</v>
      </c>
      <c r="BD957" t="s">
        <v>74</v>
      </c>
      <c r="BE957" t="s">
        <v>18429</v>
      </c>
      <c r="BF957" t="str">
        <f>HYPERLINK("http://dx.doi.org/10.1134/S0869593821030059","http://dx.doi.org/10.1134/S0869593821030059")</f>
        <v>http://dx.doi.org/10.1134/S0869593821030059</v>
      </c>
      <c r="BG957" t="s">
        <v>74</v>
      </c>
      <c r="BH957" t="s">
        <v>74</v>
      </c>
      <c r="BI957">
        <v>16</v>
      </c>
      <c r="BJ957" t="s">
        <v>3143</v>
      </c>
      <c r="BK957" t="s">
        <v>128</v>
      </c>
      <c r="BL957" t="s">
        <v>3143</v>
      </c>
      <c r="BM957" t="s">
        <v>18430</v>
      </c>
      <c r="BN957" t="s">
        <v>74</v>
      </c>
      <c r="BO957" t="s">
        <v>74</v>
      </c>
      <c r="BP957" t="s">
        <v>74</v>
      </c>
      <c r="BQ957" t="s">
        <v>74</v>
      </c>
      <c r="BR957" t="s">
        <v>102</v>
      </c>
      <c r="BS957" t="s">
        <v>18431</v>
      </c>
      <c r="BT957" t="str">
        <f>HYPERLINK("https%3A%2F%2Fwww.webofscience.com%2Fwos%2Fwoscc%2Ffull-record%2FWOS:000657769200002","View Full Record in Web of Science")</f>
        <v>View Full Record in Web of Science</v>
      </c>
    </row>
    <row r="958" spans="1:72" x14ac:dyDescent="0.15">
      <c r="A958" t="s">
        <v>72</v>
      </c>
      <c r="B958" t="s">
        <v>18432</v>
      </c>
      <c r="C958" t="s">
        <v>74</v>
      </c>
      <c r="D958" t="s">
        <v>74</v>
      </c>
      <c r="E958" t="s">
        <v>74</v>
      </c>
      <c r="F958" t="s">
        <v>18433</v>
      </c>
      <c r="G958" t="s">
        <v>74</v>
      </c>
      <c r="H958" t="s">
        <v>74</v>
      </c>
      <c r="I958" t="s">
        <v>18434</v>
      </c>
      <c r="J958" t="s">
        <v>18435</v>
      </c>
      <c r="K958" t="s">
        <v>74</v>
      </c>
      <c r="L958" t="s">
        <v>74</v>
      </c>
      <c r="M958" t="s">
        <v>78</v>
      </c>
      <c r="N958" t="s">
        <v>79</v>
      </c>
      <c r="O958" t="s">
        <v>74</v>
      </c>
      <c r="P958" t="s">
        <v>74</v>
      </c>
      <c r="Q958" t="s">
        <v>74</v>
      </c>
      <c r="R958" t="s">
        <v>74</v>
      </c>
      <c r="S958" t="s">
        <v>74</v>
      </c>
      <c r="T958" t="s">
        <v>18436</v>
      </c>
      <c r="U958" t="s">
        <v>18437</v>
      </c>
      <c r="V958" t="s">
        <v>18438</v>
      </c>
      <c r="W958" t="s">
        <v>18439</v>
      </c>
      <c r="X958" t="s">
        <v>18440</v>
      </c>
      <c r="Y958" t="s">
        <v>18441</v>
      </c>
      <c r="Z958" t="s">
        <v>18442</v>
      </c>
      <c r="AA958" t="s">
        <v>18443</v>
      </c>
      <c r="AB958" t="s">
        <v>18444</v>
      </c>
      <c r="AC958" t="s">
        <v>18445</v>
      </c>
      <c r="AD958" t="s">
        <v>18446</v>
      </c>
      <c r="AE958" t="s">
        <v>18447</v>
      </c>
      <c r="AF958" t="s">
        <v>74</v>
      </c>
      <c r="AG958">
        <v>64</v>
      </c>
      <c r="AH958">
        <v>3</v>
      </c>
      <c r="AI958">
        <v>4</v>
      </c>
      <c r="AJ958">
        <v>1</v>
      </c>
      <c r="AK958">
        <v>6</v>
      </c>
      <c r="AL958" t="s">
        <v>557</v>
      </c>
      <c r="AM958" t="s">
        <v>558</v>
      </c>
      <c r="AN958" t="s">
        <v>584</v>
      </c>
      <c r="AO958" t="s">
        <v>18448</v>
      </c>
      <c r="AP958" t="s">
        <v>18449</v>
      </c>
      <c r="AQ958" t="s">
        <v>74</v>
      </c>
      <c r="AR958" t="s">
        <v>18450</v>
      </c>
      <c r="AS958" t="s">
        <v>18451</v>
      </c>
      <c r="AT958" t="s">
        <v>10878</v>
      </c>
      <c r="AU958">
        <v>2021</v>
      </c>
      <c r="AV958">
        <v>60</v>
      </c>
      <c r="AW958">
        <v>5</v>
      </c>
      <c r="AX958" t="s">
        <v>74</v>
      </c>
      <c r="AY958" t="s">
        <v>74</v>
      </c>
      <c r="AZ958" t="s">
        <v>74</v>
      </c>
      <c r="BA958" t="s">
        <v>74</v>
      </c>
      <c r="BB958">
        <v>661</v>
      </c>
      <c r="BC958">
        <v>675</v>
      </c>
      <c r="BD958" t="s">
        <v>74</v>
      </c>
      <c r="BE958" t="s">
        <v>18452</v>
      </c>
      <c r="BF958" t="str">
        <f>HYPERLINK("http://dx.doi.org/10.1175/JAMC-D-20-0173.1","http://dx.doi.org/10.1175/JAMC-D-20-0173.1")</f>
        <v>http://dx.doi.org/10.1175/JAMC-D-20-0173.1</v>
      </c>
      <c r="BG958" t="s">
        <v>74</v>
      </c>
      <c r="BH958" t="s">
        <v>74</v>
      </c>
      <c r="BI958">
        <v>15</v>
      </c>
      <c r="BJ958" t="s">
        <v>567</v>
      </c>
      <c r="BK958" t="s">
        <v>128</v>
      </c>
      <c r="BL958" t="s">
        <v>567</v>
      </c>
      <c r="BM958" t="s">
        <v>18453</v>
      </c>
      <c r="BN958" t="s">
        <v>74</v>
      </c>
      <c r="BO958" t="s">
        <v>661</v>
      </c>
      <c r="BP958" t="s">
        <v>74</v>
      </c>
      <c r="BQ958" t="s">
        <v>74</v>
      </c>
      <c r="BR958" t="s">
        <v>102</v>
      </c>
      <c r="BS958" t="s">
        <v>18454</v>
      </c>
      <c r="BT958" t="str">
        <f>HYPERLINK("https%3A%2F%2Fwww.webofscience.com%2Fwos%2Fwoscc%2Ffull-record%2FWOS:000660818400003","View Full Record in Web of Science")</f>
        <v>View Full Record in Web of Science</v>
      </c>
    </row>
    <row r="959" spans="1:72" x14ac:dyDescent="0.15">
      <c r="A959" t="s">
        <v>72</v>
      </c>
      <c r="B959" t="s">
        <v>18455</v>
      </c>
      <c r="C959" t="s">
        <v>74</v>
      </c>
      <c r="D959" t="s">
        <v>74</v>
      </c>
      <c r="E959" t="s">
        <v>74</v>
      </c>
      <c r="F959" t="s">
        <v>18456</v>
      </c>
      <c r="G959" t="s">
        <v>74</v>
      </c>
      <c r="H959" t="s">
        <v>74</v>
      </c>
      <c r="I959" t="s">
        <v>18457</v>
      </c>
      <c r="J959" t="s">
        <v>18435</v>
      </c>
      <c r="K959" t="s">
        <v>74</v>
      </c>
      <c r="L959" t="s">
        <v>74</v>
      </c>
      <c r="M959" t="s">
        <v>78</v>
      </c>
      <c r="N959" t="s">
        <v>79</v>
      </c>
      <c r="O959" t="s">
        <v>74</v>
      </c>
      <c r="P959" t="s">
        <v>74</v>
      </c>
      <c r="Q959" t="s">
        <v>74</v>
      </c>
      <c r="R959" t="s">
        <v>74</v>
      </c>
      <c r="S959" t="s">
        <v>74</v>
      </c>
      <c r="T959" t="s">
        <v>18458</v>
      </c>
      <c r="U959" t="s">
        <v>18459</v>
      </c>
      <c r="V959" t="s">
        <v>18460</v>
      </c>
      <c r="W959" t="s">
        <v>18461</v>
      </c>
      <c r="X959" t="s">
        <v>18462</v>
      </c>
      <c r="Y959" t="s">
        <v>18463</v>
      </c>
      <c r="Z959" t="s">
        <v>18464</v>
      </c>
      <c r="AA959" t="s">
        <v>18465</v>
      </c>
      <c r="AB959" t="s">
        <v>18466</v>
      </c>
      <c r="AC959" t="s">
        <v>18467</v>
      </c>
      <c r="AD959" t="s">
        <v>18468</v>
      </c>
      <c r="AE959" t="s">
        <v>18469</v>
      </c>
      <c r="AF959" t="s">
        <v>74</v>
      </c>
      <c r="AG959">
        <v>63</v>
      </c>
      <c r="AH959">
        <v>8</v>
      </c>
      <c r="AI959">
        <v>8</v>
      </c>
      <c r="AJ959">
        <v>0</v>
      </c>
      <c r="AK959">
        <v>7</v>
      </c>
      <c r="AL959" t="s">
        <v>557</v>
      </c>
      <c r="AM959" t="s">
        <v>558</v>
      </c>
      <c r="AN959" t="s">
        <v>559</v>
      </c>
      <c r="AO959" t="s">
        <v>18448</v>
      </c>
      <c r="AP959" t="s">
        <v>18449</v>
      </c>
      <c r="AQ959" t="s">
        <v>74</v>
      </c>
      <c r="AR959" t="s">
        <v>18450</v>
      </c>
      <c r="AS959" t="s">
        <v>18451</v>
      </c>
      <c r="AT959" t="s">
        <v>10878</v>
      </c>
      <c r="AU959">
        <v>2021</v>
      </c>
      <c r="AV959">
        <v>60</v>
      </c>
      <c r="AW959">
        <v>5</v>
      </c>
      <c r="AX959" t="s">
        <v>74</v>
      </c>
      <c r="AY959" t="s">
        <v>74</v>
      </c>
      <c r="AZ959" t="s">
        <v>74</v>
      </c>
      <c r="BA959" t="s">
        <v>74</v>
      </c>
      <c r="BB959">
        <v>711</v>
      </c>
      <c r="BC959">
        <v>731</v>
      </c>
      <c r="BD959" t="s">
        <v>74</v>
      </c>
      <c r="BE959" t="s">
        <v>18470</v>
      </c>
      <c r="BF959" t="str">
        <f>HYPERLINK("http://dx.doi.org/10.1175/JAMC-D-20-0255.1","http://dx.doi.org/10.1175/JAMC-D-20-0255.1")</f>
        <v>http://dx.doi.org/10.1175/JAMC-D-20-0255.1</v>
      </c>
      <c r="BG959" t="s">
        <v>74</v>
      </c>
      <c r="BH959" t="s">
        <v>74</v>
      </c>
      <c r="BI959">
        <v>21</v>
      </c>
      <c r="BJ959" t="s">
        <v>567</v>
      </c>
      <c r="BK959" t="s">
        <v>128</v>
      </c>
      <c r="BL959" t="s">
        <v>567</v>
      </c>
      <c r="BM959" t="s">
        <v>18453</v>
      </c>
      <c r="BN959" t="s">
        <v>74</v>
      </c>
      <c r="BO959" t="s">
        <v>6693</v>
      </c>
      <c r="BP959" t="s">
        <v>74</v>
      </c>
      <c r="BQ959" t="s">
        <v>74</v>
      </c>
      <c r="BR959" t="s">
        <v>102</v>
      </c>
      <c r="BS959" t="s">
        <v>18471</v>
      </c>
      <c r="BT959" t="str">
        <f>HYPERLINK("https%3A%2F%2Fwww.webofscience.com%2Fwos%2Fwoscc%2Ffull-record%2FWOS:000660818400006","View Full Record in Web of Science")</f>
        <v>View Full Record in Web of Science</v>
      </c>
    </row>
    <row r="960" spans="1:72" x14ac:dyDescent="0.15">
      <c r="A960" t="s">
        <v>72</v>
      </c>
      <c r="B960" t="s">
        <v>18472</v>
      </c>
      <c r="C960" t="s">
        <v>74</v>
      </c>
      <c r="D960" t="s">
        <v>74</v>
      </c>
      <c r="E960" t="s">
        <v>74</v>
      </c>
      <c r="F960" t="s">
        <v>18473</v>
      </c>
      <c r="G960" t="s">
        <v>74</v>
      </c>
      <c r="H960" t="s">
        <v>74</v>
      </c>
      <c r="I960" t="s">
        <v>18474</v>
      </c>
      <c r="J960" t="s">
        <v>4182</v>
      </c>
      <c r="K960" t="s">
        <v>74</v>
      </c>
      <c r="L960" t="s">
        <v>74</v>
      </c>
      <c r="M960" t="s">
        <v>78</v>
      </c>
      <c r="N960" t="s">
        <v>79</v>
      </c>
      <c r="O960" t="s">
        <v>74</v>
      </c>
      <c r="P960" t="s">
        <v>74</v>
      </c>
      <c r="Q960" t="s">
        <v>74</v>
      </c>
      <c r="R960" t="s">
        <v>74</v>
      </c>
      <c r="S960" t="s">
        <v>74</v>
      </c>
      <c r="T960" t="s">
        <v>18475</v>
      </c>
      <c r="U960" t="s">
        <v>18476</v>
      </c>
      <c r="V960" t="s">
        <v>18477</v>
      </c>
      <c r="W960" t="s">
        <v>18478</v>
      </c>
      <c r="X960" t="s">
        <v>18479</v>
      </c>
      <c r="Y960" t="s">
        <v>18480</v>
      </c>
      <c r="Z960" t="s">
        <v>18481</v>
      </c>
      <c r="AA960" t="s">
        <v>18482</v>
      </c>
      <c r="AB960" t="s">
        <v>18483</v>
      </c>
      <c r="AC960" t="s">
        <v>18484</v>
      </c>
      <c r="AD960" t="s">
        <v>18485</v>
      </c>
      <c r="AE960" t="s">
        <v>18486</v>
      </c>
      <c r="AF960" t="s">
        <v>74</v>
      </c>
      <c r="AG960">
        <v>50</v>
      </c>
      <c r="AH960">
        <v>10</v>
      </c>
      <c r="AI960">
        <v>11</v>
      </c>
      <c r="AJ960">
        <v>1</v>
      </c>
      <c r="AK960">
        <v>15</v>
      </c>
      <c r="AL960" t="s">
        <v>89</v>
      </c>
      <c r="AM960" t="s">
        <v>90</v>
      </c>
      <c r="AN960" t="s">
        <v>91</v>
      </c>
      <c r="AO960" t="s">
        <v>4192</v>
      </c>
      <c r="AP960" t="s">
        <v>4193</v>
      </c>
      <c r="AQ960" t="s">
        <v>74</v>
      </c>
      <c r="AR960" t="s">
        <v>4182</v>
      </c>
      <c r="AS960" t="s">
        <v>4194</v>
      </c>
      <c r="AT960" t="s">
        <v>18487</v>
      </c>
      <c r="AU960">
        <v>2021</v>
      </c>
      <c r="AV960">
        <v>541</v>
      </c>
      <c r="AW960" t="s">
        <v>74</v>
      </c>
      <c r="AX960" t="s">
        <v>74</v>
      </c>
      <c r="AY960" t="s">
        <v>74</v>
      </c>
      <c r="AZ960" t="s">
        <v>74</v>
      </c>
      <c r="BA960" t="s">
        <v>74</v>
      </c>
      <c r="BB960" t="s">
        <v>74</v>
      </c>
      <c r="BC960" t="s">
        <v>74</v>
      </c>
      <c r="BD960">
        <v>736836</v>
      </c>
      <c r="BE960" t="s">
        <v>18488</v>
      </c>
      <c r="BF960" t="str">
        <f>HYPERLINK("http://dx.doi.org/10.1016/j.aquaculture.2021.736836","http://dx.doi.org/10.1016/j.aquaculture.2021.736836")</f>
        <v>http://dx.doi.org/10.1016/j.aquaculture.2021.736836</v>
      </c>
      <c r="BG960" t="s">
        <v>74</v>
      </c>
      <c r="BH960" t="s">
        <v>14415</v>
      </c>
      <c r="BI960">
        <v>8</v>
      </c>
      <c r="BJ960" t="s">
        <v>459</v>
      </c>
      <c r="BK960" t="s">
        <v>128</v>
      </c>
      <c r="BL960" t="s">
        <v>459</v>
      </c>
      <c r="BM960" t="s">
        <v>18489</v>
      </c>
      <c r="BN960" t="s">
        <v>74</v>
      </c>
      <c r="BO960" t="s">
        <v>74</v>
      </c>
      <c r="BP960" t="s">
        <v>74</v>
      </c>
      <c r="BQ960" t="s">
        <v>74</v>
      </c>
      <c r="BR960" t="s">
        <v>102</v>
      </c>
      <c r="BS960" t="s">
        <v>18490</v>
      </c>
      <c r="BT960" t="str">
        <f>HYPERLINK("https%3A%2F%2Fwww.webofscience.com%2Fwos%2Fwoscc%2Ffull-record%2FWOS:000657615200003","View Full Record in Web of Science")</f>
        <v>View Full Record in Web of Science</v>
      </c>
    </row>
    <row r="961" spans="1:72" x14ac:dyDescent="0.15">
      <c r="A961" t="s">
        <v>72</v>
      </c>
      <c r="B961" t="s">
        <v>18491</v>
      </c>
      <c r="C961" t="s">
        <v>74</v>
      </c>
      <c r="D961" t="s">
        <v>74</v>
      </c>
      <c r="E961" t="s">
        <v>74</v>
      </c>
      <c r="F961" t="s">
        <v>18492</v>
      </c>
      <c r="G961" t="s">
        <v>74</v>
      </c>
      <c r="H961" t="s">
        <v>74</v>
      </c>
      <c r="I961" t="s">
        <v>18493</v>
      </c>
      <c r="J961" t="s">
        <v>7051</v>
      </c>
      <c r="K961" t="s">
        <v>74</v>
      </c>
      <c r="L961" t="s">
        <v>74</v>
      </c>
      <c r="M961" t="s">
        <v>78</v>
      </c>
      <c r="N961" t="s">
        <v>79</v>
      </c>
      <c r="O961" t="s">
        <v>74</v>
      </c>
      <c r="P961" t="s">
        <v>74</v>
      </c>
      <c r="Q961" t="s">
        <v>74</v>
      </c>
      <c r="R961" t="s">
        <v>74</v>
      </c>
      <c r="S961" t="s">
        <v>74</v>
      </c>
      <c r="T961" t="s">
        <v>18494</v>
      </c>
      <c r="U961" t="s">
        <v>18495</v>
      </c>
      <c r="V961" t="s">
        <v>18496</v>
      </c>
      <c r="W961" t="s">
        <v>18497</v>
      </c>
      <c r="X961" t="s">
        <v>18498</v>
      </c>
      <c r="Y961" t="s">
        <v>18499</v>
      </c>
      <c r="Z961" t="s">
        <v>18500</v>
      </c>
      <c r="AA961" t="s">
        <v>18501</v>
      </c>
      <c r="AB961" t="s">
        <v>18502</v>
      </c>
      <c r="AC961" t="s">
        <v>18503</v>
      </c>
      <c r="AD961" t="s">
        <v>18504</v>
      </c>
      <c r="AE961" t="s">
        <v>18505</v>
      </c>
      <c r="AF961" t="s">
        <v>74</v>
      </c>
      <c r="AG961">
        <v>66</v>
      </c>
      <c r="AH961">
        <v>26</v>
      </c>
      <c r="AI961">
        <v>27</v>
      </c>
      <c r="AJ961">
        <v>13</v>
      </c>
      <c r="AK961">
        <v>52</v>
      </c>
      <c r="AL961" t="s">
        <v>864</v>
      </c>
      <c r="AM961" t="s">
        <v>865</v>
      </c>
      <c r="AN961" t="s">
        <v>866</v>
      </c>
      <c r="AO961" t="s">
        <v>74</v>
      </c>
      <c r="AP961" t="s">
        <v>7061</v>
      </c>
      <c r="AQ961" t="s">
        <v>74</v>
      </c>
      <c r="AR961" t="s">
        <v>7062</v>
      </c>
      <c r="AS961" t="s">
        <v>7063</v>
      </c>
      <c r="AT961" t="s">
        <v>10878</v>
      </c>
      <c r="AU961">
        <v>2021</v>
      </c>
      <c r="AV961">
        <v>8</v>
      </c>
      <c r="AW961">
        <v>5</v>
      </c>
      <c r="AX961" t="s">
        <v>74</v>
      </c>
      <c r="AY961" t="s">
        <v>74</v>
      </c>
      <c r="AZ961" t="s">
        <v>74</v>
      </c>
      <c r="BA961" t="s">
        <v>74</v>
      </c>
      <c r="BB961" t="s">
        <v>74</v>
      </c>
      <c r="BC961" t="s">
        <v>74</v>
      </c>
      <c r="BD961" t="s">
        <v>18506</v>
      </c>
      <c r="BE961" t="s">
        <v>18507</v>
      </c>
      <c r="BF961" t="str">
        <f>HYPERLINK("http://dx.doi.org/10.1029/2020EA001516","http://dx.doi.org/10.1029/2020EA001516")</f>
        <v>http://dx.doi.org/10.1029/2020EA001516</v>
      </c>
      <c r="BG961" t="s">
        <v>74</v>
      </c>
      <c r="BH961" t="s">
        <v>74</v>
      </c>
      <c r="BI961">
        <v>22</v>
      </c>
      <c r="BJ961" t="s">
        <v>7066</v>
      </c>
      <c r="BK961" t="s">
        <v>128</v>
      </c>
      <c r="BL961" t="s">
        <v>7067</v>
      </c>
      <c r="BM961" t="s">
        <v>18508</v>
      </c>
      <c r="BN961" t="s">
        <v>74</v>
      </c>
      <c r="BO961" t="s">
        <v>638</v>
      </c>
      <c r="BP961" t="s">
        <v>74</v>
      </c>
      <c r="BQ961" t="s">
        <v>74</v>
      </c>
      <c r="BR961" t="s">
        <v>102</v>
      </c>
      <c r="BS961" t="s">
        <v>18509</v>
      </c>
      <c r="BT961" t="str">
        <f>HYPERLINK("https%3A%2F%2Fwww.webofscience.com%2Fwos%2Fwoscc%2Ffull-record%2FWOS:000658287100016","View Full Record in Web of Science")</f>
        <v>View Full Record in Web of Science</v>
      </c>
    </row>
    <row r="962" spans="1:72" x14ac:dyDescent="0.15">
      <c r="A962" t="s">
        <v>72</v>
      </c>
      <c r="B962" t="s">
        <v>18510</v>
      </c>
      <c r="C962" t="s">
        <v>74</v>
      </c>
      <c r="D962" t="s">
        <v>74</v>
      </c>
      <c r="E962" t="s">
        <v>74</v>
      </c>
      <c r="F962" t="s">
        <v>18511</v>
      </c>
      <c r="G962" t="s">
        <v>74</v>
      </c>
      <c r="H962" t="s">
        <v>74</v>
      </c>
      <c r="I962" t="s">
        <v>18512</v>
      </c>
      <c r="J962" t="s">
        <v>7051</v>
      </c>
      <c r="K962" t="s">
        <v>74</v>
      </c>
      <c r="L962" t="s">
        <v>74</v>
      </c>
      <c r="M962" t="s">
        <v>78</v>
      </c>
      <c r="N962" t="s">
        <v>79</v>
      </c>
      <c r="O962" t="s">
        <v>74</v>
      </c>
      <c r="P962" t="s">
        <v>74</v>
      </c>
      <c r="Q962" t="s">
        <v>74</v>
      </c>
      <c r="R962" t="s">
        <v>74</v>
      </c>
      <c r="S962" t="s">
        <v>74</v>
      </c>
      <c r="T962" t="s">
        <v>18513</v>
      </c>
      <c r="U962" t="s">
        <v>18514</v>
      </c>
      <c r="V962" t="s">
        <v>18515</v>
      </c>
      <c r="W962" t="s">
        <v>18516</v>
      </c>
      <c r="X962" t="s">
        <v>18517</v>
      </c>
      <c r="Y962" t="s">
        <v>18518</v>
      </c>
      <c r="Z962" t="s">
        <v>18519</v>
      </c>
      <c r="AA962" t="s">
        <v>18520</v>
      </c>
      <c r="AB962" t="s">
        <v>18521</v>
      </c>
      <c r="AC962" t="s">
        <v>18522</v>
      </c>
      <c r="AD962" t="s">
        <v>18523</v>
      </c>
      <c r="AE962" t="s">
        <v>18524</v>
      </c>
      <c r="AF962" t="s">
        <v>74</v>
      </c>
      <c r="AG962">
        <v>59</v>
      </c>
      <c r="AH962">
        <v>21</v>
      </c>
      <c r="AI962">
        <v>22</v>
      </c>
      <c r="AJ962">
        <v>13</v>
      </c>
      <c r="AK962">
        <v>56</v>
      </c>
      <c r="AL962" t="s">
        <v>864</v>
      </c>
      <c r="AM962" t="s">
        <v>865</v>
      </c>
      <c r="AN962" t="s">
        <v>866</v>
      </c>
      <c r="AO962" t="s">
        <v>74</v>
      </c>
      <c r="AP962" t="s">
        <v>7061</v>
      </c>
      <c r="AQ962" t="s">
        <v>74</v>
      </c>
      <c r="AR962" t="s">
        <v>7062</v>
      </c>
      <c r="AS962" t="s">
        <v>7063</v>
      </c>
      <c r="AT962" t="s">
        <v>10878</v>
      </c>
      <c r="AU962">
        <v>2021</v>
      </c>
      <c r="AV962">
        <v>8</v>
      </c>
      <c r="AW962">
        <v>5</v>
      </c>
      <c r="AX962" t="s">
        <v>74</v>
      </c>
      <c r="AY962" t="s">
        <v>74</v>
      </c>
      <c r="AZ962" t="s">
        <v>74</v>
      </c>
      <c r="BA962" t="s">
        <v>74</v>
      </c>
      <c r="BB962" t="s">
        <v>74</v>
      </c>
      <c r="BC962" t="s">
        <v>74</v>
      </c>
      <c r="BD962" t="s">
        <v>18525</v>
      </c>
      <c r="BE962" t="s">
        <v>18526</v>
      </c>
      <c r="BF962" t="str">
        <f>HYPERLINK("http://dx.doi.org/10.1029/2020EA001417","http://dx.doi.org/10.1029/2020EA001417")</f>
        <v>http://dx.doi.org/10.1029/2020EA001417</v>
      </c>
      <c r="BG962" t="s">
        <v>74</v>
      </c>
      <c r="BH962" t="s">
        <v>74</v>
      </c>
      <c r="BI962">
        <v>18</v>
      </c>
      <c r="BJ962" t="s">
        <v>7066</v>
      </c>
      <c r="BK962" t="s">
        <v>128</v>
      </c>
      <c r="BL962" t="s">
        <v>7067</v>
      </c>
      <c r="BM962" t="s">
        <v>18508</v>
      </c>
      <c r="BN962" t="s">
        <v>74</v>
      </c>
      <c r="BO962" t="s">
        <v>311</v>
      </c>
      <c r="BP962" t="s">
        <v>74</v>
      </c>
      <c r="BQ962" t="s">
        <v>74</v>
      </c>
      <c r="BR962" t="s">
        <v>102</v>
      </c>
      <c r="BS962" t="s">
        <v>18527</v>
      </c>
      <c r="BT962" t="str">
        <f>HYPERLINK("https%3A%2F%2Fwww.webofscience.com%2Fwos%2Fwoscc%2Ffull-record%2FWOS:000658287100019","View Full Record in Web of Science")</f>
        <v>View Full Record in Web of Science</v>
      </c>
    </row>
    <row r="963" spans="1:72" x14ac:dyDescent="0.15">
      <c r="A963" t="s">
        <v>72</v>
      </c>
      <c r="B963" t="s">
        <v>18528</v>
      </c>
      <c r="C963" t="s">
        <v>74</v>
      </c>
      <c r="D963" t="s">
        <v>74</v>
      </c>
      <c r="E963" t="s">
        <v>74</v>
      </c>
      <c r="F963" t="s">
        <v>18529</v>
      </c>
      <c r="G963" t="s">
        <v>74</v>
      </c>
      <c r="H963" t="s">
        <v>74</v>
      </c>
      <c r="I963" t="s">
        <v>18530</v>
      </c>
      <c r="J963" t="s">
        <v>18531</v>
      </c>
      <c r="K963" t="s">
        <v>74</v>
      </c>
      <c r="L963" t="s">
        <v>74</v>
      </c>
      <c r="M963" t="s">
        <v>78</v>
      </c>
      <c r="N963" t="s">
        <v>79</v>
      </c>
      <c r="O963" t="s">
        <v>74</v>
      </c>
      <c r="P963" t="s">
        <v>74</v>
      </c>
      <c r="Q963" t="s">
        <v>74</v>
      </c>
      <c r="R963" t="s">
        <v>74</v>
      </c>
      <c r="S963" t="s">
        <v>74</v>
      </c>
      <c r="T963" t="s">
        <v>18532</v>
      </c>
      <c r="U963" t="s">
        <v>18533</v>
      </c>
      <c r="V963" t="s">
        <v>18534</v>
      </c>
      <c r="W963" t="s">
        <v>18535</v>
      </c>
      <c r="X963" t="s">
        <v>18536</v>
      </c>
      <c r="Y963" t="s">
        <v>18537</v>
      </c>
      <c r="Z963" t="s">
        <v>18538</v>
      </c>
      <c r="AA963" t="s">
        <v>18539</v>
      </c>
      <c r="AB963" t="s">
        <v>18540</v>
      </c>
      <c r="AC963" t="s">
        <v>18541</v>
      </c>
      <c r="AD963" t="s">
        <v>18542</v>
      </c>
      <c r="AE963" t="s">
        <v>18543</v>
      </c>
      <c r="AF963" t="s">
        <v>74</v>
      </c>
      <c r="AG963">
        <v>22</v>
      </c>
      <c r="AH963">
        <v>5</v>
      </c>
      <c r="AI963">
        <v>6</v>
      </c>
      <c r="AJ963">
        <v>0</v>
      </c>
      <c r="AK963">
        <v>1</v>
      </c>
      <c r="AL963" t="s">
        <v>649</v>
      </c>
      <c r="AM963" t="s">
        <v>2239</v>
      </c>
      <c r="AN963" t="s">
        <v>2240</v>
      </c>
      <c r="AO963" t="s">
        <v>18544</v>
      </c>
      <c r="AP963" t="s">
        <v>18545</v>
      </c>
      <c r="AQ963" t="s">
        <v>74</v>
      </c>
      <c r="AR963" t="s">
        <v>18531</v>
      </c>
      <c r="AS963" t="s">
        <v>18546</v>
      </c>
      <c r="AT963" t="s">
        <v>10878</v>
      </c>
      <c r="AU963">
        <v>2021</v>
      </c>
      <c r="AV963">
        <v>53</v>
      </c>
      <c r="AW963">
        <v>3</v>
      </c>
      <c r="AX963" t="s">
        <v>74</v>
      </c>
      <c r="AY963" t="s">
        <v>74</v>
      </c>
      <c r="AZ963" t="s">
        <v>74</v>
      </c>
      <c r="BA963" t="s">
        <v>74</v>
      </c>
      <c r="BB963">
        <v>245</v>
      </c>
      <c r="BC963">
        <v>255</v>
      </c>
      <c r="BD963" t="s">
        <v>18547</v>
      </c>
      <c r="BE963" t="s">
        <v>18548</v>
      </c>
      <c r="BF963" t="str">
        <f>HYPERLINK("http://dx.doi.org/10.1017/S0024282921000141","http://dx.doi.org/10.1017/S0024282921000141")</f>
        <v>http://dx.doi.org/10.1017/S0024282921000141</v>
      </c>
      <c r="BG963" t="s">
        <v>74</v>
      </c>
      <c r="BH963" t="s">
        <v>74</v>
      </c>
      <c r="BI963">
        <v>11</v>
      </c>
      <c r="BJ963" t="s">
        <v>12130</v>
      </c>
      <c r="BK963" t="s">
        <v>128</v>
      </c>
      <c r="BL963" t="s">
        <v>12130</v>
      </c>
      <c r="BM963" t="s">
        <v>18549</v>
      </c>
      <c r="BN963" t="s">
        <v>74</v>
      </c>
      <c r="BO963" t="s">
        <v>74</v>
      </c>
      <c r="BP963" t="s">
        <v>74</v>
      </c>
      <c r="BQ963" t="s">
        <v>74</v>
      </c>
      <c r="BR963" t="s">
        <v>102</v>
      </c>
      <c r="BS963" t="s">
        <v>18550</v>
      </c>
      <c r="BT963" t="str">
        <f>HYPERLINK("https%3A%2F%2Fwww.webofscience.com%2Fwos%2Fwoscc%2Ffull-record%2FWOS:000654040100004","View Full Record in Web of Science")</f>
        <v>View Full Record in Web of Science</v>
      </c>
    </row>
    <row r="964" spans="1:72" x14ac:dyDescent="0.15">
      <c r="A964" t="s">
        <v>72</v>
      </c>
      <c r="B964" t="s">
        <v>18551</v>
      </c>
      <c r="C964" t="s">
        <v>74</v>
      </c>
      <c r="D964" t="s">
        <v>74</v>
      </c>
      <c r="E964" t="s">
        <v>74</v>
      </c>
      <c r="F964" t="s">
        <v>18552</v>
      </c>
      <c r="G964" t="s">
        <v>74</v>
      </c>
      <c r="H964" t="s">
        <v>74</v>
      </c>
      <c r="I964" t="s">
        <v>18553</v>
      </c>
      <c r="J964" t="s">
        <v>1445</v>
      </c>
      <c r="K964" t="s">
        <v>74</v>
      </c>
      <c r="L964" t="s">
        <v>74</v>
      </c>
      <c r="M964" t="s">
        <v>78</v>
      </c>
      <c r="N964" t="s">
        <v>79</v>
      </c>
      <c r="O964" t="s">
        <v>74</v>
      </c>
      <c r="P964" t="s">
        <v>74</v>
      </c>
      <c r="Q964" t="s">
        <v>74</v>
      </c>
      <c r="R964" t="s">
        <v>74</v>
      </c>
      <c r="S964" t="s">
        <v>74</v>
      </c>
      <c r="T964" t="s">
        <v>18554</v>
      </c>
      <c r="U964" t="s">
        <v>18555</v>
      </c>
      <c r="V964" t="s">
        <v>18556</v>
      </c>
      <c r="W964" t="s">
        <v>18557</v>
      </c>
      <c r="X964" t="s">
        <v>18558</v>
      </c>
      <c r="Y964" t="s">
        <v>18559</v>
      </c>
      <c r="Z964" t="s">
        <v>18560</v>
      </c>
      <c r="AA964" t="s">
        <v>18561</v>
      </c>
      <c r="AB964" t="s">
        <v>18562</v>
      </c>
      <c r="AC964" t="s">
        <v>18563</v>
      </c>
      <c r="AD964" t="s">
        <v>18564</v>
      </c>
      <c r="AE964" t="s">
        <v>18565</v>
      </c>
      <c r="AF964" t="s">
        <v>74</v>
      </c>
      <c r="AG964">
        <v>156</v>
      </c>
      <c r="AH964">
        <v>4</v>
      </c>
      <c r="AI964">
        <v>4</v>
      </c>
      <c r="AJ964">
        <v>1</v>
      </c>
      <c r="AK964">
        <v>31</v>
      </c>
      <c r="AL964" t="s">
        <v>197</v>
      </c>
      <c r="AM964" t="s">
        <v>198</v>
      </c>
      <c r="AN964" t="s">
        <v>199</v>
      </c>
      <c r="AO964" t="s">
        <v>1458</v>
      </c>
      <c r="AP964" t="s">
        <v>74</v>
      </c>
      <c r="AQ964" t="s">
        <v>74</v>
      </c>
      <c r="AR964" t="s">
        <v>1445</v>
      </c>
      <c r="AS964" t="s">
        <v>1459</v>
      </c>
      <c r="AT964" t="s">
        <v>10878</v>
      </c>
      <c r="AU964">
        <v>2021</v>
      </c>
      <c r="AV964">
        <v>12</v>
      </c>
      <c r="AW964">
        <v>5</v>
      </c>
      <c r="AX964" t="s">
        <v>74</v>
      </c>
      <c r="AY964" t="s">
        <v>74</v>
      </c>
      <c r="AZ964" t="s">
        <v>74</v>
      </c>
      <c r="BA964" t="s">
        <v>74</v>
      </c>
      <c r="BB964" t="s">
        <v>74</v>
      </c>
      <c r="BC964" t="s">
        <v>74</v>
      </c>
      <c r="BD964" t="s">
        <v>18566</v>
      </c>
      <c r="BE964" t="s">
        <v>18567</v>
      </c>
      <c r="BF964" t="str">
        <f>HYPERLINK("http://dx.doi.org/10.1002/ecs2.3432","http://dx.doi.org/10.1002/ecs2.3432")</f>
        <v>http://dx.doi.org/10.1002/ecs2.3432</v>
      </c>
      <c r="BG964" t="s">
        <v>74</v>
      </c>
      <c r="BH964" t="s">
        <v>74</v>
      </c>
      <c r="BI964">
        <v>30</v>
      </c>
      <c r="BJ964" t="s">
        <v>1462</v>
      </c>
      <c r="BK964" t="s">
        <v>100</v>
      </c>
      <c r="BL964" t="s">
        <v>263</v>
      </c>
      <c r="BM964" t="s">
        <v>18568</v>
      </c>
      <c r="BN964" t="s">
        <v>74</v>
      </c>
      <c r="BO964" t="s">
        <v>1377</v>
      </c>
      <c r="BP964" t="s">
        <v>74</v>
      </c>
      <c r="BQ964" t="s">
        <v>74</v>
      </c>
      <c r="BR964" t="s">
        <v>102</v>
      </c>
      <c r="BS964" t="s">
        <v>18569</v>
      </c>
      <c r="BT964" t="str">
        <f>HYPERLINK("https%3A%2F%2Fwww.webofscience.com%2Fwos%2Fwoscc%2Ffull-record%2FWOS:000655473800049","View Full Record in Web of Science")</f>
        <v>View Full Record in Web of Science</v>
      </c>
    </row>
    <row r="965" spans="1:72" x14ac:dyDescent="0.15">
      <c r="A965" t="s">
        <v>72</v>
      </c>
      <c r="B965" t="s">
        <v>18570</v>
      </c>
      <c r="C965" t="s">
        <v>74</v>
      </c>
      <c r="D965" t="s">
        <v>74</v>
      </c>
      <c r="E965" t="s">
        <v>74</v>
      </c>
      <c r="F965" t="s">
        <v>18571</v>
      </c>
      <c r="G965" t="s">
        <v>74</v>
      </c>
      <c r="H965" t="s">
        <v>74</v>
      </c>
      <c r="I965" t="s">
        <v>18572</v>
      </c>
      <c r="J965" t="s">
        <v>1248</v>
      </c>
      <c r="K965" t="s">
        <v>74</v>
      </c>
      <c r="L965" t="s">
        <v>74</v>
      </c>
      <c r="M965" t="s">
        <v>78</v>
      </c>
      <c r="N965" t="s">
        <v>79</v>
      </c>
      <c r="O965" t="s">
        <v>74</v>
      </c>
      <c r="P965" t="s">
        <v>74</v>
      </c>
      <c r="Q965" t="s">
        <v>74</v>
      </c>
      <c r="R965" t="s">
        <v>74</v>
      </c>
      <c r="S965" t="s">
        <v>74</v>
      </c>
      <c r="T965" t="s">
        <v>18573</v>
      </c>
      <c r="U965" t="s">
        <v>18574</v>
      </c>
      <c r="V965" t="s">
        <v>18575</v>
      </c>
      <c r="W965" t="s">
        <v>18576</v>
      </c>
      <c r="X965" t="s">
        <v>18577</v>
      </c>
      <c r="Y965" t="s">
        <v>18578</v>
      </c>
      <c r="Z965" t="s">
        <v>18579</v>
      </c>
      <c r="AA965" t="s">
        <v>18580</v>
      </c>
      <c r="AB965" t="s">
        <v>18581</v>
      </c>
      <c r="AC965" t="s">
        <v>18582</v>
      </c>
      <c r="AD965" t="s">
        <v>18583</v>
      </c>
      <c r="AE965" t="s">
        <v>18584</v>
      </c>
      <c r="AF965" t="s">
        <v>74</v>
      </c>
      <c r="AG965">
        <v>103</v>
      </c>
      <c r="AH965">
        <v>26</v>
      </c>
      <c r="AI965">
        <v>28</v>
      </c>
      <c r="AJ965">
        <v>1</v>
      </c>
      <c r="AK965">
        <v>13</v>
      </c>
      <c r="AL965" t="s">
        <v>864</v>
      </c>
      <c r="AM965" t="s">
        <v>865</v>
      </c>
      <c r="AN965" t="s">
        <v>866</v>
      </c>
      <c r="AO965" t="s">
        <v>1261</v>
      </c>
      <c r="AP965" t="s">
        <v>1262</v>
      </c>
      <c r="AQ965" t="s">
        <v>74</v>
      </c>
      <c r="AR965" t="s">
        <v>1263</v>
      </c>
      <c r="AS965" t="s">
        <v>1264</v>
      </c>
      <c r="AT965" t="s">
        <v>10878</v>
      </c>
      <c r="AU965">
        <v>2021</v>
      </c>
      <c r="AV965">
        <v>126</v>
      </c>
      <c r="AW965">
        <v>5</v>
      </c>
      <c r="AX965" t="s">
        <v>74</v>
      </c>
      <c r="AY965" t="s">
        <v>74</v>
      </c>
      <c r="AZ965" t="s">
        <v>74</v>
      </c>
      <c r="BA965" t="s">
        <v>74</v>
      </c>
      <c r="BB965" t="s">
        <v>74</v>
      </c>
      <c r="BC965" t="s">
        <v>74</v>
      </c>
      <c r="BD965" t="s">
        <v>18585</v>
      </c>
      <c r="BE965" t="s">
        <v>18586</v>
      </c>
      <c r="BF965" t="str">
        <f>HYPERLINK("http://dx.doi.org/10.1029/2020JA028793","http://dx.doi.org/10.1029/2020JA028793")</f>
        <v>http://dx.doi.org/10.1029/2020JA028793</v>
      </c>
      <c r="BG965" t="s">
        <v>74</v>
      </c>
      <c r="BH965" t="s">
        <v>74</v>
      </c>
      <c r="BI965">
        <v>22</v>
      </c>
      <c r="BJ965" t="s">
        <v>1267</v>
      </c>
      <c r="BK965" t="s">
        <v>128</v>
      </c>
      <c r="BL965" t="s">
        <v>1267</v>
      </c>
      <c r="BM965" t="s">
        <v>18587</v>
      </c>
      <c r="BN965" t="s">
        <v>74</v>
      </c>
      <c r="BO965" t="s">
        <v>1770</v>
      </c>
      <c r="BP965" t="s">
        <v>74</v>
      </c>
      <c r="BQ965" t="s">
        <v>74</v>
      </c>
      <c r="BR965" t="s">
        <v>102</v>
      </c>
      <c r="BS965" t="s">
        <v>18588</v>
      </c>
      <c r="BT965" t="str">
        <f>HYPERLINK("https%3A%2F%2Fwww.webofscience.com%2Fwos%2Fwoscc%2Ffull-record%2FWOS:000657463000055","View Full Record in Web of Science")</f>
        <v>View Full Record in Web of Science</v>
      </c>
    </row>
    <row r="966" spans="1:72" x14ac:dyDescent="0.15">
      <c r="A966" t="s">
        <v>72</v>
      </c>
      <c r="B966" t="s">
        <v>18589</v>
      </c>
      <c r="C966" t="s">
        <v>74</v>
      </c>
      <c r="D966" t="s">
        <v>74</v>
      </c>
      <c r="E966" t="s">
        <v>74</v>
      </c>
      <c r="F966" t="s">
        <v>18590</v>
      </c>
      <c r="G966" t="s">
        <v>74</v>
      </c>
      <c r="H966" t="s">
        <v>74</v>
      </c>
      <c r="I966" t="s">
        <v>18591</v>
      </c>
      <c r="J966" t="s">
        <v>1248</v>
      </c>
      <c r="K966" t="s">
        <v>74</v>
      </c>
      <c r="L966" t="s">
        <v>74</v>
      </c>
      <c r="M966" t="s">
        <v>78</v>
      </c>
      <c r="N966" t="s">
        <v>79</v>
      </c>
      <c r="O966" t="s">
        <v>74</v>
      </c>
      <c r="P966" t="s">
        <v>74</v>
      </c>
      <c r="Q966" t="s">
        <v>74</v>
      </c>
      <c r="R966" t="s">
        <v>74</v>
      </c>
      <c r="S966" t="s">
        <v>74</v>
      </c>
      <c r="T966" t="s">
        <v>18592</v>
      </c>
      <c r="U966" t="s">
        <v>18593</v>
      </c>
      <c r="V966" t="s">
        <v>18594</v>
      </c>
      <c r="W966" t="s">
        <v>18595</v>
      </c>
      <c r="X966" t="s">
        <v>18596</v>
      </c>
      <c r="Y966" t="s">
        <v>18597</v>
      </c>
      <c r="Z966" t="s">
        <v>18598</v>
      </c>
      <c r="AA966" t="s">
        <v>18599</v>
      </c>
      <c r="AB966" t="s">
        <v>74</v>
      </c>
      <c r="AC966" t="s">
        <v>18600</v>
      </c>
      <c r="AD966" t="s">
        <v>18601</v>
      </c>
      <c r="AE966" t="s">
        <v>18602</v>
      </c>
      <c r="AF966" t="s">
        <v>74</v>
      </c>
      <c r="AG966">
        <v>67</v>
      </c>
      <c r="AH966">
        <v>7</v>
      </c>
      <c r="AI966">
        <v>7</v>
      </c>
      <c r="AJ966">
        <v>5</v>
      </c>
      <c r="AK966">
        <v>15</v>
      </c>
      <c r="AL966" t="s">
        <v>864</v>
      </c>
      <c r="AM966" t="s">
        <v>865</v>
      </c>
      <c r="AN966" t="s">
        <v>866</v>
      </c>
      <c r="AO966" t="s">
        <v>1261</v>
      </c>
      <c r="AP966" t="s">
        <v>1262</v>
      </c>
      <c r="AQ966" t="s">
        <v>74</v>
      </c>
      <c r="AR966" t="s">
        <v>1263</v>
      </c>
      <c r="AS966" t="s">
        <v>1264</v>
      </c>
      <c r="AT966" t="s">
        <v>10878</v>
      </c>
      <c r="AU966">
        <v>2021</v>
      </c>
      <c r="AV966">
        <v>126</v>
      </c>
      <c r="AW966">
        <v>5</v>
      </c>
      <c r="AX966" t="s">
        <v>74</v>
      </c>
      <c r="AY966" t="s">
        <v>74</v>
      </c>
      <c r="AZ966" t="s">
        <v>74</v>
      </c>
      <c r="BA966" t="s">
        <v>74</v>
      </c>
      <c r="BB966" t="s">
        <v>74</v>
      </c>
      <c r="BC966" t="s">
        <v>74</v>
      </c>
      <c r="BD966" t="s">
        <v>18603</v>
      </c>
      <c r="BE966" t="s">
        <v>18604</v>
      </c>
      <c r="BF966" t="str">
        <f>HYPERLINK("http://dx.doi.org/10.1029/2020JA028909","http://dx.doi.org/10.1029/2020JA028909")</f>
        <v>http://dx.doi.org/10.1029/2020JA028909</v>
      </c>
      <c r="BG966" t="s">
        <v>74</v>
      </c>
      <c r="BH966" t="s">
        <v>74</v>
      </c>
      <c r="BI966">
        <v>11</v>
      </c>
      <c r="BJ966" t="s">
        <v>1267</v>
      </c>
      <c r="BK966" t="s">
        <v>128</v>
      </c>
      <c r="BL966" t="s">
        <v>1267</v>
      </c>
      <c r="BM966" t="s">
        <v>18587</v>
      </c>
      <c r="BN966" t="s">
        <v>74</v>
      </c>
      <c r="BO966" t="s">
        <v>8669</v>
      </c>
      <c r="BP966" t="s">
        <v>74</v>
      </c>
      <c r="BQ966" t="s">
        <v>74</v>
      </c>
      <c r="BR966" t="s">
        <v>102</v>
      </c>
      <c r="BS966" t="s">
        <v>18605</v>
      </c>
      <c r="BT966" t="str">
        <f>HYPERLINK("https%3A%2F%2Fwww.webofscience.com%2Fwos%2Fwoscc%2Ffull-record%2FWOS:000657463000006","View Full Record in Web of Science")</f>
        <v>View Full Record in Web of Science</v>
      </c>
    </row>
    <row r="967" spans="1:72" x14ac:dyDescent="0.15">
      <c r="A967" t="s">
        <v>72</v>
      </c>
      <c r="B967" t="s">
        <v>18606</v>
      </c>
      <c r="C967" t="s">
        <v>74</v>
      </c>
      <c r="D967" t="s">
        <v>74</v>
      </c>
      <c r="E967" t="s">
        <v>74</v>
      </c>
      <c r="F967" t="s">
        <v>18607</v>
      </c>
      <c r="G967" t="s">
        <v>74</v>
      </c>
      <c r="H967" t="s">
        <v>74</v>
      </c>
      <c r="I967" t="s">
        <v>18608</v>
      </c>
      <c r="J967" t="s">
        <v>18609</v>
      </c>
      <c r="K967" t="s">
        <v>74</v>
      </c>
      <c r="L967" t="s">
        <v>74</v>
      </c>
      <c r="M967" t="s">
        <v>78</v>
      </c>
      <c r="N967" t="s">
        <v>79</v>
      </c>
      <c r="O967" t="s">
        <v>74</v>
      </c>
      <c r="P967" t="s">
        <v>74</v>
      </c>
      <c r="Q967" t="s">
        <v>74</v>
      </c>
      <c r="R967" t="s">
        <v>74</v>
      </c>
      <c r="S967" t="s">
        <v>74</v>
      </c>
      <c r="T967" t="s">
        <v>18610</v>
      </c>
      <c r="U967" t="s">
        <v>18611</v>
      </c>
      <c r="V967" t="s">
        <v>18612</v>
      </c>
      <c r="W967" t="s">
        <v>18613</v>
      </c>
      <c r="X967" t="s">
        <v>18614</v>
      </c>
      <c r="Y967" t="s">
        <v>18615</v>
      </c>
      <c r="Z967" t="s">
        <v>18616</v>
      </c>
      <c r="AA967" t="s">
        <v>18617</v>
      </c>
      <c r="AB967" t="s">
        <v>18618</v>
      </c>
      <c r="AC967" t="s">
        <v>18619</v>
      </c>
      <c r="AD967" t="s">
        <v>18620</v>
      </c>
      <c r="AE967" t="s">
        <v>18621</v>
      </c>
      <c r="AF967" t="s">
        <v>74</v>
      </c>
      <c r="AG967">
        <v>64</v>
      </c>
      <c r="AH967">
        <v>5</v>
      </c>
      <c r="AI967">
        <v>6</v>
      </c>
      <c r="AJ967">
        <v>2</v>
      </c>
      <c r="AK967">
        <v>8</v>
      </c>
      <c r="AL967" t="s">
        <v>1101</v>
      </c>
      <c r="AM967" t="s">
        <v>1102</v>
      </c>
      <c r="AN967" t="s">
        <v>1103</v>
      </c>
      <c r="AO967" t="s">
        <v>74</v>
      </c>
      <c r="AP967" t="s">
        <v>18622</v>
      </c>
      <c r="AQ967" t="s">
        <v>74</v>
      </c>
      <c r="AR967" t="s">
        <v>18609</v>
      </c>
      <c r="AS967" t="s">
        <v>18623</v>
      </c>
      <c r="AT967" t="s">
        <v>10878</v>
      </c>
      <c r="AU967">
        <v>2021</v>
      </c>
      <c r="AV967">
        <v>13</v>
      </c>
      <c r="AW967">
        <v>5</v>
      </c>
      <c r="AX967" t="s">
        <v>74</v>
      </c>
      <c r="AY967" t="s">
        <v>74</v>
      </c>
      <c r="AZ967" t="s">
        <v>74</v>
      </c>
      <c r="BA967" t="s">
        <v>74</v>
      </c>
      <c r="BB967" t="s">
        <v>74</v>
      </c>
      <c r="BC967" t="s">
        <v>74</v>
      </c>
      <c r="BD967">
        <v>883</v>
      </c>
      <c r="BE967" t="s">
        <v>18624</v>
      </c>
      <c r="BF967" t="str">
        <f>HYPERLINK("http://dx.doi.org/10.3390/v13050883","http://dx.doi.org/10.3390/v13050883")</f>
        <v>http://dx.doi.org/10.3390/v13050883</v>
      </c>
      <c r="BG967" t="s">
        <v>74</v>
      </c>
      <c r="BH967" t="s">
        <v>74</v>
      </c>
      <c r="BI967">
        <v>15</v>
      </c>
      <c r="BJ967" t="s">
        <v>18625</v>
      </c>
      <c r="BK967" t="s">
        <v>128</v>
      </c>
      <c r="BL967" t="s">
        <v>18625</v>
      </c>
      <c r="BM967" t="s">
        <v>18626</v>
      </c>
      <c r="BN967">
        <v>34064904</v>
      </c>
      <c r="BO967" t="s">
        <v>311</v>
      </c>
      <c r="BP967" t="s">
        <v>74</v>
      </c>
      <c r="BQ967" t="s">
        <v>74</v>
      </c>
      <c r="BR967" t="s">
        <v>102</v>
      </c>
      <c r="BS967" t="s">
        <v>18627</v>
      </c>
      <c r="BT967" t="str">
        <f>HYPERLINK("https%3A%2F%2Fwww.webofscience.com%2Fwos%2Fwoscc%2Ffull-record%2FWOS:000654714600001","View Full Record in Web of Science")</f>
        <v>View Full Record in Web of Science</v>
      </c>
    </row>
    <row r="968" spans="1:72" x14ac:dyDescent="0.15">
      <c r="A968" t="s">
        <v>72</v>
      </c>
      <c r="B968" t="s">
        <v>18628</v>
      </c>
      <c r="C968" t="s">
        <v>74</v>
      </c>
      <c r="D968" t="s">
        <v>74</v>
      </c>
      <c r="E968" t="s">
        <v>74</v>
      </c>
      <c r="F968" t="s">
        <v>18629</v>
      </c>
      <c r="G968" t="s">
        <v>74</v>
      </c>
      <c r="H968" t="s">
        <v>74</v>
      </c>
      <c r="I968" t="s">
        <v>18630</v>
      </c>
      <c r="J968" t="s">
        <v>18631</v>
      </c>
      <c r="K968" t="s">
        <v>74</v>
      </c>
      <c r="L968" t="s">
        <v>74</v>
      </c>
      <c r="M968" t="s">
        <v>78</v>
      </c>
      <c r="N968" t="s">
        <v>79</v>
      </c>
      <c r="O968" t="s">
        <v>74</v>
      </c>
      <c r="P968" t="s">
        <v>74</v>
      </c>
      <c r="Q968" t="s">
        <v>74</v>
      </c>
      <c r="R968" t="s">
        <v>74</v>
      </c>
      <c r="S968" t="s">
        <v>74</v>
      </c>
      <c r="T968" t="s">
        <v>18632</v>
      </c>
      <c r="U968" t="s">
        <v>18633</v>
      </c>
      <c r="V968" t="s">
        <v>18634</v>
      </c>
      <c r="W968" t="s">
        <v>18635</v>
      </c>
      <c r="X968" t="s">
        <v>18636</v>
      </c>
      <c r="Y968" t="s">
        <v>18637</v>
      </c>
      <c r="Z968" t="s">
        <v>18638</v>
      </c>
      <c r="AA968" t="s">
        <v>74</v>
      </c>
      <c r="AB968" t="s">
        <v>74</v>
      </c>
      <c r="AC968" t="s">
        <v>18639</v>
      </c>
      <c r="AD968" t="s">
        <v>18640</v>
      </c>
      <c r="AE968" t="s">
        <v>18641</v>
      </c>
      <c r="AF968" t="s">
        <v>74</v>
      </c>
      <c r="AG968">
        <v>40</v>
      </c>
      <c r="AH968">
        <v>16</v>
      </c>
      <c r="AI968">
        <v>18</v>
      </c>
      <c r="AJ968">
        <v>3</v>
      </c>
      <c r="AK968">
        <v>28</v>
      </c>
      <c r="AL968" t="s">
        <v>9680</v>
      </c>
      <c r="AM968" t="s">
        <v>629</v>
      </c>
      <c r="AN968" t="s">
        <v>9681</v>
      </c>
      <c r="AO968" t="s">
        <v>18642</v>
      </c>
      <c r="AP968" t="s">
        <v>18643</v>
      </c>
      <c r="AQ968" t="s">
        <v>74</v>
      </c>
      <c r="AR968" t="s">
        <v>18644</v>
      </c>
      <c r="AS968" t="s">
        <v>18645</v>
      </c>
      <c r="AT968" t="s">
        <v>10878</v>
      </c>
      <c r="AU968">
        <v>2021</v>
      </c>
      <c r="AV968">
        <v>14</v>
      </c>
      <c r="AW968">
        <v>3</v>
      </c>
      <c r="AX968" t="s">
        <v>74</v>
      </c>
      <c r="AY968" t="s">
        <v>74</v>
      </c>
      <c r="AZ968" t="s">
        <v>74</v>
      </c>
      <c r="BA968" t="s">
        <v>74</v>
      </c>
      <c r="BB968" t="s">
        <v>74</v>
      </c>
      <c r="BC968" t="s">
        <v>74</v>
      </c>
      <c r="BD968">
        <v>100043</v>
      </c>
      <c r="BE968" t="s">
        <v>18646</v>
      </c>
      <c r="BF968" t="str">
        <f>HYPERLINK("http://dx.doi.org/10.1016/j.aosl.2021.100043","http://dx.doi.org/10.1016/j.aosl.2021.100043")</f>
        <v>http://dx.doi.org/10.1016/j.aosl.2021.100043</v>
      </c>
      <c r="BG968" t="s">
        <v>74</v>
      </c>
      <c r="BH968" t="s">
        <v>74</v>
      </c>
      <c r="BI968">
        <v>6</v>
      </c>
      <c r="BJ968" t="s">
        <v>567</v>
      </c>
      <c r="BK968" t="s">
        <v>1819</v>
      </c>
      <c r="BL968" t="s">
        <v>567</v>
      </c>
      <c r="BM968" t="s">
        <v>18647</v>
      </c>
      <c r="BN968" t="s">
        <v>74</v>
      </c>
      <c r="BO968" t="s">
        <v>638</v>
      </c>
      <c r="BP968" t="s">
        <v>74</v>
      </c>
      <c r="BQ968" t="s">
        <v>74</v>
      </c>
      <c r="BR968" t="s">
        <v>102</v>
      </c>
      <c r="BS968" t="s">
        <v>18648</v>
      </c>
      <c r="BT968" t="str">
        <f>HYPERLINK("https%3A%2F%2Fwww.webofscience.com%2Fwos%2Fwoscc%2Ffull-record%2FWOS:000657667100010","View Full Record in Web of Science")</f>
        <v>View Full Record in Web of Science</v>
      </c>
    </row>
    <row r="969" spans="1:72" x14ac:dyDescent="0.15">
      <c r="A969" t="s">
        <v>72</v>
      </c>
      <c r="B969" t="s">
        <v>18649</v>
      </c>
      <c r="C969" t="s">
        <v>74</v>
      </c>
      <c r="D969" t="s">
        <v>74</v>
      </c>
      <c r="E969" t="s">
        <v>74</v>
      </c>
      <c r="F969" t="s">
        <v>18650</v>
      </c>
      <c r="G969" t="s">
        <v>74</v>
      </c>
      <c r="H969" t="s">
        <v>74</v>
      </c>
      <c r="I969" t="s">
        <v>18651</v>
      </c>
      <c r="J969" t="s">
        <v>18652</v>
      </c>
      <c r="K969" t="s">
        <v>74</v>
      </c>
      <c r="L969" t="s">
        <v>74</v>
      </c>
      <c r="M969" t="s">
        <v>78</v>
      </c>
      <c r="N969" t="s">
        <v>79</v>
      </c>
      <c r="O969" t="s">
        <v>74</v>
      </c>
      <c r="P969" t="s">
        <v>74</v>
      </c>
      <c r="Q969" t="s">
        <v>74</v>
      </c>
      <c r="R969" t="s">
        <v>74</v>
      </c>
      <c r="S969" t="s">
        <v>74</v>
      </c>
      <c r="T969" t="s">
        <v>74</v>
      </c>
      <c r="U969" t="s">
        <v>18653</v>
      </c>
      <c r="V969" t="s">
        <v>18654</v>
      </c>
      <c r="W969" t="s">
        <v>18655</v>
      </c>
      <c r="X969" t="s">
        <v>18656</v>
      </c>
      <c r="Y969" t="s">
        <v>18657</v>
      </c>
      <c r="Z969" t="s">
        <v>18658</v>
      </c>
      <c r="AA969" t="s">
        <v>18659</v>
      </c>
      <c r="AB969" t="s">
        <v>18660</v>
      </c>
      <c r="AC969" t="s">
        <v>18661</v>
      </c>
      <c r="AD969" t="s">
        <v>18662</v>
      </c>
      <c r="AE969" t="s">
        <v>18663</v>
      </c>
      <c r="AF969" t="s">
        <v>74</v>
      </c>
      <c r="AG969">
        <v>79</v>
      </c>
      <c r="AH969">
        <v>1</v>
      </c>
      <c r="AI969">
        <v>1</v>
      </c>
      <c r="AJ969">
        <v>2</v>
      </c>
      <c r="AK969">
        <v>7</v>
      </c>
      <c r="AL969" t="s">
        <v>18664</v>
      </c>
      <c r="AM969" t="s">
        <v>12530</v>
      </c>
      <c r="AN969" t="s">
        <v>18665</v>
      </c>
      <c r="AO969" t="s">
        <v>18666</v>
      </c>
      <c r="AP969" t="s">
        <v>18667</v>
      </c>
      <c r="AQ969" t="s">
        <v>74</v>
      </c>
      <c r="AR969" t="s">
        <v>18668</v>
      </c>
      <c r="AS969" t="s">
        <v>18669</v>
      </c>
      <c r="AT969" t="s">
        <v>10878</v>
      </c>
      <c r="AU969">
        <v>2021</v>
      </c>
      <c r="AV969">
        <v>9</v>
      </c>
      <c r="AW969">
        <v>2</v>
      </c>
      <c r="AX969" t="s">
        <v>74</v>
      </c>
      <c r="AY969" t="s">
        <v>74</v>
      </c>
      <c r="AZ969" t="s">
        <v>74</v>
      </c>
      <c r="BA969" t="s">
        <v>74</v>
      </c>
      <c r="BB969" t="s">
        <v>18670</v>
      </c>
      <c r="BC969" t="s">
        <v>18671</v>
      </c>
      <c r="BD969" t="s">
        <v>74</v>
      </c>
      <c r="BE969" t="s">
        <v>18672</v>
      </c>
      <c r="BF969" t="str">
        <f>HYPERLINK("http://dx.doi.org/10.1190/INT-2020-0159.1","http://dx.doi.org/10.1190/INT-2020-0159.1")</f>
        <v>http://dx.doi.org/10.1190/INT-2020-0159.1</v>
      </c>
      <c r="BG969" t="s">
        <v>74</v>
      </c>
      <c r="BH969" t="s">
        <v>74</v>
      </c>
      <c r="BI969">
        <v>17</v>
      </c>
      <c r="BJ969" t="s">
        <v>289</v>
      </c>
      <c r="BK969" t="s">
        <v>128</v>
      </c>
      <c r="BL969" t="s">
        <v>289</v>
      </c>
      <c r="BM969" t="s">
        <v>18673</v>
      </c>
      <c r="BN969" t="s">
        <v>74</v>
      </c>
      <c r="BO969" t="s">
        <v>408</v>
      </c>
      <c r="BP969" t="s">
        <v>74</v>
      </c>
      <c r="BQ969" t="s">
        <v>74</v>
      </c>
      <c r="BR969" t="s">
        <v>102</v>
      </c>
      <c r="BS969" t="s">
        <v>18674</v>
      </c>
      <c r="BT969" t="str">
        <f>HYPERLINK("https%3A%2F%2Fwww.webofscience.com%2Fwos%2Fwoscc%2Ffull-record%2FWOS:000654267900031","View Full Record in Web of Science")</f>
        <v>View Full Record in Web of Science</v>
      </c>
    </row>
    <row r="970" spans="1:72" x14ac:dyDescent="0.15">
      <c r="A970" t="s">
        <v>72</v>
      </c>
      <c r="B970" t="s">
        <v>18675</v>
      </c>
      <c r="C970" t="s">
        <v>74</v>
      </c>
      <c r="D970" t="s">
        <v>74</v>
      </c>
      <c r="E970" t="s">
        <v>74</v>
      </c>
      <c r="F970" t="s">
        <v>18676</v>
      </c>
      <c r="G970" t="s">
        <v>74</v>
      </c>
      <c r="H970" t="s">
        <v>74</v>
      </c>
      <c r="I970" t="s">
        <v>18677</v>
      </c>
      <c r="J970" t="s">
        <v>18678</v>
      </c>
      <c r="K970" t="s">
        <v>74</v>
      </c>
      <c r="L970" t="s">
        <v>74</v>
      </c>
      <c r="M970" t="s">
        <v>6414</v>
      </c>
      <c r="N970" t="s">
        <v>79</v>
      </c>
      <c r="O970" t="s">
        <v>74</v>
      </c>
      <c r="P970" t="s">
        <v>74</v>
      </c>
      <c r="Q970" t="s">
        <v>74</v>
      </c>
      <c r="R970" t="s">
        <v>74</v>
      </c>
      <c r="S970" t="s">
        <v>74</v>
      </c>
      <c r="T970" t="s">
        <v>18679</v>
      </c>
      <c r="U970" t="s">
        <v>74</v>
      </c>
      <c r="V970" t="s">
        <v>18680</v>
      </c>
      <c r="W970" t="s">
        <v>18681</v>
      </c>
      <c r="X970" t="s">
        <v>18682</v>
      </c>
      <c r="Y970" t="s">
        <v>18683</v>
      </c>
      <c r="Z970" t="s">
        <v>18684</v>
      </c>
      <c r="AA970" t="s">
        <v>74</v>
      </c>
      <c r="AB970" t="s">
        <v>74</v>
      </c>
      <c r="AC970" t="s">
        <v>74</v>
      </c>
      <c r="AD970" t="s">
        <v>74</v>
      </c>
      <c r="AE970" t="s">
        <v>74</v>
      </c>
      <c r="AF970" t="s">
        <v>74</v>
      </c>
      <c r="AG970">
        <v>61</v>
      </c>
      <c r="AH970">
        <v>1</v>
      </c>
      <c r="AI970">
        <v>1</v>
      </c>
      <c r="AJ970">
        <v>0</v>
      </c>
      <c r="AK970">
        <v>1</v>
      </c>
      <c r="AL970" t="s">
        <v>18685</v>
      </c>
      <c r="AM970" t="s">
        <v>18686</v>
      </c>
      <c r="AN970" t="s">
        <v>18687</v>
      </c>
      <c r="AO970" t="s">
        <v>18688</v>
      </c>
      <c r="AP970" t="s">
        <v>18689</v>
      </c>
      <c r="AQ970" t="s">
        <v>74</v>
      </c>
      <c r="AR970" t="s">
        <v>18678</v>
      </c>
      <c r="AS970" t="s">
        <v>18690</v>
      </c>
      <c r="AT970" t="s">
        <v>18691</v>
      </c>
      <c r="AU970">
        <v>2021</v>
      </c>
      <c r="AV970">
        <v>17</v>
      </c>
      <c r="AW970">
        <v>1</v>
      </c>
      <c r="AX970" t="s">
        <v>74</v>
      </c>
      <c r="AY970" t="s">
        <v>74</v>
      </c>
      <c r="AZ970" t="s">
        <v>74</v>
      </c>
      <c r="BA970" t="s">
        <v>74</v>
      </c>
      <c r="BB970" t="s">
        <v>74</v>
      </c>
      <c r="BC970" t="s">
        <v>74</v>
      </c>
      <c r="BD970" t="s">
        <v>18692</v>
      </c>
      <c r="BE970" t="s">
        <v>18693</v>
      </c>
      <c r="BF970" t="str">
        <f>HYPERLINK("http://dx.doi.org/10.24215/2346898Xe095","http://dx.doi.org/10.24215/2346898Xe095")</f>
        <v>http://dx.doi.org/10.24215/2346898Xe095</v>
      </c>
      <c r="BG970" t="s">
        <v>74</v>
      </c>
      <c r="BH970" t="s">
        <v>74</v>
      </c>
      <c r="BI970">
        <v>21</v>
      </c>
      <c r="BJ970" t="s">
        <v>9443</v>
      </c>
      <c r="BK970" t="s">
        <v>1819</v>
      </c>
      <c r="BL970" t="s">
        <v>9443</v>
      </c>
      <c r="BM970" t="s">
        <v>18694</v>
      </c>
      <c r="BN970" t="s">
        <v>74</v>
      </c>
      <c r="BO970" t="s">
        <v>1377</v>
      </c>
      <c r="BP970" t="s">
        <v>74</v>
      </c>
      <c r="BQ970" t="s">
        <v>74</v>
      </c>
      <c r="BR970" t="s">
        <v>102</v>
      </c>
      <c r="BS970" t="s">
        <v>18695</v>
      </c>
      <c r="BT970" t="str">
        <f>HYPERLINK("https%3A%2F%2Fwww.webofscience.com%2Fwos%2Fwoscc%2Ffull-record%2FWOS:000654282100009","View Full Record in Web of Science")</f>
        <v>View Full Record in Web of Science</v>
      </c>
    </row>
    <row r="971" spans="1:72" x14ac:dyDescent="0.15">
      <c r="A971" t="s">
        <v>72</v>
      </c>
      <c r="B971" t="s">
        <v>18696</v>
      </c>
      <c r="C971" t="s">
        <v>74</v>
      </c>
      <c r="D971" t="s">
        <v>74</v>
      </c>
      <c r="E971" t="s">
        <v>74</v>
      </c>
      <c r="F971" t="s">
        <v>18697</v>
      </c>
      <c r="G971" t="s">
        <v>74</v>
      </c>
      <c r="H971" t="s">
        <v>74</v>
      </c>
      <c r="I971" t="s">
        <v>18698</v>
      </c>
      <c r="J971" t="s">
        <v>7389</v>
      </c>
      <c r="K971" t="s">
        <v>74</v>
      </c>
      <c r="L971" t="s">
        <v>74</v>
      </c>
      <c r="M971" t="s">
        <v>78</v>
      </c>
      <c r="N971" t="s">
        <v>700</v>
      </c>
      <c r="O971" t="s">
        <v>74</v>
      </c>
      <c r="P971" t="s">
        <v>74</v>
      </c>
      <c r="Q971" t="s">
        <v>74</v>
      </c>
      <c r="R971" t="s">
        <v>74</v>
      </c>
      <c r="S971" t="s">
        <v>74</v>
      </c>
      <c r="T971" t="s">
        <v>18699</v>
      </c>
      <c r="U971" t="s">
        <v>18700</v>
      </c>
      <c r="V971" t="s">
        <v>18701</v>
      </c>
      <c r="W971" t="s">
        <v>18702</v>
      </c>
      <c r="X971" t="s">
        <v>18703</v>
      </c>
      <c r="Y971" t="s">
        <v>18704</v>
      </c>
      <c r="Z971" t="s">
        <v>18705</v>
      </c>
      <c r="AA971" t="s">
        <v>18706</v>
      </c>
      <c r="AB971" t="s">
        <v>18707</v>
      </c>
      <c r="AC971" t="s">
        <v>18708</v>
      </c>
      <c r="AD971" t="s">
        <v>74</v>
      </c>
      <c r="AE971" t="s">
        <v>18709</v>
      </c>
      <c r="AF971" t="s">
        <v>74</v>
      </c>
      <c r="AG971">
        <v>251</v>
      </c>
      <c r="AH971">
        <v>19</v>
      </c>
      <c r="AI971">
        <v>19</v>
      </c>
      <c r="AJ971">
        <v>13</v>
      </c>
      <c r="AK971">
        <v>74</v>
      </c>
      <c r="AL971" t="s">
        <v>1101</v>
      </c>
      <c r="AM971" t="s">
        <v>1102</v>
      </c>
      <c r="AN971" t="s">
        <v>1103</v>
      </c>
      <c r="AO971" t="s">
        <v>74</v>
      </c>
      <c r="AP971" t="s">
        <v>7399</v>
      </c>
      <c r="AQ971" t="s">
        <v>74</v>
      </c>
      <c r="AR971" t="s">
        <v>7400</v>
      </c>
      <c r="AS971" t="s">
        <v>7401</v>
      </c>
      <c r="AT971" t="s">
        <v>10878</v>
      </c>
      <c r="AU971">
        <v>2021</v>
      </c>
      <c r="AV971">
        <v>7</v>
      </c>
      <c r="AW971">
        <v>5</v>
      </c>
      <c r="AX971" t="s">
        <v>74</v>
      </c>
      <c r="AY971" t="s">
        <v>74</v>
      </c>
      <c r="AZ971" t="s">
        <v>74</v>
      </c>
      <c r="BA971" t="s">
        <v>74</v>
      </c>
      <c r="BB971" t="s">
        <v>74</v>
      </c>
      <c r="BC971" t="s">
        <v>74</v>
      </c>
      <c r="BD971">
        <v>391</v>
      </c>
      <c r="BE971" t="s">
        <v>18710</v>
      </c>
      <c r="BF971" t="str">
        <f>HYPERLINK("http://dx.doi.org/10.3390/jof7050391","http://dx.doi.org/10.3390/jof7050391")</f>
        <v>http://dx.doi.org/10.3390/jof7050391</v>
      </c>
      <c r="BG971" t="s">
        <v>74</v>
      </c>
      <c r="BH971" t="s">
        <v>74</v>
      </c>
      <c r="BI971">
        <v>24</v>
      </c>
      <c r="BJ971" t="s">
        <v>7403</v>
      </c>
      <c r="BK971" t="s">
        <v>128</v>
      </c>
      <c r="BL971" t="s">
        <v>7403</v>
      </c>
      <c r="BM971" t="s">
        <v>18711</v>
      </c>
      <c r="BN971">
        <v>34067750</v>
      </c>
      <c r="BO971" t="s">
        <v>311</v>
      </c>
      <c r="BP971" t="s">
        <v>74</v>
      </c>
      <c r="BQ971" t="s">
        <v>74</v>
      </c>
      <c r="BR971" t="s">
        <v>102</v>
      </c>
      <c r="BS971" t="s">
        <v>18712</v>
      </c>
      <c r="BT971" t="str">
        <f>HYPERLINK("https%3A%2F%2Fwww.webofscience.com%2Fwos%2Fwoscc%2Ffull-record%2FWOS:000654307100001","View Full Record in Web of Science")</f>
        <v>View Full Record in Web of Science</v>
      </c>
    </row>
    <row r="972" spans="1:72" x14ac:dyDescent="0.15">
      <c r="A972" t="s">
        <v>72</v>
      </c>
      <c r="B972" t="s">
        <v>18713</v>
      </c>
      <c r="C972" t="s">
        <v>74</v>
      </c>
      <c r="D972" t="s">
        <v>74</v>
      </c>
      <c r="E972" t="s">
        <v>74</v>
      </c>
      <c r="F972" t="s">
        <v>18714</v>
      </c>
      <c r="G972" t="s">
        <v>74</v>
      </c>
      <c r="H972" t="s">
        <v>74</v>
      </c>
      <c r="I972" t="s">
        <v>18715</v>
      </c>
      <c r="J972" t="s">
        <v>7129</v>
      </c>
      <c r="K972" t="s">
        <v>74</v>
      </c>
      <c r="L972" t="s">
        <v>74</v>
      </c>
      <c r="M972" t="s">
        <v>78</v>
      </c>
      <c r="N972" t="s">
        <v>79</v>
      </c>
      <c r="O972" t="s">
        <v>74</v>
      </c>
      <c r="P972" t="s">
        <v>74</v>
      </c>
      <c r="Q972" t="s">
        <v>74</v>
      </c>
      <c r="R972" t="s">
        <v>74</v>
      </c>
      <c r="S972" t="s">
        <v>74</v>
      </c>
      <c r="T972" t="s">
        <v>18716</v>
      </c>
      <c r="U972" t="s">
        <v>18717</v>
      </c>
      <c r="V972" t="s">
        <v>18718</v>
      </c>
      <c r="W972" t="s">
        <v>18719</v>
      </c>
      <c r="X972" t="s">
        <v>18720</v>
      </c>
      <c r="Y972" t="s">
        <v>18721</v>
      </c>
      <c r="Z972" t="s">
        <v>18722</v>
      </c>
      <c r="AA972" t="s">
        <v>18723</v>
      </c>
      <c r="AB972" t="s">
        <v>18724</v>
      </c>
      <c r="AC972" t="s">
        <v>18725</v>
      </c>
      <c r="AD972" t="s">
        <v>18726</v>
      </c>
      <c r="AE972" t="s">
        <v>18727</v>
      </c>
      <c r="AF972" t="s">
        <v>74</v>
      </c>
      <c r="AG972">
        <v>59</v>
      </c>
      <c r="AH972">
        <v>3</v>
      </c>
      <c r="AI972">
        <v>3</v>
      </c>
      <c r="AJ972">
        <v>0</v>
      </c>
      <c r="AK972">
        <v>11</v>
      </c>
      <c r="AL972" t="s">
        <v>864</v>
      </c>
      <c r="AM972" t="s">
        <v>865</v>
      </c>
      <c r="AN972" t="s">
        <v>866</v>
      </c>
      <c r="AO972" t="s">
        <v>7142</v>
      </c>
      <c r="AP972" t="s">
        <v>7143</v>
      </c>
      <c r="AQ972" t="s">
        <v>74</v>
      </c>
      <c r="AR972" t="s">
        <v>7144</v>
      </c>
      <c r="AS972" t="s">
        <v>7145</v>
      </c>
      <c r="AT972" t="s">
        <v>10878</v>
      </c>
      <c r="AU972">
        <v>2021</v>
      </c>
      <c r="AV972">
        <v>126</v>
      </c>
      <c r="AW972">
        <v>5</v>
      </c>
      <c r="AX972" t="s">
        <v>74</v>
      </c>
      <c r="AY972" t="s">
        <v>74</v>
      </c>
      <c r="AZ972" t="s">
        <v>74</v>
      </c>
      <c r="BA972" t="s">
        <v>74</v>
      </c>
      <c r="BB972" t="s">
        <v>74</v>
      </c>
      <c r="BC972" t="s">
        <v>74</v>
      </c>
      <c r="BD972" t="s">
        <v>18728</v>
      </c>
      <c r="BE972" t="s">
        <v>18729</v>
      </c>
      <c r="BF972" t="str">
        <f>HYPERLINK("http://dx.doi.org/10.1029/2020JG005762","http://dx.doi.org/10.1029/2020JG005762")</f>
        <v>http://dx.doi.org/10.1029/2020JG005762</v>
      </c>
      <c r="BG972" t="s">
        <v>74</v>
      </c>
      <c r="BH972" t="s">
        <v>74</v>
      </c>
      <c r="BI972">
        <v>16</v>
      </c>
      <c r="BJ972" t="s">
        <v>7148</v>
      </c>
      <c r="BK972" t="s">
        <v>128</v>
      </c>
      <c r="BL972" t="s">
        <v>3327</v>
      </c>
      <c r="BM972" t="s">
        <v>18730</v>
      </c>
      <c r="BN972" t="s">
        <v>74</v>
      </c>
      <c r="BO972" t="s">
        <v>238</v>
      </c>
      <c r="BP972" t="s">
        <v>74</v>
      </c>
      <c r="BQ972" t="s">
        <v>74</v>
      </c>
      <c r="BR972" t="s">
        <v>102</v>
      </c>
      <c r="BS972" t="s">
        <v>18731</v>
      </c>
      <c r="BT972" t="str">
        <f>HYPERLINK("https%3A%2F%2Fwww.webofscience.com%2Fwos%2Fwoscc%2Ffull-record%2FWOS:000655232300029","View Full Record in Web of Science")</f>
        <v>View Full Record in Web of Science</v>
      </c>
    </row>
    <row r="973" spans="1:72" x14ac:dyDescent="0.15">
      <c r="A973" t="s">
        <v>72</v>
      </c>
      <c r="B973" t="s">
        <v>18732</v>
      </c>
      <c r="C973" t="s">
        <v>74</v>
      </c>
      <c r="D973" t="s">
        <v>74</v>
      </c>
      <c r="E973" t="s">
        <v>74</v>
      </c>
      <c r="F973" t="s">
        <v>18733</v>
      </c>
      <c r="G973" t="s">
        <v>74</v>
      </c>
      <c r="H973" t="s">
        <v>74</v>
      </c>
      <c r="I973" t="s">
        <v>18734</v>
      </c>
      <c r="J973" t="s">
        <v>7129</v>
      </c>
      <c r="K973" t="s">
        <v>74</v>
      </c>
      <c r="L973" t="s">
        <v>74</v>
      </c>
      <c r="M973" t="s">
        <v>78</v>
      </c>
      <c r="N973" t="s">
        <v>79</v>
      </c>
      <c r="O973" t="s">
        <v>74</v>
      </c>
      <c r="P973" t="s">
        <v>74</v>
      </c>
      <c r="Q973" t="s">
        <v>74</v>
      </c>
      <c r="R973" t="s">
        <v>74</v>
      </c>
      <c r="S973" t="s">
        <v>74</v>
      </c>
      <c r="T973" t="s">
        <v>18735</v>
      </c>
      <c r="U973" t="s">
        <v>18736</v>
      </c>
      <c r="V973" t="s">
        <v>18737</v>
      </c>
      <c r="W973" t="s">
        <v>18738</v>
      </c>
      <c r="X973" t="s">
        <v>18739</v>
      </c>
      <c r="Y973" t="s">
        <v>18740</v>
      </c>
      <c r="Z973" t="s">
        <v>18741</v>
      </c>
      <c r="AA973" t="s">
        <v>18742</v>
      </c>
      <c r="AB973" t="s">
        <v>18743</v>
      </c>
      <c r="AC973" t="s">
        <v>18744</v>
      </c>
      <c r="AD973" t="s">
        <v>18745</v>
      </c>
      <c r="AE973" t="s">
        <v>18746</v>
      </c>
      <c r="AF973" t="s">
        <v>74</v>
      </c>
      <c r="AG973">
        <v>106</v>
      </c>
      <c r="AH973">
        <v>6</v>
      </c>
      <c r="AI973">
        <v>9</v>
      </c>
      <c r="AJ973">
        <v>1</v>
      </c>
      <c r="AK973">
        <v>42</v>
      </c>
      <c r="AL973" t="s">
        <v>864</v>
      </c>
      <c r="AM973" t="s">
        <v>865</v>
      </c>
      <c r="AN973" t="s">
        <v>866</v>
      </c>
      <c r="AO973" t="s">
        <v>7142</v>
      </c>
      <c r="AP973" t="s">
        <v>7143</v>
      </c>
      <c r="AQ973" t="s">
        <v>74</v>
      </c>
      <c r="AR973" t="s">
        <v>7144</v>
      </c>
      <c r="AS973" t="s">
        <v>7145</v>
      </c>
      <c r="AT973" t="s">
        <v>10878</v>
      </c>
      <c r="AU973">
        <v>2021</v>
      </c>
      <c r="AV973">
        <v>126</v>
      </c>
      <c r="AW973">
        <v>5</v>
      </c>
      <c r="AX973" t="s">
        <v>74</v>
      </c>
      <c r="AY973" t="s">
        <v>74</v>
      </c>
      <c r="AZ973" t="s">
        <v>74</v>
      </c>
      <c r="BA973" t="s">
        <v>74</v>
      </c>
      <c r="BB973" t="s">
        <v>74</v>
      </c>
      <c r="BC973" t="s">
        <v>74</v>
      </c>
      <c r="BD973" t="s">
        <v>18747</v>
      </c>
      <c r="BE973" t="s">
        <v>18748</v>
      </c>
      <c r="BF973" t="str">
        <f>HYPERLINK("http://dx.doi.org/10.1029/2021JG006309","http://dx.doi.org/10.1029/2021JG006309")</f>
        <v>http://dx.doi.org/10.1029/2021JG006309</v>
      </c>
      <c r="BG973" t="s">
        <v>74</v>
      </c>
      <c r="BH973" t="s">
        <v>74</v>
      </c>
      <c r="BI973">
        <v>18</v>
      </c>
      <c r="BJ973" t="s">
        <v>7148</v>
      </c>
      <c r="BK973" t="s">
        <v>128</v>
      </c>
      <c r="BL973" t="s">
        <v>3327</v>
      </c>
      <c r="BM973" t="s">
        <v>18730</v>
      </c>
      <c r="BN973" t="s">
        <v>74</v>
      </c>
      <c r="BO973" t="s">
        <v>74</v>
      </c>
      <c r="BP973" t="s">
        <v>74</v>
      </c>
      <c r="BQ973" t="s">
        <v>74</v>
      </c>
      <c r="BR973" t="s">
        <v>102</v>
      </c>
      <c r="BS973" t="s">
        <v>18749</v>
      </c>
      <c r="BT973" t="str">
        <f>HYPERLINK("https%3A%2F%2Fwww.webofscience.com%2Fwos%2Fwoscc%2Ffull-record%2FWOS:000655232300007","View Full Record in Web of Science")</f>
        <v>View Full Record in Web of Science</v>
      </c>
    </row>
    <row r="974" spans="1:72" x14ac:dyDescent="0.15">
      <c r="A974" t="s">
        <v>72</v>
      </c>
      <c r="B974" t="s">
        <v>18750</v>
      </c>
      <c r="C974" t="s">
        <v>74</v>
      </c>
      <c r="D974" t="s">
        <v>74</v>
      </c>
      <c r="E974" t="s">
        <v>74</v>
      </c>
      <c r="F974" t="s">
        <v>18751</v>
      </c>
      <c r="G974" t="s">
        <v>74</v>
      </c>
      <c r="H974" t="s">
        <v>74</v>
      </c>
      <c r="I974" t="s">
        <v>18752</v>
      </c>
      <c r="J974" t="s">
        <v>7155</v>
      </c>
      <c r="K974" t="s">
        <v>74</v>
      </c>
      <c r="L974" t="s">
        <v>74</v>
      </c>
      <c r="M974" t="s">
        <v>78</v>
      </c>
      <c r="N974" t="s">
        <v>79</v>
      </c>
      <c r="O974" t="s">
        <v>74</v>
      </c>
      <c r="P974" t="s">
        <v>74</v>
      </c>
      <c r="Q974" t="s">
        <v>74</v>
      </c>
      <c r="R974" t="s">
        <v>74</v>
      </c>
      <c r="S974" t="s">
        <v>74</v>
      </c>
      <c r="T974" t="s">
        <v>18753</v>
      </c>
      <c r="U974" t="s">
        <v>18754</v>
      </c>
      <c r="V974" t="s">
        <v>18755</v>
      </c>
      <c r="W974" t="s">
        <v>18756</v>
      </c>
      <c r="X974" t="s">
        <v>18757</v>
      </c>
      <c r="Y974" t="s">
        <v>18758</v>
      </c>
      <c r="Z974" t="s">
        <v>18759</v>
      </c>
      <c r="AA974" t="s">
        <v>18760</v>
      </c>
      <c r="AB974" t="s">
        <v>18761</v>
      </c>
      <c r="AC974" t="s">
        <v>18762</v>
      </c>
      <c r="AD974" t="s">
        <v>18763</v>
      </c>
      <c r="AE974" t="s">
        <v>18764</v>
      </c>
      <c r="AF974" t="s">
        <v>74</v>
      </c>
      <c r="AG974">
        <v>61</v>
      </c>
      <c r="AH974">
        <v>4</v>
      </c>
      <c r="AI974">
        <v>4</v>
      </c>
      <c r="AJ974">
        <v>1</v>
      </c>
      <c r="AK974">
        <v>10</v>
      </c>
      <c r="AL974" t="s">
        <v>864</v>
      </c>
      <c r="AM974" t="s">
        <v>865</v>
      </c>
      <c r="AN974" t="s">
        <v>866</v>
      </c>
      <c r="AO974" t="s">
        <v>7168</v>
      </c>
      <c r="AP974" t="s">
        <v>7169</v>
      </c>
      <c r="AQ974" t="s">
        <v>74</v>
      </c>
      <c r="AR974" t="s">
        <v>7170</v>
      </c>
      <c r="AS974" t="s">
        <v>7171</v>
      </c>
      <c r="AT974" t="s">
        <v>10878</v>
      </c>
      <c r="AU974">
        <v>2021</v>
      </c>
      <c r="AV974">
        <v>126</v>
      </c>
      <c r="AW974">
        <v>5</v>
      </c>
      <c r="AX974" t="s">
        <v>74</v>
      </c>
      <c r="AY974" t="s">
        <v>74</v>
      </c>
      <c r="AZ974" t="s">
        <v>74</v>
      </c>
      <c r="BA974" t="s">
        <v>74</v>
      </c>
      <c r="BB974" t="s">
        <v>74</v>
      </c>
      <c r="BC974" t="s">
        <v>74</v>
      </c>
      <c r="BD974" t="s">
        <v>18765</v>
      </c>
      <c r="BE974" t="s">
        <v>18766</v>
      </c>
      <c r="BF974" t="str">
        <f>HYPERLINK("http://dx.doi.org/10.1029/2020JF005936","http://dx.doi.org/10.1029/2020JF005936")</f>
        <v>http://dx.doi.org/10.1029/2020JF005936</v>
      </c>
      <c r="BG974" t="s">
        <v>74</v>
      </c>
      <c r="BH974" t="s">
        <v>74</v>
      </c>
      <c r="BI974">
        <v>25</v>
      </c>
      <c r="BJ974" t="s">
        <v>405</v>
      </c>
      <c r="BK974" t="s">
        <v>128</v>
      </c>
      <c r="BL974" t="s">
        <v>406</v>
      </c>
      <c r="BM974" t="s">
        <v>18767</v>
      </c>
      <c r="BN974" t="s">
        <v>74</v>
      </c>
      <c r="BO974" t="s">
        <v>74</v>
      </c>
      <c r="BP974" t="s">
        <v>74</v>
      </c>
      <c r="BQ974" t="s">
        <v>74</v>
      </c>
      <c r="BR974" t="s">
        <v>102</v>
      </c>
      <c r="BS974" t="s">
        <v>18768</v>
      </c>
      <c r="BT974" t="str">
        <f>HYPERLINK("https%3A%2F%2Fwww.webofscience.com%2Fwos%2Fwoscc%2Ffull-record%2FWOS:000655231000016","View Full Record in Web of Science")</f>
        <v>View Full Record in Web of Science</v>
      </c>
    </row>
    <row r="975" spans="1:72" x14ac:dyDescent="0.15">
      <c r="A975" t="s">
        <v>72</v>
      </c>
      <c r="B975" t="s">
        <v>18769</v>
      </c>
      <c r="C975" t="s">
        <v>74</v>
      </c>
      <c r="D975" t="s">
        <v>74</v>
      </c>
      <c r="E975" t="s">
        <v>74</v>
      </c>
      <c r="F975" t="s">
        <v>18770</v>
      </c>
      <c r="G975" t="s">
        <v>74</v>
      </c>
      <c r="H975" t="s">
        <v>74</v>
      </c>
      <c r="I975" t="s">
        <v>18771</v>
      </c>
      <c r="J975" t="s">
        <v>7155</v>
      </c>
      <c r="K975" t="s">
        <v>74</v>
      </c>
      <c r="L975" t="s">
        <v>74</v>
      </c>
      <c r="M975" t="s">
        <v>78</v>
      </c>
      <c r="N975" t="s">
        <v>79</v>
      </c>
      <c r="O975" t="s">
        <v>74</v>
      </c>
      <c r="P975" t="s">
        <v>74</v>
      </c>
      <c r="Q975" t="s">
        <v>74</v>
      </c>
      <c r="R975" t="s">
        <v>74</v>
      </c>
      <c r="S975" t="s">
        <v>74</v>
      </c>
      <c r="T975" t="s">
        <v>18772</v>
      </c>
      <c r="U975" t="s">
        <v>18773</v>
      </c>
      <c r="V975" t="s">
        <v>18774</v>
      </c>
      <c r="W975" t="s">
        <v>18775</v>
      </c>
      <c r="X975" t="s">
        <v>18776</v>
      </c>
      <c r="Y975" t="s">
        <v>18777</v>
      </c>
      <c r="Z975" t="s">
        <v>18778</v>
      </c>
      <c r="AA975" t="s">
        <v>18779</v>
      </c>
      <c r="AB975" t="s">
        <v>18780</v>
      </c>
      <c r="AC975" t="s">
        <v>18781</v>
      </c>
      <c r="AD975" t="s">
        <v>18782</v>
      </c>
      <c r="AE975" t="s">
        <v>18783</v>
      </c>
      <c r="AF975" t="s">
        <v>74</v>
      </c>
      <c r="AG975">
        <v>103</v>
      </c>
      <c r="AH975">
        <v>19</v>
      </c>
      <c r="AI975">
        <v>20</v>
      </c>
      <c r="AJ975">
        <v>0</v>
      </c>
      <c r="AK975">
        <v>3</v>
      </c>
      <c r="AL975" t="s">
        <v>864</v>
      </c>
      <c r="AM975" t="s">
        <v>865</v>
      </c>
      <c r="AN975" t="s">
        <v>866</v>
      </c>
      <c r="AO975" t="s">
        <v>7168</v>
      </c>
      <c r="AP975" t="s">
        <v>7169</v>
      </c>
      <c r="AQ975" t="s">
        <v>74</v>
      </c>
      <c r="AR975" t="s">
        <v>7170</v>
      </c>
      <c r="AS975" t="s">
        <v>7171</v>
      </c>
      <c r="AT975" t="s">
        <v>10878</v>
      </c>
      <c r="AU975">
        <v>2021</v>
      </c>
      <c r="AV975">
        <v>126</v>
      </c>
      <c r="AW975">
        <v>5</v>
      </c>
      <c r="AX975" t="s">
        <v>74</v>
      </c>
      <c r="AY975" t="s">
        <v>74</v>
      </c>
      <c r="AZ975" t="s">
        <v>74</v>
      </c>
      <c r="BA975" t="s">
        <v>74</v>
      </c>
      <c r="BB975" t="s">
        <v>74</v>
      </c>
      <c r="BC975" t="s">
        <v>74</v>
      </c>
      <c r="BD975" t="s">
        <v>18784</v>
      </c>
      <c r="BE975" t="s">
        <v>18785</v>
      </c>
      <c r="BF975" t="str">
        <f>HYPERLINK("http://dx.doi.org/10.1029/2020JF006023","http://dx.doi.org/10.1029/2020JF006023")</f>
        <v>http://dx.doi.org/10.1029/2020JF006023</v>
      </c>
      <c r="BG975" t="s">
        <v>74</v>
      </c>
      <c r="BH975" t="s">
        <v>74</v>
      </c>
      <c r="BI975">
        <v>26</v>
      </c>
      <c r="BJ975" t="s">
        <v>405</v>
      </c>
      <c r="BK975" t="s">
        <v>128</v>
      </c>
      <c r="BL975" t="s">
        <v>406</v>
      </c>
      <c r="BM975" t="s">
        <v>18767</v>
      </c>
      <c r="BN975" t="s">
        <v>74</v>
      </c>
      <c r="BO975" t="s">
        <v>18786</v>
      </c>
      <c r="BP975" t="s">
        <v>74</v>
      </c>
      <c r="BQ975" t="s">
        <v>74</v>
      </c>
      <c r="BR975" t="s">
        <v>102</v>
      </c>
      <c r="BS975" t="s">
        <v>18787</v>
      </c>
      <c r="BT975" t="str">
        <f>HYPERLINK("https%3A%2F%2Fwww.webofscience.com%2Fwos%2Fwoscc%2Ffull-record%2FWOS:000655231000002","View Full Record in Web of Science")</f>
        <v>View Full Record in Web of Science</v>
      </c>
    </row>
    <row r="976" spans="1:72" x14ac:dyDescent="0.15">
      <c r="A976" t="s">
        <v>72</v>
      </c>
      <c r="B976" t="s">
        <v>18788</v>
      </c>
      <c r="C976" t="s">
        <v>74</v>
      </c>
      <c r="D976" t="s">
        <v>74</v>
      </c>
      <c r="E976" t="s">
        <v>74</v>
      </c>
      <c r="F976" t="s">
        <v>18789</v>
      </c>
      <c r="G976" t="s">
        <v>74</v>
      </c>
      <c r="H976" t="s">
        <v>74</v>
      </c>
      <c r="I976" t="s">
        <v>18790</v>
      </c>
      <c r="J976" t="s">
        <v>6928</v>
      </c>
      <c r="K976" t="s">
        <v>74</v>
      </c>
      <c r="L976" t="s">
        <v>74</v>
      </c>
      <c r="M976" t="s">
        <v>78</v>
      </c>
      <c r="N976" t="s">
        <v>79</v>
      </c>
      <c r="O976" t="s">
        <v>74</v>
      </c>
      <c r="P976" t="s">
        <v>74</v>
      </c>
      <c r="Q976" t="s">
        <v>74</v>
      </c>
      <c r="R976" t="s">
        <v>74</v>
      </c>
      <c r="S976" t="s">
        <v>74</v>
      </c>
      <c r="T976" t="s">
        <v>18791</v>
      </c>
      <c r="U976" t="s">
        <v>18792</v>
      </c>
      <c r="V976" t="s">
        <v>18793</v>
      </c>
      <c r="W976" t="s">
        <v>18794</v>
      </c>
      <c r="X976" t="s">
        <v>18795</v>
      </c>
      <c r="Y976" t="s">
        <v>18796</v>
      </c>
      <c r="Z976" t="s">
        <v>18797</v>
      </c>
      <c r="AA976" t="s">
        <v>18798</v>
      </c>
      <c r="AB976" t="s">
        <v>18799</v>
      </c>
      <c r="AC976" t="s">
        <v>18800</v>
      </c>
      <c r="AD976" t="s">
        <v>18800</v>
      </c>
      <c r="AE976" t="s">
        <v>18801</v>
      </c>
      <c r="AF976" t="s">
        <v>74</v>
      </c>
      <c r="AG976">
        <v>134</v>
      </c>
      <c r="AH976">
        <v>20</v>
      </c>
      <c r="AI976">
        <v>20</v>
      </c>
      <c r="AJ976">
        <v>1</v>
      </c>
      <c r="AK976">
        <v>16</v>
      </c>
      <c r="AL976" t="s">
        <v>864</v>
      </c>
      <c r="AM976" t="s">
        <v>865</v>
      </c>
      <c r="AN976" t="s">
        <v>866</v>
      </c>
      <c r="AO976" t="s">
        <v>6941</v>
      </c>
      <c r="AP976" t="s">
        <v>6942</v>
      </c>
      <c r="AQ976" t="s">
        <v>74</v>
      </c>
      <c r="AR976" t="s">
        <v>6943</v>
      </c>
      <c r="AS976" t="s">
        <v>6944</v>
      </c>
      <c r="AT976" t="s">
        <v>10878</v>
      </c>
      <c r="AU976">
        <v>2021</v>
      </c>
      <c r="AV976">
        <v>126</v>
      </c>
      <c r="AW976">
        <v>5</v>
      </c>
      <c r="AX976" t="s">
        <v>74</v>
      </c>
      <c r="AY976" t="s">
        <v>74</v>
      </c>
      <c r="AZ976" t="s">
        <v>74</v>
      </c>
      <c r="BA976" t="s">
        <v>74</v>
      </c>
      <c r="BB976" t="s">
        <v>74</v>
      </c>
      <c r="BC976" t="s">
        <v>74</v>
      </c>
      <c r="BD976" t="s">
        <v>18802</v>
      </c>
      <c r="BE976" t="s">
        <v>18803</v>
      </c>
      <c r="BF976" t="str">
        <f>HYPERLINK("http://dx.doi.org/10.1029/2020JE006741","http://dx.doi.org/10.1029/2020JE006741")</f>
        <v>http://dx.doi.org/10.1029/2020JE006741</v>
      </c>
      <c r="BG976" t="s">
        <v>74</v>
      </c>
      <c r="BH976" t="s">
        <v>74</v>
      </c>
      <c r="BI976">
        <v>18</v>
      </c>
      <c r="BJ976" t="s">
        <v>289</v>
      </c>
      <c r="BK976" t="s">
        <v>128</v>
      </c>
      <c r="BL976" t="s">
        <v>289</v>
      </c>
      <c r="BM976" t="s">
        <v>18804</v>
      </c>
      <c r="BN976" t="s">
        <v>74</v>
      </c>
      <c r="BO976" t="s">
        <v>74</v>
      </c>
      <c r="BP976" t="s">
        <v>74</v>
      </c>
      <c r="BQ976" t="s">
        <v>74</v>
      </c>
      <c r="BR976" t="s">
        <v>102</v>
      </c>
      <c r="BS976" t="s">
        <v>18805</v>
      </c>
      <c r="BT976" t="str">
        <f>HYPERLINK("https%3A%2F%2Fwww.webofscience.com%2Fwos%2Fwoscc%2Ffull-record%2FWOS:000654510000007","View Full Record in Web of Science")</f>
        <v>View Full Record in Web of Science</v>
      </c>
    </row>
    <row r="977" spans="1:72" x14ac:dyDescent="0.15">
      <c r="A977" t="s">
        <v>72</v>
      </c>
      <c r="B977" t="s">
        <v>18806</v>
      </c>
      <c r="C977" t="s">
        <v>74</v>
      </c>
      <c r="D977" t="s">
        <v>74</v>
      </c>
      <c r="E977" t="s">
        <v>74</v>
      </c>
      <c r="F977" t="s">
        <v>18807</v>
      </c>
      <c r="G977" t="s">
        <v>74</v>
      </c>
      <c r="H977" t="s">
        <v>74</v>
      </c>
      <c r="I977" t="s">
        <v>18808</v>
      </c>
      <c r="J977" t="s">
        <v>1826</v>
      </c>
      <c r="K977" t="s">
        <v>74</v>
      </c>
      <c r="L977" t="s">
        <v>74</v>
      </c>
      <c r="M977" t="s">
        <v>78</v>
      </c>
      <c r="N977" t="s">
        <v>79</v>
      </c>
      <c r="O977" t="s">
        <v>74</v>
      </c>
      <c r="P977" t="s">
        <v>74</v>
      </c>
      <c r="Q977" t="s">
        <v>74</v>
      </c>
      <c r="R977" t="s">
        <v>74</v>
      </c>
      <c r="S977" t="s">
        <v>74</v>
      </c>
      <c r="T977" t="s">
        <v>18809</v>
      </c>
      <c r="U977" t="s">
        <v>18810</v>
      </c>
      <c r="V977" t="s">
        <v>18811</v>
      </c>
      <c r="W977" t="s">
        <v>18812</v>
      </c>
      <c r="X977" t="s">
        <v>18813</v>
      </c>
      <c r="Y977" t="s">
        <v>18814</v>
      </c>
      <c r="Z977" t="s">
        <v>18815</v>
      </c>
      <c r="AA977" t="s">
        <v>74</v>
      </c>
      <c r="AB977" t="s">
        <v>18816</v>
      </c>
      <c r="AC977" t="s">
        <v>18817</v>
      </c>
      <c r="AD977" t="s">
        <v>18818</v>
      </c>
      <c r="AE977" t="s">
        <v>18819</v>
      </c>
      <c r="AF977" t="s">
        <v>74</v>
      </c>
      <c r="AG977">
        <v>57</v>
      </c>
      <c r="AH977">
        <v>5</v>
      </c>
      <c r="AI977">
        <v>5</v>
      </c>
      <c r="AJ977">
        <v>2</v>
      </c>
      <c r="AK977">
        <v>9</v>
      </c>
      <c r="AL977" t="s">
        <v>557</v>
      </c>
      <c r="AM977" t="s">
        <v>558</v>
      </c>
      <c r="AN977" t="s">
        <v>584</v>
      </c>
      <c r="AO977" t="s">
        <v>1839</v>
      </c>
      <c r="AP977" t="s">
        <v>1840</v>
      </c>
      <c r="AQ977" t="s">
        <v>74</v>
      </c>
      <c r="AR977" t="s">
        <v>1841</v>
      </c>
      <c r="AS977" t="s">
        <v>1842</v>
      </c>
      <c r="AT977" t="s">
        <v>10878</v>
      </c>
      <c r="AU977">
        <v>2021</v>
      </c>
      <c r="AV977">
        <v>51</v>
      </c>
      <c r="AW977">
        <v>5</v>
      </c>
      <c r="AX977" t="s">
        <v>74</v>
      </c>
      <c r="AY977" t="s">
        <v>74</v>
      </c>
      <c r="AZ977" t="s">
        <v>74</v>
      </c>
      <c r="BA977" t="s">
        <v>74</v>
      </c>
      <c r="BB977">
        <v>1523</v>
      </c>
      <c r="BC977">
        <v>1538</v>
      </c>
      <c r="BD977" t="s">
        <v>74</v>
      </c>
      <c r="BE977" t="s">
        <v>18820</v>
      </c>
      <c r="BF977" t="str">
        <f>HYPERLINK("http://dx.doi.org/10.1175/JPO-D-20-0204.1","http://dx.doi.org/10.1175/JPO-D-20-0204.1")</f>
        <v>http://dx.doi.org/10.1175/JPO-D-20-0204.1</v>
      </c>
      <c r="BG977" t="s">
        <v>74</v>
      </c>
      <c r="BH977" t="s">
        <v>74</v>
      </c>
      <c r="BI977">
        <v>16</v>
      </c>
      <c r="BJ977" t="s">
        <v>1134</v>
      </c>
      <c r="BK977" t="s">
        <v>128</v>
      </c>
      <c r="BL977" t="s">
        <v>1134</v>
      </c>
      <c r="BM977" t="s">
        <v>18821</v>
      </c>
      <c r="BN977" t="s">
        <v>74</v>
      </c>
      <c r="BO977" t="s">
        <v>74</v>
      </c>
      <c r="BP977" t="s">
        <v>74</v>
      </c>
      <c r="BQ977" t="s">
        <v>74</v>
      </c>
      <c r="BR977" t="s">
        <v>102</v>
      </c>
      <c r="BS977" t="s">
        <v>18822</v>
      </c>
      <c r="BT977" t="str">
        <f>HYPERLINK("https%3A%2F%2Fwww.webofscience.com%2Fwos%2Fwoscc%2Ffull-record%2FWOS:000655510400010","View Full Record in Web of Science")</f>
        <v>View Full Record in Web of Science</v>
      </c>
    </row>
    <row r="978" spans="1:72" x14ac:dyDescent="0.15">
      <c r="A978" t="s">
        <v>72</v>
      </c>
      <c r="B978" t="s">
        <v>18823</v>
      </c>
      <c r="C978" t="s">
        <v>74</v>
      </c>
      <c r="D978" t="s">
        <v>74</v>
      </c>
      <c r="E978" t="s">
        <v>74</v>
      </c>
      <c r="F978" t="s">
        <v>18824</v>
      </c>
      <c r="G978" t="s">
        <v>74</v>
      </c>
      <c r="H978" t="s">
        <v>74</v>
      </c>
      <c r="I978" t="s">
        <v>18825</v>
      </c>
      <c r="J978" t="s">
        <v>1826</v>
      </c>
      <c r="K978" t="s">
        <v>74</v>
      </c>
      <c r="L978" t="s">
        <v>74</v>
      </c>
      <c r="M978" t="s">
        <v>78</v>
      </c>
      <c r="N978" t="s">
        <v>79</v>
      </c>
      <c r="O978" t="s">
        <v>74</v>
      </c>
      <c r="P978" t="s">
        <v>74</v>
      </c>
      <c r="Q978" t="s">
        <v>74</v>
      </c>
      <c r="R978" t="s">
        <v>74</v>
      </c>
      <c r="S978" t="s">
        <v>74</v>
      </c>
      <c r="T978" t="s">
        <v>18826</v>
      </c>
      <c r="U978" t="s">
        <v>18827</v>
      </c>
      <c r="V978" t="s">
        <v>18828</v>
      </c>
      <c r="W978" t="s">
        <v>18829</v>
      </c>
      <c r="X978" t="s">
        <v>18830</v>
      </c>
      <c r="Y978" t="s">
        <v>12793</v>
      </c>
      <c r="Z978" t="s">
        <v>12794</v>
      </c>
      <c r="AA978" t="s">
        <v>12795</v>
      </c>
      <c r="AB978" t="s">
        <v>74</v>
      </c>
      <c r="AC978" t="s">
        <v>12796</v>
      </c>
      <c r="AD978" t="s">
        <v>12797</v>
      </c>
      <c r="AE978" t="s">
        <v>18831</v>
      </c>
      <c r="AF978" t="s">
        <v>74</v>
      </c>
      <c r="AG978">
        <v>48</v>
      </c>
      <c r="AH978">
        <v>2</v>
      </c>
      <c r="AI978">
        <v>2</v>
      </c>
      <c r="AJ978">
        <v>1</v>
      </c>
      <c r="AK978">
        <v>2</v>
      </c>
      <c r="AL978" t="s">
        <v>557</v>
      </c>
      <c r="AM978" t="s">
        <v>558</v>
      </c>
      <c r="AN978" t="s">
        <v>584</v>
      </c>
      <c r="AO978" t="s">
        <v>1839</v>
      </c>
      <c r="AP978" t="s">
        <v>1840</v>
      </c>
      <c r="AQ978" t="s">
        <v>74</v>
      </c>
      <c r="AR978" t="s">
        <v>1841</v>
      </c>
      <c r="AS978" t="s">
        <v>1842</v>
      </c>
      <c r="AT978" t="s">
        <v>10878</v>
      </c>
      <c r="AU978">
        <v>2021</v>
      </c>
      <c r="AV978">
        <v>51</v>
      </c>
      <c r="AW978">
        <v>5</v>
      </c>
      <c r="AX978" t="s">
        <v>74</v>
      </c>
      <c r="AY978" t="s">
        <v>74</v>
      </c>
      <c r="AZ978" t="s">
        <v>74</v>
      </c>
      <c r="BA978" t="s">
        <v>74</v>
      </c>
      <c r="BB978">
        <v>1723</v>
      </c>
      <c r="BC978">
        <v>1733</v>
      </c>
      <c r="BD978" t="s">
        <v>74</v>
      </c>
      <c r="BE978" t="s">
        <v>18832</v>
      </c>
      <c r="BF978" t="str">
        <f>HYPERLINK("http://dx.doi.org/10.1175/JPO-D-20-0196.1","http://dx.doi.org/10.1175/JPO-D-20-0196.1")</f>
        <v>http://dx.doi.org/10.1175/JPO-D-20-0196.1</v>
      </c>
      <c r="BG978" t="s">
        <v>74</v>
      </c>
      <c r="BH978" t="s">
        <v>74</v>
      </c>
      <c r="BI978">
        <v>11</v>
      </c>
      <c r="BJ978" t="s">
        <v>1134</v>
      </c>
      <c r="BK978" t="s">
        <v>128</v>
      </c>
      <c r="BL978" t="s">
        <v>1134</v>
      </c>
      <c r="BM978" t="s">
        <v>18821</v>
      </c>
      <c r="BN978" t="s">
        <v>74</v>
      </c>
      <c r="BO978" t="s">
        <v>661</v>
      </c>
      <c r="BP978" t="s">
        <v>74</v>
      </c>
      <c r="BQ978" t="s">
        <v>74</v>
      </c>
      <c r="BR978" t="s">
        <v>102</v>
      </c>
      <c r="BS978" t="s">
        <v>18833</v>
      </c>
      <c r="BT978" t="str">
        <f>HYPERLINK("https%3A%2F%2Fwww.webofscience.com%2Fwos%2Fwoscc%2Ffull-record%2FWOS:000655510400021","View Full Record in Web of Science")</f>
        <v>View Full Record in Web of Science</v>
      </c>
    </row>
    <row r="979" spans="1:72" x14ac:dyDescent="0.15">
      <c r="A979" t="s">
        <v>72</v>
      </c>
      <c r="B979" t="s">
        <v>18834</v>
      </c>
      <c r="C979" t="s">
        <v>74</v>
      </c>
      <c r="D979" t="s">
        <v>74</v>
      </c>
      <c r="E979" t="s">
        <v>74</v>
      </c>
      <c r="F979" t="s">
        <v>18835</v>
      </c>
      <c r="G979" t="s">
        <v>74</v>
      </c>
      <c r="H979" t="s">
        <v>74</v>
      </c>
      <c r="I979" t="s">
        <v>18836</v>
      </c>
      <c r="J979" t="s">
        <v>18837</v>
      </c>
      <c r="K979" t="s">
        <v>74</v>
      </c>
      <c r="L979" t="s">
        <v>74</v>
      </c>
      <c r="M979" t="s">
        <v>78</v>
      </c>
      <c r="N979" t="s">
        <v>79</v>
      </c>
      <c r="O979" t="s">
        <v>74</v>
      </c>
      <c r="P979" t="s">
        <v>74</v>
      </c>
      <c r="Q979" t="s">
        <v>74</v>
      </c>
      <c r="R979" t="s">
        <v>74</v>
      </c>
      <c r="S979" t="s">
        <v>74</v>
      </c>
      <c r="T979" t="s">
        <v>18838</v>
      </c>
      <c r="U979" t="s">
        <v>18839</v>
      </c>
      <c r="V979" t="s">
        <v>18840</v>
      </c>
      <c r="W979" t="s">
        <v>18841</v>
      </c>
      <c r="X979" t="s">
        <v>18842</v>
      </c>
      <c r="Y979" t="s">
        <v>18843</v>
      </c>
      <c r="Z979" t="s">
        <v>18844</v>
      </c>
      <c r="AA979" t="s">
        <v>18845</v>
      </c>
      <c r="AB979" t="s">
        <v>18846</v>
      </c>
      <c r="AC979" t="s">
        <v>18847</v>
      </c>
      <c r="AD979" t="s">
        <v>18848</v>
      </c>
      <c r="AE979" t="s">
        <v>18849</v>
      </c>
      <c r="AF979" t="s">
        <v>74</v>
      </c>
      <c r="AG979">
        <v>88</v>
      </c>
      <c r="AH979">
        <v>11</v>
      </c>
      <c r="AI979">
        <v>11</v>
      </c>
      <c r="AJ979">
        <v>0</v>
      </c>
      <c r="AK979">
        <v>4</v>
      </c>
      <c r="AL979" t="s">
        <v>1101</v>
      </c>
      <c r="AM979" t="s">
        <v>1102</v>
      </c>
      <c r="AN979" t="s">
        <v>1103</v>
      </c>
      <c r="AO979" t="s">
        <v>74</v>
      </c>
      <c r="AP979" t="s">
        <v>18850</v>
      </c>
      <c r="AQ979" t="s">
        <v>74</v>
      </c>
      <c r="AR979" t="s">
        <v>18837</v>
      </c>
      <c r="AS979" t="s">
        <v>18851</v>
      </c>
      <c r="AT979" t="s">
        <v>10878</v>
      </c>
      <c r="AU979">
        <v>2021</v>
      </c>
      <c r="AV979">
        <v>11</v>
      </c>
      <c r="AW979">
        <v>5</v>
      </c>
      <c r="AX979" t="s">
        <v>74</v>
      </c>
      <c r="AY979" t="s">
        <v>74</v>
      </c>
      <c r="AZ979" t="s">
        <v>74</v>
      </c>
      <c r="BA979" t="s">
        <v>74</v>
      </c>
      <c r="BB979" t="s">
        <v>74</v>
      </c>
      <c r="BC979" t="s">
        <v>74</v>
      </c>
      <c r="BD979">
        <v>456</v>
      </c>
      <c r="BE979" t="s">
        <v>18852</v>
      </c>
      <c r="BF979" t="str">
        <f>HYPERLINK("http://dx.doi.org/10.3390/life11050456","http://dx.doi.org/10.3390/life11050456")</f>
        <v>http://dx.doi.org/10.3390/life11050456</v>
      </c>
      <c r="BG979" t="s">
        <v>74</v>
      </c>
      <c r="BH979" t="s">
        <v>74</v>
      </c>
      <c r="BI979">
        <v>25</v>
      </c>
      <c r="BJ979" t="s">
        <v>18853</v>
      </c>
      <c r="BK979" t="s">
        <v>128</v>
      </c>
      <c r="BL979" t="s">
        <v>18854</v>
      </c>
      <c r="BM979" t="s">
        <v>18855</v>
      </c>
      <c r="BN979">
        <v>34065265</v>
      </c>
      <c r="BO979" t="s">
        <v>8094</v>
      </c>
      <c r="BP979" t="s">
        <v>74</v>
      </c>
      <c r="BQ979" t="s">
        <v>74</v>
      </c>
      <c r="BR979" t="s">
        <v>102</v>
      </c>
      <c r="BS979" t="s">
        <v>18856</v>
      </c>
      <c r="BT979" t="str">
        <f>HYPERLINK("https%3A%2F%2Fwww.webofscience.com%2Fwos%2Fwoscc%2Ffull-record%2FWOS:000654333700001","View Full Record in Web of Science")</f>
        <v>View Full Record in Web of Science</v>
      </c>
    </row>
    <row r="980" spans="1:72" x14ac:dyDescent="0.15">
      <c r="A980" t="s">
        <v>72</v>
      </c>
      <c r="B980" t="s">
        <v>18857</v>
      </c>
      <c r="C980" t="s">
        <v>74</v>
      </c>
      <c r="D980" t="s">
        <v>74</v>
      </c>
      <c r="E980" t="s">
        <v>74</v>
      </c>
      <c r="F980" t="s">
        <v>18858</v>
      </c>
      <c r="G980" t="s">
        <v>74</v>
      </c>
      <c r="H980" t="s">
        <v>74</v>
      </c>
      <c r="I980" t="s">
        <v>18859</v>
      </c>
      <c r="J980" t="s">
        <v>18860</v>
      </c>
      <c r="K980" t="s">
        <v>74</v>
      </c>
      <c r="L980" t="s">
        <v>74</v>
      </c>
      <c r="M980" t="s">
        <v>78</v>
      </c>
      <c r="N980" t="s">
        <v>79</v>
      </c>
      <c r="O980" t="s">
        <v>74</v>
      </c>
      <c r="P980" t="s">
        <v>74</v>
      </c>
      <c r="Q980" t="s">
        <v>74</v>
      </c>
      <c r="R980" t="s">
        <v>74</v>
      </c>
      <c r="S980" t="s">
        <v>74</v>
      </c>
      <c r="T980" t="s">
        <v>18861</v>
      </c>
      <c r="U980" t="s">
        <v>74</v>
      </c>
      <c r="V980" t="s">
        <v>18862</v>
      </c>
      <c r="W980" t="s">
        <v>18863</v>
      </c>
      <c r="X980" t="s">
        <v>18022</v>
      </c>
      <c r="Y980" t="s">
        <v>18864</v>
      </c>
      <c r="Z980" t="s">
        <v>18865</v>
      </c>
      <c r="AA980" t="s">
        <v>74</v>
      </c>
      <c r="AB980" t="s">
        <v>74</v>
      </c>
      <c r="AC980" t="s">
        <v>74</v>
      </c>
      <c r="AD980" t="s">
        <v>74</v>
      </c>
      <c r="AE980" t="s">
        <v>74</v>
      </c>
      <c r="AF980" t="s">
        <v>74</v>
      </c>
      <c r="AG980">
        <v>24</v>
      </c>
      <c r="AH980">
        <v>0</v>
      </c>
      <c r="AI980">
        <v>0</v>
      </c>
      <c r="AJ980">
        <v>0</v>
      </c>
      <c r="AK980">
        <v>1</v>
      </c>
      <c r="AL980" t="s">
        <v>18079</v>
      </c>
      <c r="AM980" t="s">
        <v>650</v>
      </c>
      <c r="AN980" t="s">
        <v>18080</v>
      </c>
      <c r="AO980" t="s">
        <v>18866</v>
      </c>
      <c r="AP980" t="s">
        <v>18867</v>
      </c>
      <c r="AQ980" t="s">
        <v>74</v>
      </c>
      <c r="AR980" t="s">
        <v>18868</v>
      </c>
      <c r="AS980" t="s">
        <v>18869</v>
      </c>
      <c r="AT980" t="s">
        <v>10878</v>
      </c>
      <c r="AU980">
        <v>2021</v>
      </c>
      <c r="AV980">
        <v>48</v>
      </c>
      <c r="AW980">
        <v>3</v>
      </c>
      <c r="AX980" t="s">
        <v>74</v>
      </c>
      <c r="AY980" t="s">
        <v>74</v>
      </c>
      <c r="AZ980" t="s">
        <v>74</v>
      </c>
      <c r="BA980" t="s">
        <v>74</v>
      </c>
      <c r="BB980">
        <v>397</v>
      </c>
      <c r="BC980">
        <v>403</v>
      </c>
      <c r="BD980" t="s">
        <v>74</v>
      </c>
      <c r="BE980" t="s">
        <v>18870</v>
      </c>
      <c r="BF980" t="str">
        <f>HYPERLINK("http://dx.doi.org/10.1134/S0097807821030040","http://dx.doi.org/10.1134/S0097807821030040")</f>
        <v>http://dx.doi.org/10.1134/S0097807821030040</v>
      </c>
      <c r="BG980" t="s">
        <v>74</v>
      </c>
      <c r="BH980" t="s">
        <v>74</v>
      </c>
      <c r="BI980">
        <v>7</v>
      </c>
      <c r="BJ980" t="s">
        <v>1305</v>
      </c>
      <c r="BK980" t="s">
        <v>128</v>
      </c>
      <c r="BL980" t="s">
        <v>1305</v>
      </c>
      <c r="BM980" t="s">
        <v>18871</v>
      </c>
      <c r="BN980" t="s">
        <v>74</v>
      </c>
      <c r="BO980" t="s">
        <v>74</v>
      </c>
      <c r="BP980" t="s">
        <v>74</v>
      </c>
      <c r="BQ980" t="s">
        <v>74</v>
      </c>
      <c r="BR980" t="s">
        <v>102</v>
      </c>
      <c r="BS980" t="s">
        <v>18872</v>
      </c>
      <c r="BT980" t="str">
        <f>HYPERLINK("https%3A%2F%2Fwww.webofscience.com%2Fwos%2Fwoscc%2Ffull-record%2FWOS:000654315100008","View Full Record in Web of Science")</f>
        <v>View Full Record in Web of Science</v>
      </c>
    </row>
    <row r="981" spans="1:72" x14ac:dyDescent="0.15">
      <c r="A981" t="s">
        <v>72</v>
      </c>
      <c r="B981" t="s">
        <v>18873</v>
      </c>
      <c r="C981" t="s">
        <v>74</v>
      </c>
      <c r="D981" t="s">
        <v>74</v>
      </c>
      <c r="E981" t="s">
        <v>74</v>
      </c>
      <c r="F981" t="s">
        <v>18874</v>
      </c>
      <c r="G981" t="s">
        <v>74</v>
      </c>
      <c r="H981" t="s">
        <v>74</v>
      </c>
      <c r="I981" t="s">
        <v>18875</v>
      </c>
      <c r="J981" t="s">
        <v>1335</v>
      </c>
      <c r="K981" t="s">
        <v>74</v>
      </c>
      <c r="L981" t="s">
        <v>74</v>
      </c>
      <c r="M981" t="s">
        <v>78</v>
      </c>
      <c r="N981" t="s">
        <v>79</v>
      </c>
      <c r="O981" t="s">
        <v>74</v>
      </c>
      <c r="P981" t="s">
        <v>74</v>
      </c>
      <c r="Q981" t="s">
        <v>74</v>
      </c>
      <c r="R981" t="s">
        <v>74</v>
      </c>
      <c r="S981" t="s">
        <v>74</v>
      </c>
      <c r="T981" t="s">
        <v>18876</v>
      </c>
      <c r="U981" t="s">
        <v>18877</v>
      </c>
      <c r="V981" t="s">
        <v>18878</v>
      </c>
      <c r="W981" t="s">
        <v>18879</v>
      </c>
      <c r="X981" t="s">
        <v>18880</v>
      </c>
      <c r="Y981" t="s">
        <v>18881</v>
      </c>
      <c r="Z981" t="s">
        <v>18882</v>
      </c>
      <c r="AA981" t="s">
        <v>18883</v>
      </c>
      <c r="AB981" t="s">
        <v>18884</v>
      </c>
      <c r="AC981" t="s">
        <v>18885</v>
      </c>
      <c r="AD981" t="s">
        <v>18886</v>
      </c>
      <c r="AE981" t="s">
        <v>18887</v>
      </c>
      <c r="AF981" t="s">
        <v>74</v>
      </c>
      <c r="AG981">
        <v>59</v>
      </c>
      <c r="AH981">
        <v>5</v>
      </c>
      <c r="AI981">
        <v>5</v>
      </c>
      <c r="AJ981">
        <v>0</v>
      </c>
      <c r="AK981">
        <v>12</v>
      </c>
      <c r="AL981" t="s">
        <v>1101</v>
      </c>
      <c r="AM981" t="s">
        <v>1102</v>
      </c>
      <c r="AN981" t="s">
        <v>1103</v>
      </c>
      <c r="AO981" t="s">
        <v>74</v>
      </c>
      <c r="AP981" t="s">
        <v>1348</v>
      </c>
      <c r="AQ981" t="s">
        <v>74</v>
      </c>
      <c r="AR981" t="s">
        <v>1349</v>
      </c>
      <c r="AS981" t="s">
        <v>1350</v>
      </c>
      <c r="AT981" t="s">
        <v>10878</v>
      </c>
      <c r="AU981">
        <v>2021</v>
      </c>
      <c r="AV981">
        <v>12</v>
      </c>
      <c r="AW981">
        <v>5</v>
      </c>
      <c r="AX981" t="s">
        <v>74</v>
      </c>
      <c r="AY981" t="s">
        <v>74</v>
      </c>
      <c r="AZ981" t="s">
        <v>74</v>
      </c>
      <c r="BA981" t="s">
        <v>74</v>
      </c>
      <c r="BB981" t="s">
        <v>74</v>
      </c>
      <c r="BC981" t="s">
        <v>74</v>
      </c>
      <c r="BD981">
        <v>625</v>
      </c>
      <c r="BE981" t="s">
        <v>18888</v>
      </c>
      <c r="BF981" t="str">
        <f>HYPERLINK("http://dx.doi.org/10.3390/atmos12050625","http://dx.doi.org/10.3390/atmos12050625")</f>
        <v>http://dx.doi.org/10.3390/atmos12050625</v>
      </c>
      <c r="BG981" t="s">
        <v>74</v>
      </c>
      <c r="BH981" t="s">
        <v>74</v>
      </c>
      <c r="BI981">
        <v>22</v>
      </c>
      <c r="BJ981" t="s">
        <v>635</v>
      </c>
      <c r="BK981" t="s">
        <v>128</v>
      </c>
      <c r="BL981" t="s">
        <v>636</v>
      </c>
      <c r="BM981" t="s">
        <v>18889</v>
      </c>
      <c r="BN981" t="s">
        <v>74</v>
      </c>
      <c r="BO981" t="s">
        <v>1377</v>
      </c>
      <c r="BP981" t="s">
        <v>74</v>
      </c>
      <c r="BQ981" t="s">
        <v>74</v>
      </c>
      <c r="BR981" t="s">
        <v>102</v>
      </c>
      <c r="BS981" t="s">
        <v>18890</v>
      </c>
      <c r="BT981" t="str">
        <f>HYPERLINK("https%3A%2F%2Fwww.webofscience.com%2Fwos%2Fwoscc%2Ffull-record%2FWOS:000653406000001","View Full Record in Web of Science")</f>
        <v>View Full Record in Web of Science</v>
      </c>
    </row>
    <row r="982" spans="1:72" x14ac:dyDescent="0.15">
      <c r="A982" t="s">
        <v>72</v>
      </c>
      <c r="B982" t="s">
        <v>18891</v>
      </c>
      <c r="C982" t="s">
        <v>74</v>
      </c>
      <c r="D982" t="s">
        <v>74</v>
      </c>
      <c r="E982" t="s">
        <v>74</v>
      </c>
      <c r="F982" t="s">
        <v>18892</v>
      </c>
      <c r="G982" t="s">
        <v>74</v>
      </c>
      <c r="H982" t="s">
        <v>74</v>
      </c>
      <c r="I982" t="s">
        <v>18893</v>
      </c>
      <c r="J982" t="s">
        <v>1311</v>
      </c>
      <c r="K982" t="s">
        <v>74</v>
      </c>
      <c r="L982" t="s">
        <v>74</v>
      </c>
      <c r="M982" t="s">
        <v>78</v>
      </c>
      <c r="N982" t="s">
        <v>79</v>
      </c>
      <c r="O982" t="s">
        <v>74</v>
      </c>
      <c r="P982" t="s">
        <v>74</v>
      </c>
      <c r="Q982" t="s">
        <v>74</v>
      </c>
      <c r="R982" t="s">
        <v>74</v>
      </c>
      <c r="S982" t="s">
        <v>74</v>
      </c>
      <c r="T982" t="s">
        <v>18894</v>
      </c>
      <c r="U982" t="s">
        <v>18895</v>
      </c>
      <c r="V982" t="s">
        <v>18896</v>
      </c>
      <c r="W982" t="s">
        <v>18897</v>
      </c>
      <c r="X982" t="s">
        <v>18898</v>
      </c>
      <c r="Y982" t="s">
        <v>18899</v>
      </c>
      <c r="Z982" t="s">
        <v>18900</v>
      </c>
      <c r="AA982" t="s">
        <v>18901</v>
      </c>
      <c r="AB982" t="s">
        <v>18902</v>
      </c>
      <c r="AC982" t="s">
        <v>18903</v>
      </c>
      <c r="AD982" t="s">
        <v>18904</v>
      </c>
      <c r="AE982" t="s">
        <v>18905</v>
      </c>
      <c r="AF982" t="s">
        <v>74</v>
      </c>
      <c r="AG982">
        <v>280</v>
      </c>
      <c r="AH982">
        <v>48</v>
      </c>
      <c r="AI982">
        <v>51</v>
      </c>
      <c r="AJ982">
        <v>4</v>
      </c>
      <c r="AK982">
        <v>23</v>
      </c>
      <c r="AL982" t="s">
        <v>864</v>
      </c>
      <c r="AM982" t="s">
        <v>865</v>
      </c>
      <c r="AN982" t="s">
        <v>866</v>
      </c>
      <c r="AO982" t="s">
        <v>1322</v>
      </c>
      <c r="AP982" t="s">
        <v>1323</v>
      </c>
      <c r="AQ982" t="s">
        <v>74</v>
      </c>
      <c r="AR982" t="s">
        <v>1324</v>
      </c>
      <c r="AS982" t="s">
        <v>1325</v>
      </c>
      <c r="AT982" t="s">
        <v>10878</v>
      </c>
      <c r="AU982">
        <v>2021</v>
      </c>
      <c r="AV982">
        <v>36</v>
      </c>
      <c r="AW982">
        <v>5</v>
      </c>
      <c r="AX982" t="s">
        <v>74</v>
      </c>
      <c r="AY982" t="s">
        <v>74</v>
      </c>
      <c r="AZ982" t="s">
        <v>74</v>
      </c>
      <c r="BA982" t="s">
        <v>74</v>
      </c>
      <c r="BB982" t="s">
        <v>74</v>
      </c>
      <c r="BC982" t="s">
        <v>74</v>
      </c>
      <c r="BD982" t="s">
        <v>18906</v>
      </c>
      <c r="BE982" t="s">
        <v>18907</v>
      </c>
      <c r="BF982" t="str">
        <f>HYPERLINK("http://dx.doi.org/10.1029/2020PA004054","http://dx.doi.org/10.1029/2020PA004054")</f>
        <v>http://dx.doi.org/10.1029/2020PA004054</v>
      </c>
      <c r="BG982" t="s">
        <v>74</v>
      </c>
      <c r="BH982" t="s">
        <v>74</v>
      </c>
      <c r="BI982">
        <v>40</v>
      </c>
      <c r="BJ982" t="s">
        <v>1328</v>
      </c>
      <c r="BK982" t="s">
        <v>128</v>
      </c>
      <c r="BL982" t="s">
        <v>1329</v>
      </c>
      <c r="BM982" t="s">
        <v>18908</v>
      </c>
      <c r="BN982" t="s">
        <v>74</v>
      </c>
      <c r="BO982" t="s">
        <v>18909</v>
      </c>
      <c r="BP982" t="s">
        <v>74</v>
      </c>
      <c r="BQ982" t="s">
        <v>74</v>
      </c>
      <c r="BR982" t="s">
        <v>102</v>
      </c>
      <c r="BS982" t="s">
        <v>18910</v>
      </c>
      <c r="BT982" t="str">
        <f>HYPERLINK("https%3A%2F%2Fwww.webofscience.com%2Fwos%2Fwoscc%2Ffull-record%2FWOS:000654380700005","View Full Record in Web of Science")</f>
        <v>View Full Record in Web of Science</v>
      </c>
    </row>
    <row r="983" spans="1:72" x14ac:dyDescent="0.15">
      <c r="A983" t="s">
        <v>72</v>
      </c>
      <c r="B983" t="s">
        <v>18911</v>
      </c>
      <c r="C983" t="s">
        <v>74</v>
      </c>
      <c r="D983" t="s">
        <v>74</v>
      </c>
      <c r="E983" t="s">
        <v>74</v>
      </c>
      <c r="F983" t="s">
        <v>18912</v>
      </c>
      <c r="G983" t="s">
        <v>74</v>
      </c>
      <c r="H983" t="s">
        <v>74</v>
      </c>
      <c r="I983" t="s">
        <v>18913</v>
      </c>
      <c r="J983" t="s">
        <v>1311</v>
      </c>
      <c r="K983" t="s">
        <v>74</v>
      </c>
      <c r="L983" t="s">
        <v>74</v>
      </c>
      <c r="M983" t="s">
        <v>78</v>
      </c>
      <c r="N983" t="s">
        <v>79</v>
      </c>
      <c r="O983" t="s">
        <v>74</v>
      </c>
      <c r="P983" t="s">
        <v>74</v>
      </c>
      <c r="Q983" t="s">
        <v>74</v>
      </c>
      <c r="R983" t="s">
        <v>74</v>
      </c>
      <c r="S983" t="s">
        <v>74</v>
      </c>
      <c r="T983" t="s">
        <v>74</v>
      </c>
      <c r="U983" t="s">
        <v>18914</v>
      </c>
      <c r="V983" t="s">
        <v>18915</v>
      </c>
      <c r="W983" t="s">
        <v>18916</v>
      </c>
      <c r="X983" t="s">
        <v>18917</v>
      </c>
      <c r="Y983" t="s">
        <v>18918</v>
      </c>
      <c r="Z983" t="s">
        <v>18919</v>
      </c>
      <c r="AA983" t="s">
        <v>18920</v>
      </c>
      <c r="AB983" t="s">
        <v>18921</v>
      </c>
      <c r="AC983" t="s">
        <v>18922</v>
      </c>
      <c r="AD983" t="s">
        <v>18923</v>
      </c>
      <c r="AE983" t="s">
        <v>18924</v>
      </c>
      <c r="AF983" t="s">
        <v>74</v>
      </c>
      <c r="AG983">
        <v>48</v>
      </c>
      <c r="AH983">
        <v>1</v>
      </c>
      <c r="AI983">
        <v>1</v>
      </c>
      <c r="AJ983">
        <v>6</v>
      </c>
      <c r="AK983">
        <v>39</v>
      </c>
      <c r="AL983" t="s">
        <v>864</v>
      </c>
      <c r="AM983" t="s">
        <v>865</v>
      </c>
      <c r="AN983" t="s">
        <v>866</v>
      </c>
      <c r="AO983" t="s">
        <v>1322</v>
      </c>
      <c r="AP983" t="s">
        <v>1323</v>
      </c>
      <c r="AQ983" t="s">
        <v>74</v>
      </c>
      <c r="AR983" t="s">
        <v>1324</v>
      </c>
      <c r="AS983" t="s">
        <v>1325</v>
      </c>
      <c r="AT983" t="s">
        <v>10878</v>
      </c>
      <c r="AU983">
        <v>2021</v>
      </c>
      <c r="AV983">
        <v>36</v>
      </c>
      <c r="AW983">
        <v>5</v>
      </c>
      <c r="AX983" t="s">
        <v>74</v>
      </c>
      <c r="AY983" t="s">
        <v>74</v>
      </c>
      <c r="AZ983" t="s">
        <v>74</v>
      </c>
      <c r="BA983" t="s">
        <v>74</v>
      </c>
      <c r="BB983" t="s">
        <v>74</v>
      </c>
      <c r="BC983" t="s">
        <v>74</v>
      </c>
      <c r="BD983" t="s">
        <v>18925</v>
      </c>
      <c r="BE983" t="s">
        <v>18926</v>
      </c>
      <c r="BF983" t="str">
        <f>HYPERLINK("http://dx.doi.org/10.1029/2021PA004211","http://dx.doi.org/10.1029/2021PA004211")</f>
        <v>http://dx.doi.org/10.1029/2021PA004211</v>
      </c>
      <c r="BG983" t="s">
        <v>74</v>
      </c>
      <c r="BH983" t="s">
        <v>74</v>
      </c>
      <c r="BI983">
        <v>9</v>
      </c>
      <c r="BJ983" t="s">
        <v>1328</v>
      </c>
      <c r="BK983" t="s">
        <v>128</v>
      </c>
      <c r="BL983" t="s">
        <v>1329</v>
      </c>
      <c r="BM983" t="s">
        <v>18908</v>
      </c>
      <c r="BN983" t="s">
        <v>74</v>
      </c>
      <c r="BO983" t="s">
        <v>74</v>
      </c>
      <c r="BP983" t="s">
        <v>74</v>
      </c>
      <c r="BQ983" t="s">
        <v>74</v>
      </c>
      <c r="BR983" t="s">
        <v>102</v>
      </c>
      <c r="BS983" t="s">
        <v>18927</v>
      </c>
      <c r="BT983" t="str">
        <f>HYPERLINK("https%3A%2F%2Fwww.webofscience.com%2Fwos%2Fwoscc%2Ffull-record%2FWOS:000654380700013","View Full Record in Web of Science")</f>
        <v>View Full Record in Web of Science</v>
      </c>
    </row>
    <row r="984" spans="1:72" x14ac:dyDescent="0.15">
      <c r="A984" t="s">
        <v>72</v>
      </c>
      <c r="B984" t="s">
        <v>18928</v>
      </c>
      <c r="C984" t="s">
        <v>74</v>
      </c>
      <c r="D984" t="s">
        <v>74</v>
      </c>
      <c r="E984" t="s">
        <v>74</v>
      </c>
      <c r="F984" t="s">
        <v>18929</v>
      </c>
      <c r="G984" t="s">
        <v>74</v>
      </c>
      <c r="H984" t="s">
        <v>74</v>
      </c>
      <c r="I984" t="s">
        <v>18930</v>
      </c>
      <c r="J984" t="s">
        <v>1311</v>
      </c>
      <c r="K984" t="s">
        <v>74</v>
      </c>
      <c r="L984" t="s">
        <v>74</v>
      </c>
      <c r="M984" t="s">
        <v>78</v>
      </c>
      <c r="N984" t="s">
        <v>79</v>
      </c>
      <c r="O984" t="s">
        <v>74</v>
      </c>
      <c r="P984" t="s">
        <v>74</v>
      </c>
      <c r="Q984" t="s">
        <v>74</v>
      </c>
      <c r="R984" t="s">
        <v>74</v>
      </c>
      <c r="S984" t="s">
        <v>74</v>
      </c>
      <c r="T984" t="s">
        <v>74</v>
      </c>
      <c r="U984" t="s">
        <v>18931</v>
      </c>
      <c r="V984" t="s">
        <v>18932</v>
      </c>
      <c r="W984" t="s">
        <v>18933</v>
      </c>
      <c r="X984" t="s">
        <v>18934</v>
      </c>
      <c r="Y984" t="s">
        <v>18935</v>
      </c>
      <c r="Z984" t="s">
        <v>18936</v>
      </c>
      <c r="AA984" t="s">
        <v>18937</v>
      </c>
      <c r="AB984" t="s">
        <v>18938</v>
      </c>
      <c r="AC984" t="s">
        <v>18939</v>
      </c>
      <c r="AD984" t="s">
        <v>18940</v>
      </c>
      <c r="AE984" t="s">
        <v>18941</v>
      </c>
      <c r="AF984" t="s">
        <v>74</v>
      </c>
      <c r="AG984">
        <v>124</v>
      </c>
      <c r="AH984">
        <v>2</v>
      </c>
      <c r="AI984">
        <v>2</v>
      </c>
      <c r="AJ984">
        <v>2</v>
      </c>
      <c r="AK984">
        <v>10</v>
      </c>
      <c r="AL984" t="s">
        <v>864</v>
      </c>
      <c r="AM984" t="s">
        <v>865</v>
      </c>
      <c r="AN984" t="s">
        <v>866</v>
      </c>
      <c r="AO984" t="s">
        <v>1322</v>
      </c>
      <c r="AP984" t="s">
        <v>1323</v>
      </c>
      <c r="AQ984" t="s">
        <v>74</v>
      </c>
      <c r="AR984" t="s">
        <v>1324</v>
      </c>
      <c r="AS984" t="s">
        <v>1325</v>
      </c>
      <c r="AT984" t="s">
        <v>10878</v>
      </c>
      <c r="AU984">
        <v>2021</v>
      </c>
      <c r="AV984">
        <v>36</v>
      </c>
      <c r="AW984">
        <v>5</v>
      </c>
      <c r="AX984" t="s">
        <v>74</v>
      </c>
      <c r="AY984" t="s">
        <v>74</v>
      </c>
      <c r="AZ984" t="s">
        <v>74</v>
      </c>
      <c r="BA984" t="s">
        <v>74</v>
      </c>
      <c r="BB984" t="s">
        <v>74</v>
      </c>
      <c r="BC984" t="s">
        <v>74</v>
      </c>
      <c r="BD984" t="s">
        <v>18942</v>
      </c>
      <c r="BE984" t="s">
        <v>18943</v>
      </c>
      <c r="BF984" t="str">
        <f>HYPERLINK("http://dx.doi.org/10.1029/2020PA003949","http://dx.doi.org/10.1029/2020PA003949")</f>
        <v>http://dx.doi.org/10.1029/2020PA003949</v>
      </c>
      <c r="BG984" t="s">
        <v>74</v>
      </c>
      <c r="BH984" t="s">
        <v>74</v>
      </c>
      <c r="BI984">
        <v>19</v>
      </c>
      <c r="BJ984" t="s">
        <v>1328</v>
      </c>
      <c r="BK984" t="s">
        <v>128</v>
      </c>
      <c r="BL984" t="s">
        <v>1329</v>
      </c>
      <c r="BM984" t="s">
        <v>18908</v>
      </c>
      <c r="BN984" t="s">
        <v>74</v>
      </c>
      <c r="BO984" t="s">
        <v>238</v>
      </c>
      <c r="BP984" t="s">
        <v>74</v>
      </c>
      <c r="BQ984" t="s">
        <v>74</v>
      </c>
      <c r="BR984" t="s">
        <v>102</v>
      </c>
      <c r="BS984" t="s">
        <v>18944</v>
      </c>
      <c r="BT984" t="str">
        <f>HYPERLINK("https%3A%2F%2Fwww.webofscience.com%2Fwos%2Fwoscc%2Ffull-record%2FWOS:000654380700011","View Full Record in Web of Science")</f>
        <v>View Full Record in Web of Science</v>
      </c>
    </row>
    <row r="985" spans="1:72" x14ac:dyDescent="0.15">
      <c r="A985" t="s">
        <v>72</v>
      </c>
      <c r="B985" t="s">
        <v>18945</v>
      </c>
      <c r="C985" t="s">
        <v>74</v>
      </c>
      <c r="D985" t="s">
        <v>74</v>
      </c>
      <c r="E985" t="s">
        <v>74</v>
      </c>
      <c r="F985" t="s">
        <v>18946</v>
      </c>
      <c r="G985" t="s">
        <v>74</v>
      </c>
      <c r="H985" t="s">
        <v>74</v>
      </c>
      <c r="I985" t="s">
        <v>18947</v>
      </c>
      <c r="J985" t="s">
        <v>7505</v>
      </c>
      <c r="K985" t="s">
        <v>74</v>
      </c>
      <c r="L985" t="s">
        <v>74</v>
      </c>
      <c r="M985" t="s">
        <v>78</v>
      </c>
      <c r="N985" t="s">
        <v>79</v>
      </c>
      <c r="O985" t="s">
        <v>74</v>
      </c>
      <c r="P985" t="s">
        <v>74</v>
      </c>
      <c r="Q985" t="s">
        <v>74</v>
      </c>
      <c r="R985" t="s">
        <v>74</v>
      </c>
      <c r="S985" t="s">
        <v>74</v>
      </c>
      <c r="T985" t="s">
        <v>18948</v>
      </c>
      <c r="U985" t="s">
        <v>18949</v>
      </c>
      <c r="V985" t="s">
        <v>18950</v>
      </c>
      <c r="W985" t="s">
        <v>18951</v>
      </c>
      <c r="X985" t="s">
        <v>18952</v>
      </c>
      <c r="Y985" t="s">
        <v>18953</v>
      </c>
      <c r="Z985" t="s">
        <v>18954</v>
      </c>
      <c r="AA985" t="s">
        <v>74</v>
      </c>
      <c r="AB985" t="s">
        <v>18955</v>
      </c>
      <c r="AC985" t="s">
        <v>18956</v>
      </c>
      <c r="AD985" t="s">
        <v>18957</v>
      </c>
      <c r="AE985" t="s">
        <v>18958</v>
      </c>
      <c r="AF985" t="s">
        <v>74</v>
      </c>
      <c r="AG985">
        <v>94</v>
      </c>
      <c r="AH985">
        <v>3</v>
      </c>
      <c r="AI985">
        <v>3</v>
      </c>
      <c r="AJ985">
        <v>2</v>
      </c>
      <c r="AK985">
        <v>8</v>
      </c>
      <c r="AL985" t="s">
        <v>649</v>
      </c>
      <c r="AM985" t="s">
        <v>650</v>
      </c>
      <c r="AN985" t="s">
        <v>651</v>
      </c>
      <c r="AO985" t="s">
        <v>7518</v>
      </c>
      <c r="AP985" t="s">
        <v>7519</v>
      </c>
      <c r="AQ985" t="s">
        <v>74</v>
      </c>
      <c r="AR985" t="s">
        <v>7520</v>
      </c>
      <c r="AS985" t="s">
        <v>7521</v>
      </c>
      <c r="AT985" t="s">
        <v>10878</v>
      </c>
      <c r="AU985">
        <v>2021</v>
      </c>
      <c r="AV985">
        <v>101</v>
      </c>
      <c r="AW985" t="s">
        <v>74</v>
      </c>
      <c r="AX985" t="s">
        <v>74</v>
      </c>
      <c r="AY985" t="s">
        <v>74</v>
      </c>
      <c r="AZ985" t="s">
        <v>74</v>
      </c>
      <c r="BA985" t="s">
        <v>74</v>
      </c>
      <c r="BB985">
        <v>156</v>
      </c>
      <c r="BC985">
        <v>168</v>
      </c>
      <c r="BD985" t="s">
        <v>18959</v>
      </c>
      <c r="BE985" t="s">
        <v>18960</v>
      </c>
      <c r="BF985" t="str">
        <f>HYPERLINK("http://dx.doi.org/10.1017/qua.2020.118","http://dx.doi.org/10.1017/qua.2020.118")</f>
        <v>http://dx.doi.org/10.1017/qua.2020.118</v>
      </c>
      <c r="BG985" t="s">
        <v>74</v>
      </c>
      <c r="BH985" t="s">
        <v>74</v>
      </c>
      <c r="BI985">
        <v>13</v>
      </c>
      <c r="BJ985" t="s">
        <v>151</v>
      </c>
      <c r="BK985" t="s">
        <v>128</v>
      </c>
      <c r="BL985" t="s">
        <v>152</v>
      </c>
      <c r="BM985" t="s">
        <v>18961</v>
      </c>
      <c r="BN985" t="s">
        <v>74</v>
      </c>
      <c r="BO985" t="s">
        <v>74</v>
      </c>
      <c r="BP985" t="s">
        <v>74</v>
      </c>
      <c r="BQ985" t="s">
        <v>74</v>
      </c>
      <c r="BR985" t="s">
        <v>102</v>
      </c>
      <c r="BS985" t="s">
        <v>18962</v>
      </c>
      <c r="BT985" t="str">
        <f>HYPERLINK("https%3A%2F%2Fwww.webofscience.com%2Fwos%2Fwoscc%2Ffull-record%2FWOS:000654147100012","View Full Record in Web of Science")</f>
        <v>View Full Record in Web of Science</v>
      </c>
    </row>
    <row r="986" spans="1:72" x14ac:dyDescent="0.15">
      <c r="A986" t="s">
        <v>72</v>
      </c>
      <c r="B986" t="s">
        <v>18963</v>
      </c>
      <c r="C986" t="s">
        <v>74</v>
      </c>
      <c r="D986" t="s">
        <v>74</v>
      </c>
      <c r="E986" t="s">
        <v>74</v>
      </c>
      <c r="F986" t="s">
        <v>18964</v>
      </c>
      <c r="G986" t="s">
        <v>74</v>
      </c>
      <c r="H986" t="s">
        <v>74</v>
      </c>
      <c r="I986" t="s">
        <v>18965</v>
      </c>
      <c r="J986" t="s">
        <v>1025</v>
      </c>
      <c r="K986" t="s">
        <v>74</v>
      </c>
      <c r="L986" t="s">
        <v>74</v>
      </c>
      <c r="M986" t="s">
        <v>78</v>
      </c>
      <c r="N986" t="s">
        <v>79</v>
      </c>
      <c r="O986" t="s">
        <v>74</v>
      </c>
      <c r="P986" t="s">
        <v>74</v>
      </c>
      <c r="Q986" t="s">
        <v>74</v>
      </c>
      <c r="R986" t="s">
        <v>74</v>
      </c>
      <c r="S986" t="s">
        <v>74</v>
      </c>
      <c r="T986" t="s">
        <v>18966</v>
      </c>
      <c r="U986" t="s">
        <v>18967</v>
      </c>
      <c r="V986" t="s">
        <v>18968</v>
      </c>
      <c r="W986" t="s">
        <v>18969</v>
      </c>
      <c r="X986" t="s">
        <v>18970</v>
      </c>
      <c r="Y986" t="s">
        <v>18971</v>
      </c>
      <c r="Z986" t="s">
        <v>18972</v>
      </c>
      <c r="AA986" t="s">
        <v>18973</v>
      </c>
      <c r="AB986" t="s">
        <v>18974</v>
      </c>
      <c r="AC986" t="s">
        <v>18975</v>
      </c>
      <c r="AD986" t="s">
        <v>18976</v>
      </c>
      <c r="AE986" t="s">
        <v>18977</v>
      </c>
      <c r="AF986" t="s">
        <v>74</v>
      </c>
      <c r="AG986">
        <v>88</v>
      </c>
      <c r="AH986">
        <v>7</v>
      </c>
      <c r="AI986">
        <v>8</v>
      </c>
      <c r="AJ986">
        <v>1</v>
      </c>
      <c r="AK986">
        <v>18</v>
      </c>
      <c r="AL986" t="s">
        <v>864</v>
      </c>
      <c r="AM986" t="s">
        <v>865</v>
      </c>
      <c r="AN986" t="s">
        <v>866</v>
      </c>
      <c r="AO986" t="s">
        <v>1038</v>
      </c>
      <c r="AP986" t="s">
        <v>1039</v>
      </c>
      <c r="AQ986" t="s">
        <v>74</v>
      </c>
      <c r="AR986" t="s">
        <v>1040</v>
      </c>
      <c r="AS986" t="s">
        <v>1041</v>
      </c>
      <c r="AT986" t="s">
        <v>10878</v>
      </c>
      <c r="AU986">
        <v>2021</v>
      </c>
      <c r="AV986">
        <v>35</v>
      </c>
      <c r="AW986">
        <v>5</v>
      </c>
      <c r="AX986" t="s">
        <v>74</v>
      </c>
      <c r="AY986" t="s">
        <v>74</v>
      </c>
      <c r="AZ986" t="s">
        <v>74</v>
      </c>
      <c r="BA986" t="s">
        <v>74</v>
      </c>
      <c r="BB986" t="s">
        <v>74</v>
      </c>
      <c r="BC986" t="s">
        <v>74</v>
      </c>
      <c r="BD986" t="s">
        <v>18978</v>
      </c>
      <c r="BE986" t="s">
        <v>18979</v>
      </c>
      <c r="BF986" t="str">
        <f>HYPERLINK("http://dx.doi.org/10.1029/2020GB006706","http://dx.doi.org/10.1029/2020GB006706")</f>
        <v>http://dx.doi.org/10.1029/2020GB006706</v>
      </c>
      <c r="BG986" t="s">
        <v>74</v>
      </c>
      <c r="BH986" t="s">
        <v>74</v>
      </c>
      <c r="BI986">
        <v>14</v>
      </c>
      <c r="BJ986" t="s">
        <v>1044</v>
      </c>
      <c r="BK986" t="s">
        <v>128</v>
      </c>
      <c r="BL986" t="s">
        <v>1045</v>
      </c>
      <c r="BM986" t="s">
        <v>18980</v>
      </c>
      <c r="BN986" t="s">
        <v>74</v>
      </c>
      <c r="BO986" t="s">
        <v>74</v>
      </c>
      <c r="BP986" t="s">
        <v>74</v>
      </c>
      <c r="BQ986" t="s">
        <v>74</v>
      </c>
      <c r="BR986" t="s">
        <v>102</v>
      </c>
      <c r="BS986" t="s">
        <v>18981</v>
      </c>
      <c r="BT986" t="str">
        <f>HYPERLINK("https%3A%2F%2Fwww.webofscience.com%2Fwos%2Fwoscc%2Ffull-record%2FWOS:000655225100006","View Full Record in Web of Science")</f>
        <v>View Full Record in Web of Science</v>
      </c>
    </row>
    <row r="987" spans="1:72" x14ac:dyDescent="0.15">
      <c r="A987" t="s">
        <v>72</v>
      </c>
      <c r="B987" t="s">
        <v>18982</v>
      </c>
      <c r="C987" t="s">
        <v>74</v>
      </c>
      <c r="D987" t="s">
        <v>74</v>
      </c>
      <c r="E987" t="s">
        <v>74</v>
      </c>
      <c r="F987" t="s">
        <v>18983</v>
      </c>
      <c r="G987" t="s">
        <v>74</v>
      </c>
      <c r="H987" t="s">
        <v>74</v>
      </c>
      <c r="I987" t="s">
        <v>18984</v>
      </c>
      <c r="J987" t="s">
        <v>1404</v>
      </c>
      <c r="K987" t="s">
        <v>74</v>
      </c>
      <c r="L987" t="s">
        <v>74</v>
      </c>
      <c r="M987" t="s">
        <v>78</v>
      </c>
      <c r="N987" t="s">
        <v>79</v>
      </c>
      <c r="O987" t="s">
        <v>74</v>
      </c>
      <c r="P987" t="s">
        <v>74</v>
      </c>
      <c r="Q987" t="s">
        <v>74</v>
      </c>
      <c r="R987" t="s">
        <v>74</v>
      </c>
      <c r="S987" t="s">
        <v>74</v>
      </c>
      <c r="T987" t="s">
        <v>18985</v>
      </c>
      <c r="U987" t="s">
        <v>18986</v>
      </c>
      <c r="V987" t="s">
        <v>18987</v>
      </c>
      <c r="W987" t="s">
        <v>18988</v>
      </c>
      <c r="X987" t="s">
        <v>18989</v>
      </c>
      <c r="Y987" t="s">
        <v>18990</v>
      </c>
      <c r="Z987" t="s">
        <v>18991</v>
      </c>
      <c r="AA987" t="s">
        <v>18992</v>
      </c>
      <c r="AB987" t="s">
        <v>18993</v>
      </c>
      <c r="AC987" t="s">
        <v>18994</v>
      </c>
      <c r="AD987" t="s">
        <v>18995</v>
      </c>
      <c r="AE987" t="s">
        <v>18996</v>
      </c>
      <c r="AF987" t="s">
        <v>74</v>
      </c>
      <c r="AG987">
        <v>56</v>
      </c>
      <c r="AH987">
        <v>10</v>
      </c>
      <c r="AI987">
        <v>9</v>
      </c>
      <c r="AJ987">
        <v>1</v>
      </c>
      <c r="AK987">
        <v>17</v>
      </c>
      <c r="AL987" t="s">
        <v>1101</v>
      </c>
      <c r="AM987" t="s">
        <v>1102</v>
      </c>
      <c r="AN987" t="s">
        <v>1103</v>
      </c>
      <c r="AO987" t="s">
        <v>74</v>
      </c>
      <c r="AP987" t="s">
        <v>1417</v>
      </c>
      <c r="AQ987" t="s">
        <v>74</v>
      </c>
      <c r="AR987" t="s">
        <v>1418</v>
      </c>
      <c r="AS987" t="s">
        <v>1419</v>
      </c>
      <c r="AT987" t="s">
        <v>10878</v>
      </c>
      <c r="AU987">
        <v>2021</v>
      </c>
      <c r="AV987">
        <v>13</v>
      </c>
      <c r="AW987">
        <v>9</v>
      </c>
      <c r="AX987" t="s">
        <v>74</v>
      </c>
      <c r="AY987" t="s">
        <v>74</v>
      </c>
      <c r="AZ987" t="s">
        <v>74</v>
      </c>
      <c r="BA987" t="s">
        <v>74</v>
      </c>
      <c r="BB987" t="s">
        <v>74</v>
      </c>
      <c r="BC987" t="s">
        <v>74</v>
      </c>
      <c r="BD987">
        <v>1850</v>
      </c>
      <c r="BE987" t="s">
        <v>18997</v>
      </c>
      <c r="BF987" t="str">
        <f>HYPERLINK("http://dx.doi.org/10.3390/rs13091850","http://dx.doi.org/10.3390/rs13091850")</f>
        <v>http://dx.doi.org/10.3390/rs13091850</v>
      </c>
      <c r="BG987" t="s">
        <v>74</v>
      </c>
      <c r="BH987" t="s">
        <v>74</v>
      </c>
      <c r="BI987">
        <v>21</v>
      </c>
      <c r="BJ987" t="s">
        <v>1421</v>
      </c>
      <c r="BK987" t="s">
        <v>128</v>
      </c>
      <c r="BL987" t="s">
        <v>1422</v>
      </c>
      <c r="BM987" t="s">
        <v>18998</v>
      </c>
      <c r="BN987" t="s">
        <v>74</v>
      </c>
      <c r="BO987" t="s">
        <v>1377</v>
      </c>
      <c r="BP987" t="s">
        <v>74</v>
      </c>
      <c r="BQ987" t="s">
        <v>74</v>
      </c>
      <c r="BR987" t="s">
        <v>102</v>
      </c>
      <c r="BS987" t="s">
        <v>18999</v>
      </c>
      <c r="BT987" t="str">
        <f>HYPERLINK("https%3A%2F%2Fwww.webofscience.com%2Fwos%2Fwoscc%2Ffull-record%2FWOS:000650740800001","View Full Record in Web of Science")</f>
        <v>View Full Record in Web of Science</v>
      </c>
    </row>
    <row r="988" spans="1:72" x14ac:dyDescent="0.15">
      <c r="A988" t="s">
        <v>72</v>
      </c>
      <c r="B988" t="s">
        <v>19000</v>
      </c>
      <c r="C988" t="s">
        <v>74</v>
      </c>
      <c r="D988" t="s">
        <v>74</v>
      </c>
      <c r="E988" t="s">
        <v>74</v>
      </c>
      <c r="F988" t="s">
        <v>19001</v>
      </c>
      <c r="G988" t="s">
        <v>74</v>
      </c>
      <c r="H988" t="s">
        <v>74</v>
      </c>
      <c r="I988" t="s">
        <v>19002</v>
      </c>
      <c r="J988" t="s">
        <v>19003</v>
      </c>
      <c r="K988" t="s">
        <v>74</v>
      </c>
      <c r="L988" t="s">
        <v>74</v>
      </c>
      <c r="M988" t="s">
        <v>6414</v>
      </c>
      <c r="N988" t="s">
        <v>79</v>
      </c>
      <c r="O988" t="s">
        <v>74</v>
      </c>
      <c r="P988" t="s">
        <v>74</v>
      </c>
      <c r="Q988" t="s">
        <v>74</v>
      </c>
      <c r="R988" t="s">
        <v>74</v>
      </c>
      <c r="S988" t="s">
        <v>74</v>
      </c>
      <c r="T988" t="s">
        <v>19004</v>
      </c>
      <c r="U988" t="s">
        <v>74</v>
      </c>
      <c r="V988" t="s">
        <v>19005</v>
      </c>
      <c r="W988" t="s">
        <v>19006</v>
      </c>
      <c r="X988" t="s">
        <v>19007</v>
      </c>
      <c r="Y988" t="s">
        <v>19008</v>
      </c>
      <c r="Z988" t="s">
        <v>19009</v>
      </c>
      <c r="AA988" t="s">
        <v>74</v>
      </c>
      <c r="AB988" t="s">
        <v>74</v>
      </c>
      <c r="AC988" t="s">
        <v>74</v>
      </c>
      <c r="AD988" t="s">
        <v>74</v>
      </c>
      <c r="AE988" t="s">
        <v>74</v>
      </c>
      <c r="AF988" t="s">
        <v>74</v>
      </c>
      <c r="AG988">
        <v>13</v>
      </c>
      <c r="AH988">
        <v>0</v>
      </c>
      <c r="AI988">
        <v>0</v>
      </c>
      <c r="AJ988">
        <v>0</v>
      </c>
      <c r="AK988">
        <v>1</v>
      </c>
      <c r="AL988" t="s">
        <v>19010</v>
      </c>
      <c r="AM988" t="s">
        <v>12915</v>
      </c>
      <c r="AN988" t="s">
        <v>19011</v>
      </c>
      <c r="AO988" t="s">
        <v>19012</v>
      </c>
      <c r="AP988" t="s">
        <v>19013</v>
      </c>
      <c r="AQ988" t="s">
        <v>74</v>
      </c>
      <c r="AR988" t="s">
        <v>19014</v>
      </c>
      <c r="AS988" t="s">
        <v>19015</v>
      </c>
      <c r="AT988" t="s">
        <v>10878</v>
      </c>
      <c r="AU988">
        <v>2021</v>
      </c>
      <c r="AV988" t="s">
        <v>74</v>
      </c>
      <c r="AW988">
        <v>15</v>
      </c>
      <c r="AX988" t="s">
        <v>74</v>
      </c>
      <c r="AY988" t="s">
        <v>74</v>
      </c>
      <c r="AZ988" t="s">
        <v>74</v>
      </c>
      <c r="BA988" t="s">
        <v>74</v>
      </c>
      <c r="BB988">
        <v>134</v>
      </c>
      <c r="BC988" t="s">
        <v>403</v>
      </c>
      <c r="BD988" t="s">
        <v>74</v>
      </c>
      <c r="BE988" t="s">
        <v>19016</v>
      </c>
      <c r="BF988" t="str">
        <f>HYPERLINK("http://dx.doi.org/10.24192/2386-7027(2021)(v15)(09)","http://dx.doi.org/10.24192/2386-7027(2021)(v15)(09)")</f>
        <v>http://dx.doi.org/10.24192/2386-7027(2021)(v15)(09)</v>
      </c>
      <c r="BG988" t="s">
        <v>74</v>
      </c>
      <c r="BH988" t="s">
        <v>74</v>
      </c>
      <c r="BI988">
        <v>12</v>
      </c>
      <c r="BJ988" t="s">
        <v>19017</v>
      </c>
      <c r="BK988" t="s">
        <v>1819</v>
      </c>
      <c r="BL988" t="s">
        <v>19017</v>
      </c>
      <c r="BM988" t="s">
        <v>19018</v>
      </c>
      <c r="BN988" t="s">
        <v>74</v>
      </c>
      <c r="BO988" t="s">
        <v>154</v>
      </c>
      <c r="BP988" t="s">
        <v>74</v>
      </c>
      <c r="BQ988" t="s">
        <v>74</v>
      </c>
      <c r="BR988" t="s">
        <v>102</v>
      </c>
      <c r="BS988" t="s">
        <v>19019</v>
      </c>
      <c r="BT988" t="str">
        <f>HYPERLINK("https%3A%2F%2Fwww.webofscience.com%2Fwos%2Fwoscc%2Ffull-record%2FWOS:000652280600019","View Full Record in Web of Science")</f>
        <v>View Full Record in Web of Science</v>
      </c>
    </row>
    <row r="989" spans="1:72" x14ac:dyDescent="0.15">
      <c r="A989" t="s">
        <v>72</v>
      </c>
      <c r="B989" t="s">
        <v>19020</v>
      </c>
      <c r="C989" t="s">
        <v>74</v>
      </c>
      <c r="D989" t="s">
        <v>74</v>
      </c>
      <c r="E989" t="s">
        <v>74</v>
      </c>
      <c r="F989" t="s">
        <v>19021</v>
      </c>
      <c r="G989" t="s">
        <v>74</v>
      </c>
      <c r="H989" t="s">
        <v>74</v>
      </c>
      <c r="I989" t="s">
        <v>19022</v>
      </c>
      <c r="J989" t="s">
        <v>2178</v>
      </c>
      <c r="K989" t="s">
        <v>74</v>
      </c>
      <c r="L989" t="s">
        <v>74</v>
      </c>
      <c r="M989" t="s">
        <v>78</v>
      </c>
      <c r="N989" t="s">
        <v>79</v>
      </c>
      <c r="O989" t="s">
        <v>74</v>
      </c>
      <c r="P989" t="s">
        <v>74</v>
      </c>
      <c r="Q989" t="s">
        <v>74</v>
      </c>
      <c r="R989" t="s">
        <v>74</v>
      </c>
      <c r="S989" t="s">
        <v>74</v>
      </c>
      <c r="T989" t="s">
        <v>19023</v>
      </c>
      <c r="U989" t="s">
        <v>19024</v>
      </c>
      <c r="V989" t="s">
        <v>19025</v>
      </c>
      <c r="W989" t="s">
        <v>19026</v>
      </c>
      <c r="X989" t="s">
        <v>19027</v>
      </c>
      <c r="Y989" t="s">
        <v>19028</v>
      </c>
      <c r="Z989" t="s">
        <v>19029</v>
      </c>
      <c r="AA989" t="s">
        <v>708</v>
      </c>
      <c r="AB989" t="s">
        <v>19030</v>
      </c>
      <c r="AC989" t="s">
        <v>19031</v>
      </c>
      <c r="AD989" t="s">
        <v>19032</v>
      </c>
      <c r="AE989" t="s">
        <v>19033</v>
      </c>
      <c r="AF989" t="s">
        <v>74</v>
      </c>
      <c r="AG989">
        <v>62</v>
      </c>
      <c r="AH989">
        <v>8</v>
      </c>
      <c r="AI989">
        <v>8</v>
      </c>
      <c r="AJ989">
        <v>1</v>
      </c>
      <c r="AK989">
        <v>13</v>
      </c>
      <c r="AL989" t="s">
        <v>2190</v>
      </c>
      <c r="AM989" t="s">
        <v>228</v>
      </c>
      <c r="AN989" t="s">
        <v>2191</v>
      </c>
      <c r="AO989" t="s">
        <v>2192</v>
      </c>
      <c r="AP989" t="s">
        <v>2193</v>
      </c>
      <c r="AQ989" t="s">
        <v>74</v>
      </c>
      <c r="AR989" t="s">
        <v>2194</v>
      </c>
      <c r="AS989" t="s">
        <v>2195</v>
      </c>
      <c r="AT989" t="s">
        <v>10878</v>
      </c>
      <c r="AU989">
        <v>2021</v>
      </c>
      <c r="AV989">
        <v>192</v>
      </c>
      <c r="AW989">
        <v>1</v>
      </c>
      <c r="AX989" t="s">
        <v>74</v>
      </c>
      <c r="AY989" t="s">
        <v>74</v>
      </c>
      <c r="AZ989" t="s">
        <v>74</v>
      </c>
      <c r="BA989" t="s">
        <v>74</v>
      </c>
      <c r="BB989">
        <v>105</v>
      </c>
      <c r="BC989">
        <v>116</v>
      </c>
      <c r="BD989" t="s">
        <v>74</v>
      </c>
      <c r="BE989" t="s">
        <v>19034</v>
      </c>
      <c r="BF989" t="str">
        <f>HYPERLINK("http://dx.doi.org/10.1093/zoolinnean/zlaa097","http://dx.doi.org/10.1093/zoolinnean/zlaa097")</f>
        <v>http://dx.doi.org/10.1093/zoolinnean/zlaa097</v>
      </c>
      <c r="BG989" t="s">
        <v>74</v>
      </c>
      <c r="BH989" t="s">
        <v>74</v>
      </c>
      <c r="BI989">
        <v>12</v>
      </c>
      <c r="BJ989" t="s">
        <v>2197</v>
      </c>
      <c r="BK989" t="s">
        <v>128</v>
      </c>
      <c r="BL989" t="s">
        <v>2197</v>
      </c>
      <c r="BM989" t="s">
        <v>19035</v>
      </c>
      <c r="BN989" t="s">
        <v>74</v>
      </c>
      <c r="BO989" t="s">
        <v>408</v>
      </c>
      <c r="BP989" t="s">
        <v>74</v>
      </c>
      <c r="BQ989" t="s">
        <v>74</v>
      </c>
      <c r="BR989" t="s">
        <v>102</v>
      </c>
      <c r="BS989" t="s">
        <v>19036</v>
      </c>
      <c r="BT989" t="str">
        <f>HYPERLINK("https%3A%2F%2Fwww.webofscience.com%2Fwos%2Fwoscc%2Ffull-record%2FWOS:000651842400006","View Full Record in Web of Science")</f>
        <v>View Full Record in Web of Science</v>
      </c>
    </row>
    <row r="990" spans="1:72" x14ac:dyDescent="0.15">
      <c r="A990" t="s">
        <v>72</v>
      </c>
      <c r="B990" t="s">
        <v>19037</v>
      </c>
      <c r="C990" t="s">
        <v>74</v>
      </c>
      <c r="D990" t="s">
        <v>74</v>
      </c>
      <c r="E990" t="s">
        <v>74</v>
      </c>
      <c r="F990" t="s">
        <v>19038</v>
      </c>
      <c r="G990" t="s">
        <v>74</v>
      </c>
      <c r="H990" t="s">
        <v>74</v>
      </c>
      <c r="I990" t="s">
        <v>19039</v>
      </c>
      <c r="J990" t="s">
        <v>14026</v>
      </c>
      <c r="K990" t="s">
        <v>74</v>
      </c>
      <c r="L990" t="s">
        <v>74</v>
      </c>
      <c r="M990" t="s">
        <v>78</v>
      </c>
      <c r="N990" t="s">
        <v>79</v>
      </c>
      <c r="O990" t="s">
        <v>74</v>
      </c>
      <c r="P990" t="s">
        <v>74</v>
      </c>
      <c r="Q990" t="s">
        <v>74</v>
      </c>
      <c r="R990" t="s">
        <v>74</v>
      </c>
      <c r="S990" t="s">
        <v>74</v>
      </c>
      <c r="T990" t="s">
        <v>74</v>
      </c>
      <c r="U990" t="s">
        <v>19040</v>
      </c>
      <c r="V990" t="s">
        <v>19041</v>
      </c>
      <c r="W990" t="s">
        <v>19042</v>
      </c>
      <c r="X990" t="s">
        <v>19043</v>
      </c>
      <c r="Y990" t="s">
        <v>19044</v>
      </c>
      <c r="Z990" t="s">
        <v>19045</v>
      </c>
      <c r="AA990" t="s">
        <v>19046</v>
      </c>
      <c r="AB990" t="s">
        <v>19047</v>
      </c>
      <c r="AC990" t="s">
        <v>994</v>
      </c>
      <c r="AD990" t="s">
        <v>995</v>
      </c>
      <c r="AE990" t="s">
        <v>19048</v>
      </c>
      <c r="AF990" t="s">
        <v>74</v>
      </c>
      <c r="AG990">
        <v>64</v>
      </c>
      <c r="AH990">
        <v>19</v>
      </c>
      <c r="AI990">
        <v>20</v>
      </c>
      <c r="AJ990">
        <v>0</v>
      </c>
      <c r="AK990">
        <v>3</v>
      </c>
      <c r="AL990" t="s">
        <v>7807</v>
      </c>
      <c r="AM990" t="s">
        <v>2144</v>
      </c>
      <c r="AN990" t="s">
        <v>2145</v>
      </c>
      <c r="AO990" t="s">
        <v>14038</v>
      </c>
      <c r="AP990" t="s">
        <v>14039</v>
      </c>
      <c r="AQ990" t="s">
        <v>74</v>
      </c>
      <c r="AR990" t="s">
        <v>14040</v>
      </c>
      <c r="AS990" t="s">
        <v>14041</v>
      </c>
      <c r="AT990" t="s">
        <v>10878</v>
      </c>
      <c r="AU990">
        <v>2021</v>
      </c>
      <c r="AV990">
        <v>913</v>
      </c>
      <c r="AW990">
        <v>1</v>
      </c>
      <c r="AX990" t="s">
        <v>74</v>
      </c>
      <c r="AY990" t="s">
        <v>74</v>
      </c>
      <c r="AZ990" t="s">
        <v>74</v>
      </c>
      <c r="BA990" t="s">
        <v>74</v>
      </c>
      <c r="BB990" t="s">
        <v>74</v>
      </c>
      <c r="BC990" t="s">
        <v>74</v>
      </c>
      <c r="BD990">
        <v>10</v>
      </c>
      <c r="BE990" t="s">
        <v>19049</v>
      </c>
      <c r="BF990" t="str">
        <f>HYPERLINK("http://dx.doi.org/10.3847/1538-4357/abef64","http://dx.doi.org/10.3847/1538-4357/abef64")</f>
        <v>http://dx.doi.org/10.3847/1538-4357/abef64</v>
      </c>
      <c r="BG990" t="s">
        <v>74</v>
      </c>
      <c r="BH990" t="s">
        <v>74</v>
      </c>
      <c r="BI990">
        <v>17</v>
      </c>
      <c r="BJ990" t="s">
        <v>1267</v>
      </c>
      <c r="BK990" t="s">
        <v>128</v>
      </c>
      <c r="BL990" t="s">
        <v>1267</v>
      </c>
      <c r="BM990" t="s">
        <v>19050</v>
      </c>
      <c r="BN990" t="s">
        <v>74</v>
      </c>
      <c r="BO990" t="s">
        <v>661</v>
      </c>
      <c r="BP990" t="s">
        <v>74</v>
      </c>
      <c r="BQ990" t="s">
        <v>74</v>
      </c>
      <c r="BR990" t="s">
        <v>102</v>
      </c>
      <c r="BS990" t="s">
        <v>19051</v>
      </c>
      <c r="BT990" t="str">
        <f>HYPERLINK("https%3A%2F%2Fwww.webofscience.com%2Fwos%2Fwoscc%2Ffull-record%2FWOS:000655332900001","View Full Record in Web of Science")</f>
        <v>View Full Record in Web of Science</v>
      </c>
    </row>
    <row r="991" spans="1:72" x14ac:dyDescent="0.15">
      <c r="A991" t="s">
        <v>72</v>
      </c>
      <c r="B991" t="s">
        <v>19052</v>
      </c>
      <c r="C991" t="s">
        <v>74</v>
      </c>
      <c r="D991" t="s">
        <v>74</v>
      </c>
      <c r="E991" t="s">
        <v>74</v>
      </c>
      <c r="F991" t="s">
        <v>19053</v>
      </c>
      <c r="G991" t="s">
        <v>74</v>
      </c>
      <c r="H991" t="s">
        <v>74</v>
      </c>
      <c r="I991" t="s">
        <v>19054</v>
      </c>
      <c r="J991" t="s">
        <v>1404</v>
      </c>
      <c r="K991" t="s">
        <v>74</v>
      </c>
      <c r="L991" t="s">
        <v>74</v>
      </c>
      <c r="M991" t="s">
        <v>78</v>
      </c>
      <c r="N991" t="s">
        <v>79</v>
      </c>
      <c r="O991" t="s">
        <v>74</v>
      </c>
      <c r="P991" t="s">
        <v>74</v>
      </c>
      <c r="Q991" t="s">
        <v>74</v>
      </c>
      <c r="R991" t="s">
        <v>74</v>
      </c>
      <c r="S991" t="s">
        <v>74</v>
      </c>
      <c r="T991" t="s">
        <v>19055</v>
      </c>
      <c r="U991" t="s">
        <v>19056</v>
      </c>
      <c r="V991" t="s">
        <v>19057</v>
      </c>
      <c r="W991" t="s">
        <v>19058</v>
      </c>
      <c r="X991" t="s">
        <v>19059</v>
      </c>
      <c r="Y991" t="s">
        <v>19060</v>
      </c>
      <c r="Z991" t="s">
        <v>19061</v>
      </c>
      <c r="AA991" t="s">
        <v>19062</v>
      </c>
      <c r="AB991" t="s">
        <v>19063</v>
      </c>
      <c r="AC991" t="s">
        <v>19064</v>
      </c>
      <c r="AD991" t="s">
        <v>19065</v>
      </c>
      <c r="AE991" t="s">
        <v>19066</v>
      </c>
      <c r="AF991" t="s">
        <v>74</v>
      </c>
      <c r="AG991">
        <v>64</v>
      </c>
      <c r="AH991">
        <v>14</v>
      </c>
      <c r="AI991">
        <v>15</v>
      </c>
      <c r="AJ991">
        <v>1</v>
      </c>
      <c r="AK991">
        <v>9</v>
      </c>
      <c r="AL991" t="s">
        <v>1101</v>
      </c>
      <c r="AM991" t="s">
        <v>1102</v>
      </c>
      <c r="AN991" t="s">
        <v>1103</v>
      </c>
      <c r="AO991" t="s">
        <v>74</v>
      </c>
      <c r="AP991" t="s">
        <v>1417</v>
      </c>
      <c r="AQ991" t="s">
        <v>74</v>
      </c>
      <c r="AR991" t="s">
        <v>1418</v>
      </c>
      <c r="AS991" t="s">
        <v>1419</v>
      </c>
      <c r="AT991" t="s">
        <v>10878</v>
      </c>
      <c r="AU991">
        <v>2021</v>
      </c>
      <c r="AV991">
        <v>13</v>
      </c>
      <c r="AW991">
        <v>9</v>
      </c>
      <c r="AX991" t="s">
        <v>74</v>
      </c>
      <c r="AY991" t="s">
        <v>74</v>
      </c>
      <c r="AZ991" t="s">
        <v>74</v>
      </c>
      <c r="BA991" t="s">
        <v>74</v>
      </c>
      <c r="BB991" t="s">
        <v>74</v>
      </c>
      <c r="BC991" t="s">
        <v>74</v>
      </c>
      <c r="BD991">
        <v>1736</v>
      </c>
      <c r="BE991" t="s">
        <v>19067</v>
      </c>
      <c r="BF991" t="str">
        <f>HYPERLINK("http://dx.doi.org/10.3390/rs13091736","http://dx.doi.org/10.3390/rs13091736")</f>
        <v>http://dx.doi.org/10.3390/rs13091736</v>
      </c>
      <c r="BG991" t="s">
        <v>74</v>
      </c>
      <c r="BH991" t="s">
        <v>74</v>
      </c>
      <c r="BI991">
        <v>25</v>
      </c>
      <c r="BJ991" t="s">
        <v>1421</v>
      </c>
      <c r="BK991" t="s">
        <v>128</v>
      </c>
      <c r="BL991" t="s">
        <v>1422</v>
      </c>
      <c r="BM991" t="s">
        <v>19068</v>
      </c>
      <c r="BN991" t="s">
        <v>74</v>
      </c>
      <c r="BO991" t="s">
        <v>638</v>
      </c>
      <c r="BP991" t="s">
        <v>74</v>
      </c>
      <c r="BQ991" t="s">
        <v>74</v>
      </c>
      <c r="BR991" t="s">
        <v>102</v>
      </c>
      <c r="BS991" t="s">
        <v>19069</v>
      </c>
      <c r="BT991" t="str">
        <f>HYPERLINK("https%3A%2F%2Fwww.webofscience.com%2Fwos%2Fwoscc%2Ffull-record%2FWOS:000650730800001","View Full Record in Web of Science")</f>
        <v>View Full Record in Web of Science</v>
      </c>
    </row>
    <row r="992" spans="1:72" x14ac:dyDescent="0.15">
      <c r="A992" t="s">
        <v>72</v>
      </c>
      <c r="B992" t="s">
        <v>19070</v>
      </c>
      <c r="C992" t="s">
        <v>74</v>
      </c>
      <c r="D992" t="s">
        <v>74</v>
      </c>
      <c r="E992" t="s">
        <v>74</v>
      </c>
      <c r="F992" t="s">
        <v>19071</v>
      </c>
      <c r="G992" t="s">
        <v>74</v>
      </c>
      <c r="H992" t="s">
        <v>74</v>
      </c>
      <c r="I992" t="s">
        <v>19072</v>
      </c>
      <c r="J992" t="s">
        <v>1404</v>
      </c>
      <c r="K992" t="s">
        <v>74</v>
      </c>
      <c r="L992" t="s">
        <v>74</v>
      </c>
      <c r="M992" t="s">
        <v>78</v>
      </c>
      <c r="N992" t="s">
        <v>79</v>
      </c>
      <c r="O992" t="s">
        <v>74</v>
      </c>
      <c r="P992" t="s">
        <v>74</v>
      </c>
      <c r="Q992" t="s">
        <v>74</v>
      </c>
      <c r="R992" t="s">
        <v>74</v>
      </c>
      <c r="S992" t="s">
        <v>74</v>
      </c>
      <c r="T992" t="s">
        <v>19073</v>
      </c>
      <c r="U992" t="s">
        <v>19074</v>
      </c>
      <c r="V992" t="s">
        <v>19075</v>
      </c>
      <c r="W992" t="s">
        <v>19076</v>
      </c>
      <c r="X992" t="s">
        <v>19077</v>
      </c>
      <c r="Y992" t="s">
        <v>19078</v>
      </c>
      <c r="Z992" t="s">
        <v>19079</v>
      </c>
      <c r="AA992" t="s">
        <v>74</v>
      </c>
      <c r="AB992" t="s">
        <v>19080</v>
      </c>
      <c r="AC992" t="s">
        <v>19081</v>
      </c>
      <c r="AD992" t="s">
        <v>19082</v>
      </c>
      <c r="AE992" t="s">
        <v>19083</v>
      </c>
      <c r="AF992" t="s">
        <v>74</v>
      </c>
      <c r="AG992">
        <v>27</v>
      </c>
      <c r="AH992">
        <v>5</v>
      </c>
      <c r="AI992">
        <v>5</v>
      </c>
      <c r="AJ992">
        <v>3</v>
      </c>
      <c r="AK992">
        <v>12</v>
      </c>
      <c r="AL992" t="s">
        <v>1101</v>
      </c>
      <c r="AM992" t="s">
        <v>1102</v>
      </c>
      <c r="AN992" t="s">
        <v>1103</v>
      </c>
      <c r="AO992" t="s">
        <v>74</v>
      </c>
      <c r="AP992" t="s">
        <v>1417</v>
      </c>
      <c r="AQ992" t="s">
        <v>74</v>
      </c>
      <c r="AR992" t="s">
        <v>1418</v>
      </c>
      <c r="AS992" t="s">
        <v>1419</v>
      </c>
      <c r="AT992" t="s">
        <v>10878</v>
      </c>
      <c r="AU992">
        <v>2021</v>
      </c>
      <c r="AV992">
        <v>13</v>
      </c>
      <c r="AW992">
        <v>9</v>
      </c>
      <c r="AX992" t="s">
        <v>74</v>
      </c>
      <c r="AY992" t="s">
        <v>74</v>
      </c>
      <c r="AZ992" t="s">
        <v>74</v>
      </c>
      <c r="BA992" t="s">
        <v>74</v>
      </c>
      <c r="BB992" t="s">
        <v>74</v>
      </c>
      <c r="BC992" t="s">
        <v>74</v>
      </c>
      <c r="BD992">
        <v>1829</v>
      </c>
      <c r="BE992" t="s">
        <v>19084</v>
      </c>
      <c r="BF992" t="str">
        <f>HYPERLINK("http://dx.doi.org/10.3390/rs13091829","http://dx.doi.org/10.3390/rs13091829")</f>
        <v>http://dx.doi.org/10.3390/rs13091829</v>
      </c>
      <c r="BG992" t="s">
        <v>74</v>
      </c>
      <c r="BH992" t="s">
        <v>74</v>
      </c>
      <c r="BI992">
        <v>21</v>
      </c>
      <c r="BJ992" t="s">
        <v>1421</v>
      </c>
      <c r="BK992" t="s">
        <v>128</v>
      </c>
      <c r="BL992" t="s">
        <v>1422</v>
      </c>
      <c r="BM992" t="s">
        <v>19085</v>
      </c>
      <c r="BN992" t="s">
        <v>74</v>
      </c>
      <c r="BO992" t="s">
        <v>638</v>
      </c>
      <c r="BP992" t="s">
        <v>74</v>
      </c>
      <c r="BQ992" t="s">
        <v>74</v>
      </c>
      <c r="BR992" t="s">
        <v>102</v>
      </c>
      <c r="BS992" t="s">
        <v>19086</v>
      </c>
      <c r="BT992" t="str">
        <f>HYPERLINK("https%3A%2F%2Fwww.webofscience.com%2Fwos%2Fwoscc%2Ffull-record%2FWOS:000650747900001","View Full Record in Web of Science")</f>
        <v>View Full Record in Web of Science</v>
      </c>
    </row>
    <row r="993" spans="1:72" x14ac:dyDescent="0.15">
      <c r="A993" t="s">
        <v>72</v>
      </c>
      <c r="B993" t="s">
        <v>19087</v>
      </c>
      <c r="C993" t="s">
        <v>74</v>
      </c>
      <c r="D993" t="s">
        <v>74</v>
      </c>
      <c r="E993" t="s">
        <v>74</v>
      </c>
      <c r="F993" t="s">
        <v>19088</v>
      </c>
      <c r="G993" t="s">
        <v>74</v>
      </c>
      <c r="H993" t="s">
        <v>74</v>
      </c>
      <c r="I993" t="s">
        <v>19089</v>
      </c>
      <c r="J993" t="s">
        <v>7755</v>
      </c>
      <c r="K993" t="s">
        <v>74</v>
      </c>
      <c r="L993" t="s">
        <v>74</v>
      </c>
      <c r="M993" t="s">
        <v>78</v>
      </c>
      <c r="N993" t="s">
        <v>79</v>
      </c>
      <c r="O993" t="s">
        <v>74</v>
      </c>
      <c r="P993" t="s">
        <v>74</v>
      </c>
      <c r="Q993" t="s">
        <v>74</v>
      </c>
      <c r="R993" t="s">
        <v>74</v>
      </c>
      <c r="S993" t="s">
        <v>74</v>
      </c>
      <c r="T993" t="s">
        <v>74</v>
      </c>
      <c r="U993" t="s">
        <v>19090</v>
      </c>
      <c r="V993" t="s">
        <v>19091</v>
      </c>
      <c r="W993" t="s">
        <v>19092</v>
      </c>
      <c r="X993" t="s">
        <v>19093</v>
      </c>
      <c r="Y993" t="s">
        <v>19094</v>
      </c>
      <c r="Z993" t="s">
        <v>19095</v>
      </c>
      <c r="AA993" t="s">
        <v>19096</v>
      </c>
      <c r="AB993" t="s">
        <v>19097</v>
      </c>
      <c r="AC993" t="s">
        <v>19098</v>
      </c>
      <c r="AD993" t="s">
        <v>19099</v>
      </c>
      <c r="AE993" t="s">
        <v>19100</v>
      </c>
      <c r="AF993" t="s">
        <v>74</v>
      </c>
      <c r="AG993">
        <v>71</v>
      </c>
      <c r="AH993">
        <v>20</v>
      </c>
      <c r="AI993">
        <v>20</v>
      </c>
      <c r="AJ993">
        <v>4</v>
      </c>
      <c r="AK993">
        <v>32</v>
      </c>
      <c r="AL993" t="s">
        <v>7767</v>
      </c>
      <c r="AM993" t="s">
        <v>865</v>
      </c>
      <c r="AN993" t="s">
        <v>7768</v>
      </c>
      <c r="AO993" t="s">
        <v>7769</v>
      </c>
      <c r="AP993" t="s">
        <v>74</v>
      </c>
      <c r="AQ993" t="s">
        <v>74</v>
      </c>
      <c r="AR993" t="s">
        <v>7770</v>
      </c>
      <c r="AS993" t="s">
        <v>7771</v>
      </c>
      <c r="AT993" t="s">
        <v>10878</v>
      </c>
      <c r="AU993">
        <v>2021</v>
      </c>
      <c r="AV993">
        <v>7</v>
      </c>
      <c r="AW993">
        <v>22</v>
      </c>
      <c r="AX993" t="s">
        <v>74</v>
      </c>
      <c r="AY993" t="s">
        <v>74</v>
      </c>
      <c r="AZ993" t="s">
        <v>74</v>
      </c>
      <c r="BA993" t="s">
        <v>74</v>
      </c>
      <c r="BB993" t="s">
        <v>74</v>
      </c>
      <c r="BC993" t="s">
        <v>74</v>
      </c>
      <c r="BD993" t="s">
        <v>19101</v>
      </c>
      <c r="BE993" t="s">
        <v>19102</v>
      </c>
      <c r="BF993" t="str">
        <f>HYPERLINK("http://dx.doi.org/10.1126/sciadv.abc1379","http://dx.doi.org/10.1126/sciadv.abc1379")</f>
        <v>http://dx.doi.org/10.1126/sciadv.abc1379</v>
      </c>
      <c r="BG993" t="s">
        <v>74</v>
      </c>
      <c r="BH993" t="s">
        <v>74</v>
      </c>
      <c r="BI993">
        <v>10</v>
      </c>
      <c r="BJ993" t="s">
        <v>2609</v>
      </c>
      <c r="BK993" t="s">
        <v>128</v>
      </c>
      <c r="BL993" t="s">
        <v>2610</v>
      </c>
      <c r="BM993" t="s">
        <v>19103</v>
      </c>
      <c r="BN993">
        <v>34049885</v>
      </c>
      <c r="BO993" t="s">
        <v>131</v>
      </c>
      <c r="BP993" t="s">
        <v>74</v>
      </c>
      <c r="BQ993" t="s">
        <v>74</v>
      </c>
      <c r="BR993" t="s">
        <v>102</v>
      </c>
      <c r="BS993" t="s">
        <v>19104</v>
      </c>
      <c r="BT993" t="str">
        <f>HYPERLINK("https%3A%2F%2Fwww.webofscience.com%2Fwos%2Fwoscc%2Ffull-record%2FWOS:000655906900005","View Full Record in Web of Science")</f>
        <v>View Full Record in Web of Science</v>
      </c>
    </row>
    <row r="994" spans="1:72" x14ac:dyDescent="0.15">
      <c r="A994" t="s">
        <v>72</v>
      </c>
      <c r="B994" t="s">
        <v>19105</v>
      </c>
      <c r="C994" t="s">
        <v>74</v>
      </c>
      <c r="D994" t="s">
        <v>74</v>
      </c>
      <c r="E994" t="s">
        <v>74</v>
      </c>
      <c r="F994" t="s">
        <v>19106</v>
      </c>
      <c r="G994" t="s">
        <v>74</v>
      </c>
      <c r="H994" t="s">
        <v>74</v>
      </c>
      <c r="I994" t="s">
        <v>19107</v>
      </c>
      <c r="J994" t="s">
        <v>19108</v>
      </c>
      <c r="K994" t="s">
        <v>74</v>
      </c>
      <c r="L994" t="s">
        <v>74</v>
      </c>
      <c r="M994" t="s">
        <v>78</v>
      </c>
      <c r="N994" t="s">
        <v>79</v>
      </c>
      <c r="O994" t="s">
        <v>74</v>
      </c>
      <c r="P994" t="s">
        <v>74</v>
      </c>
      <c r="Q994" t="s">
        <v>74</v>
      </c>
      <c r="R994" t="s">
        <v>74</v>
      </c>
      <c r="S994" t="s">
        <v>74</v>
      </c>
      <c r="T994" t="s">
        <v>19109</v>
      </c>
      <c r="U994" t="s">
        <v>19110</v>
      </c>
      <c r="V994" t="s">
        <v>19111</v>
      </c>
      <c r="W994" t="s">
        <v>19112</v>
      </c>
      <c r="X994" t="s">
        <v>18248</v>
      </c>
      <c r="Y994" t="s">
        <v>19113</v>
      </c>
      <c r="Z994" t="s">
        <v>19114</v>
      </c>
      <c r="AA994" t="s">
        <v>74</v>
      </c>
      <c r="AB994" t="s">
        <v>19115</v>
      </c>
      <c r="AC994" t="s">
        <v>74</v>
      </c>
      <c r="AD994" t="s">
        <v>74</v>
      </c>
      <c r="AE994" t="s">
        <v>74</v>
      </c>
      <c r="AF994" t="s">
        <v>74</v>
      </c>
      <c r="AG994">
        <v>16</v>
      </c>
      <c r="AH994">
        <v>4</v>
      </c>
      <c r="AI994">
        <v>4</v>
      </c>
      <c r="AJ994">
        <v>0</v>
      </c>
      <c r="AK994">
        <v>6</v>
      </c>
      <c r="AL994" t="s">
        <v>1101</v>
      </c>
      <c r="AM994" t="s">
        <v>1102</v>
      </c>
      <c r="AN994" t="s">
        <v>1103</v>
      </c>
      <c r="AO994" t="s">
        <v>74</v>
      </c>
      <c r="AP994" t="s">
        <v>19116</v>
      </c>
      <c r="AQ994" t="s">
        <v>74</v>
      </c>
      <c r="AR994" t="s">
        <v>19117</v>
      </c>
      <c r="AS994" t="s">
        <v>19118</v>
      </c>
      <c r="AT994" t="s">
        <v>10878</v>
      </c>
      <c r="AU994">
        <v>2021</v>
      </c>
      <c r="AV994">
        <v>8</v>
      </c>
      <c r="AW994">
        <v>5</v>
      </c>
      <c r="AX994" t="s">
        <v>74</v>
      </c>
      <c r="AY994" t="s">
        <v>74</v>
      </c>
      <c r="AZ994" t="s">
        <v>74</v>
      </c>
      <c r="BA994" t="s">
        <v>74</v>
      </c>
      <c r="BB994" t="s">
        <v>74</v>
      </c>
      <c r="BC994" t="s">
        <v>74</v>
      </c>
      <c r="BD994">
        <v>143</v>
      </c>
      <c r="BE994" t="s">
        <v>19119</v>
      </c>
      <c r="BF994" t="str">
        <f>HYPERLINK("http://dx.doi.org/10.3390/aerospace8050143","http://dx.doi.org/10.3390/aerospace8050143")</f>
        <v>http://dx.doi.org/10.3390/aerospace8050143</v>
      </c>
      <c r="BG994" t="s">
        <v>74</v>
      </c>
      <c r="BH994" t="s">
        <v>74</v>
      </c>
      <c r="BI994">
        <v>9</v>
      </c>
      <c r="BJ994" t="s">
        <v>8833</v>
      </c>
      <c r="BK994" t="s">
        <v>128</v>
      </c>
      <c r="BL994" t="s">
        <v>2974</v>
      </c>
      <c r="BM994" t="s">
        <v>19120</v>
      </c>
      <c r="BN994" t="s">
        <v>74</v>
      </c>
      <c r="BO994" t="s">
        <v>638</v>
      </c>
      <c r="BP994" t="s">
        <v>74</v>
      </c>
      <c r="BQ994" t="s">
        <v>74</v>
      </c>
      <c r="BR994" t="s">
        <v>102</v>
      </c>
      <c r="BS994" t="s">
        <v>19121</v>
      </c>
      <c r="BT994" t="str">
        <f>HYPERLINK("https%3A%2F%2Fwww.webofscience.com%2Fwos%2Fwoscc%2Ffull-record%2FWOS:000653309500001","View Full Record in Web of Science")</f>
        <v>View Full Record in Web of Science</v>
      </c>
    </row>
    <row r="995" spans="1:72" x14ac:dyDescent="0.15">
      <c r="A995" t="s">
        <v>72</v>
      </c>
      <c r="B995" t="s">
        <v>19122</v>
      </c>
      <c r="C995" t="s">
        <v>74</v>
      </c>
      <c r="D995" t="s">
        <v>74</v>
      </c>
      <c r="E995" t="s">
        <v>74</v>
      </c>
      <c r="F995" t="s">
        <v>19123</v>
      </c>
      <c r="G995" t="s">
        <v>74</v>
      </c>
      <c r="H995" t="s">
        <v>74</v>
      </c>
      <c r="I995" t="s">
        <v>19124</v>
      </c>
      <c r="J995" t="s">
        <v>13458</v>
      </c>
      <c r="K995" t="s">
        <v>74</v>
      </c>
      <c r="L995" t="s">
        <v>74</v>
      </c>
      <c r="M995" t="s">
        <v>78</v>
      </c>
      <c r="N995" t="s">
        <v>700</v>
      </c>
      <c r="O995" t="s">
        <v>74</v>
      </c>
      <c r="P995" t="s">
        <v>74</v>
      </c>
      <c r="Q995" t="s">
        <v>74</v>
      </c>
      <c r="R995" t="s">
        <v>74</v>
      </c>
      <c r="S995" t="s">
        <v>74</v>
      </c>
      <c r="T995" t="s">
        <v>19125</v>
      </c>
      <c r="U995" t="s">
        <v>19126</v>
      </c>
      <c r="V995" t="s">
        <v>19127</v>
      </c>
      <c r="W995" t="s">
        <v>19128</v>
      </c>
      <c r="X995" t="s">
        <v>19129</v>
      </c>
      <c r="Y995" t="s">
        <v>19130</v>
      </c>
      <c r="Z995" t="s">
        <v>19131</v>
      </c>
      <c r="AA995" t="s">
        <v>19132</v>
      </c>
      <c r="AB995" t="s">
        <v>19133</v>
      </c>
      <c r="AC995" t="s">
        <v>19134</v>
      </c>
      <c r="AD995" t="s">
        <v>19135</v>
      </c>
      <c r="AE995" t="s">
        <v>19136</v>
      </c>
      <c r="AF995" t="s">
        <v>74</v>
      </c>
      <c r="AG995">
        <v>135</v>
      </c>
      <c r="AH995">
        <v>20</v>
      </c>
      <c r="AI995">
        <v>20</v>
      </c>
      <c r="AJ995">
        <v>7</v>
      </c>
      <c r="AK995">
        <v>53</v>
      </c>
      <c r="AL995" t="s">
        <v>1101</v>
      </c>
      <c r="AM995" t="s">
        <v>1102</v>
      </c>
      <c r="AN995" t="s">
        <v>1103</v>
      </c>
      <c r="AO995" t="s">
        <v>74</v>
      </c>
      <c r="AP995" t="s">
        <v>13471</v>
      </c>
      <c r="AQ995" t="s">
        <v>74</v>
      </c>
      <c r="AR995" t="s">
        <v>13458</v>
      </c>
      <c r="AS995" t="s">
        <v>13472</v>
      </c>
      <c r="AT995" t="s">
        <v>10878</v>
      </c>
      <c r="AU995">
        <v>2021</v>
      </c>
      <c r="AV995">
        <v>10</v>
      </c>
      <c r="AW995">
        <v>5</v>
      </c>
      <c r="AX995" t="s">
        <v>74</v>
      </c>
      <c r="AY995" t="s">
        <v>74</v>
      </c>
      <c r="AZ995" t="s">
        <v>74</v>
      </c>
      <c r="BA995" t="s">
        <v>74</v>
      </c>
      <c r="BB995" t="s">
        <v>74</v>
      </c>
      <c r="BC995" t="s">
        <v>74</v>
      </c>
      <c r="BD995">
        <v>354</v>
      </c>
      <c r="BE995" t="s">
        <v>19137</v>
      </c>
      <c r="BF995" t="str">
        <f>HYPERLINK("http://dx.doi.org/10.3390/biology10050354","http://dx.doi.org/10.3390/biology10050354")</f>
        <v>http://dx.doi.org/10.3390/biology10050354</v>
      </c>
      <c r="BG995" t="s">
        <v>74</v>
      </c>
      <c r="BH995" t="s">
        <v>74</v>
      </c>
      <c r="BI995">
        <v>29</v>
      </c>
      <c r="BJ995" t="s">
        <v>511</v>
      </c>
      <c r="BK995" t="s">
        <v>128</v>
      </c>
      <c r="BL995" t="s">
        <v>512</v>
      </c>
      <c r="BM995" t="s">
        <v>19138</v>
      </c>
      <c r="BN995">
        <v>33922046</v>
      </c>
      <c r="BO995" t="s">
        <v>311</v>
      </c>
      <c r="BP995" t="s">
        <v>74</v>
      </c>
      <c r="BQ995" t="s">
        <v>74</v>
      </c>
      <c r="BR995" t="s">
        <v>102</v>
      </c>
      <c r="BS995" t="s">
        <v>19139</v>
      </c>
      <c r="BT995" t="str">
        <f>HYPERLINK("https%3A%2F%2Fwww.webofscience.com%2Fwos%2Fwoscc%2Ffull-record%2FWOS:000653421300001","View Full Record in Web of Science")</f>
        <v>View Full Record in Web of Science</v>
      </c>
    </row>
    <row r="996" spans="1:72" x14ac:dyDescent="0.15">
      <c r="A996" t="s">
        <v>72</v>
      </c>
      <c r="B996" t="s">
        <v>19140</v>
      </c>
      <c r="C996" t="s">
        <v>74</v>
      </c>
      <c r="D996" t="s">
        <v>74</v>
      </c>
      <c r="E996" t="s">
        <v>74</v>
      </c>
      <c r="F996" t="s">
        <v>19141</v>
      </c>
      <c r="G996" t="s">
        <v>74</v>
      </c>
      <c r="H996" t="s">
        <v>74</v>
      </c>
      <c r="I996" t="s">
        <v>19142</v>
      </c>
      <c r="J996" t="s">
        <v>13520</v>
      </c>
      <c r="K996" t="s">
        <v>74</v>
      </c>
      <c r="L996" t="s">
        <v>74</v>
      </c>
      <c r="M996" t="s">
        <v>78</v>
      </c>
      <c r="N996" t="s">
        <v>79</v>
      </c>
      <c r="O996" t="s">
        <v>74</v>
      </c>
      <c r="P996" t="s">
        <v>74</v>
      </c>
      <c r="Q996" t="s">
        <v>74</v>
      </c>
      <c r="R996" t="s">
        <v>74</v>
      </c>
      <c r="S996" t="s">
        <v>74</v>
      </c>
      <c r="T996" t="s">
        <v>19143</v>
      </c>
      <c r="U996" t="s">
        <v>19144</v>
      </c>
      <c r="V996" t="s">
        <v>19145</v>
      </c>
      <c r="W996" t="s">
        <v>19146</v>
      </c>
      <c r="X996" t="s">
        <v>4607</v>
      </c>
      <c r="Y996" t="s">
        <v>19147</v>
      </c>
      <c r="Z996" t="s">
        <v>19148</v>
      </c>
      <c r="AA996" t="s">
        <v>19149</v>
      </c>
      <c r="AB996" t="s">
        <v>19150</v>
      </c>
      <c r="AC996" t="s">
        <v>19151</v>
      </c>
      <c r="AD996" t="s">
        <v>10033</v>
      </c>
      <c r="AE996" t="s">
        <v>19152</v>
      </c>
      <c r="AF996" t="s">
        <v>74</v>
      </c>
      <c r="AG996">
        <v>50</v>
      </c>
      <c r="AH996">
        <v>11</v>
      </c>
      <c r="AI996">
        <v>12</v>
      </c>
      <c r="AJ996">
        <v>4</v>
      </c>
      <c r="AK996">
        <v>57</v>
      </c>
      <c r="AL996" t="s">
        <v>1101</v>
      </c>
      <c r="AM996" t="s">
        <v>1102</v>
      </c>
      <c r="AN996" t="s">
        <v>1103</v>
      </c>
      <c r="AO996" t="s">
        <v>74</v>
      </c>
      <c r="AP996" t="s">
        <v>13533</v>
      </c>
      <c r="AQ996" t="s">
        <v>74</v>
      </c>
      <c r="AR996" t="s">
        <v>13520</v>
      </c>
      <c r="AS996" t="s">
        <v>13534</v>
      </c>
      <c r="AT996" t="s">
        <v>10878</v>
      </c>
      <c r="AU996">
        <v>2021</v>
      </c>
      <c r="AV996">
        <v>10</v>
      </c>
      <c r="AW996">
        <v>5</v>
      </c>
      <c r="AX996" t="s">
        <v>74</v>
      </c>
      <c r="AY996" t="s">
        <v>74</v>
      </c>
      <c r="AZ996" t="s">
        <v>74</v>
      </c>
      <c r="BA996" t="s">
        <v>74</v>
      </c>
      <c r="BB996" t="s">
        <v>74</v>
      </c>
      <c r="BC996" t="s">
        <v>74</v>
      </c>
      <c r="BD996">
        <v>917</v>
      </c>
      <c r="BE996" t="s">
        <v>19153</v>
      </c>
      <c r="BF996" t="str">
        <f>HYPERLINK("http://dx.doi.org/10.3390/foods10050917","http://dx.doi.org/10.3390/foods10050917")</f>
        <v>http://dx.doi.org/10.3390/foods10050917</v>
      </c>
      <c r="BG996" t="s">
        <v>74</v>
      </c>
      <c r="BH996" t="s">
        <v>74</v>
      </c>
      <c r="BI996">
        <v>15</v>
      </c>
      <c r="BJ996" t="s">
        <v>4006</v>
      </c>
      <c r="BK996" t="s">
        <v>128</v>
      </c>
      <c r="BL996" t="s">
        <v>4006</v>
      </c>
      <c r="BM996" t="s">
        <v>19154</v>
      </c>
      <c r="BN996">
        <v>33921961</v>
      </c>
      <c r="BO996" t="s">
        <v>1377</v>
      </c>
      <c r="BP996" t="s">
        <v>74</v>
      </c>
      <c r="BQ996" t="s">
        <v>74</v>
      </c>
      <c r="BR996" t="s">
        <v>102</v>
      </c>
      <c r="BS996" t="s">
        <v>19155</v>
      </c>
      <c r="BT996" t="str">
        <f>HYPERLINK("https%3A%2F%2Fwww.webofscience.com%2Fwos%2Fwoscc%2Ffull-record%2FWOS:000653867900001","View Full Record in Web of Science")</f>
        <v>View Full Record in Web of Science</v>
      </c>
    </row>
    <row r="997" spans="1:72" x14ac:dyDescent="0.15">
      <c r="A997" t="s">
        <v>72</v>
      </c>
      <c r="B997" t="s">
        <v>19156</v>
      </c>
      <c r="C997" t="s">
        <v>74</v>
      </c>
      <c r="D997" t="s">
        <v>74</v>
      </c>
      <c r="E997" t="s">
        <v>74</v>
      </c>
      <c r="F997" t="s">
        <v>19157</v>
      </c>
      <c r="G997" t="s">
        <v>74</v>
      </c>
      <c r="H997" t="s">
        <v>74</v>
      </c>
      <c r="I997" t="s">
        <v>19158</v>
      </c>
      <c r="J997" t="s">
        <v>1088</v>
      </c>
      <c r="K997" t="s">
        <v>74</v>
      </c>
      <c r="L997" t="s">
        <v>74</v>
      </c>
      <c r="M997" t="s">
        <v>78</v>
      </c>
      <c r="N997" t="s">
        <v>79</v>
      </c>
      <c r="O997" t="s">
        <v>74</v>
      </c>
      <c r="P997" t="s">
        <v>74</v>
      </c>
      <c r="Q997" t="s">
        <v>74</v>
      </c>
      <c r="R997" t="s">
        <v>74</v>
      </c>
      <c r="S997" t="s">
        <v>74</v>
      </c>
      <c r="T997" t="s">
        <v>19159</v>
      </c>
      <c r="U997" t="s">
        <v>19160</v>
      </c>
      <c r="V997" t="s">
        <v>19161</v>
      </c>
      <c r="W997" t="s">
        <v>19162</v>
      </c>
      <c r="X997" t="s">
        <v>19163</v>
      </c>
      <c r="Y997" t="s">
        <v>19164</v>
      </c>
      <c r="Z997" t="s">
        <v>19165</v>
      </c>
      <c r="AA997" t="s">
        <v>19166</v>
      </c>
      <c r="AB997" t="s">
        <v>19167</v>
      </c>
      <c r="AC997" t="s">
        <v>19168</v>
      </c>
      <c r="AD997" t="s">
        <v>19169</v>
      </c>
      <c r="AE997" t="s">
        <v>19170</v>
      </c>
      <c r="AF997" t="s">
        <v>74</v>
      </c>
      <c r="AG997">
        <v>38</v>
      </c>
      <c r="AH997">
        <v>37</v>
      </c>
      <c r="AI997">
        <v>39</v>
      </c>
      <c r="AJ997">
        <v>0</v>
      </c>
      <c r="AK997">
        <v>8</v>
      </c>
      <c r="AL997" t="s">
        <v>1101</v>
      </c>
      <c r="AM997" t="s">
        <v>1102</v>
      </c>
      <c r="AN997" t="s">
        <v>1103</v>
      </c>
      <c r="AO997" t="s">
        <v>74</v>
      </c>
      <c r="AP997" t="s">
        <v>1104</v>
      </c>
      <c r="AQ997" t="s">
        <v>74</v>
      </c>
      <c r="AR997" t="s">
        <v>1105</v>
      </c>
      <c r="AS997" t="s">
        <v>1106</v>
      </c>
      <c r="AT997" t="s">
        <v>10878</v>
      </c>
      <c r="AU997">
        <v>2021</v>
      </c>
      <c r="AV997">
        <v>19</v>
      </c>
      <c r="AW997">
        <v>5</v>
      </c>
      <c r="AX997" t="s">
        <v>74</v>
      </c>
      <c r="AY997" t="s">
        <v>74</v>
      </c>
      <c r="AZ997" t="s">
        <v>74</v>
      </c>
      <c r="BA997" t="s">
        <v>74</v>
      </c>
      <c r="BB997" t="s">
        <v>74</v>
      </c>
      <c r="BC997" t="s">
        <v>74</v>
      </c>
      <c r="BD997">
        <v>263</v>
      </c>
      <c r="BE997" t="s">
        <v>19171</v>
      </c>
      <c r="BF997" t="str">
        <f>HYPERLINK("http://dx.doi.org/10.3390/md19050263","http://dx.doi.org/10.3390/md19050263")</f>
        <v>http://dx.doi.org/10.3390/md19050263</v>
      </c>
      <c r="BG997" t="s">
        <v>74</v>
      </c>
      <c r="BH997" t="s">
        <v>74</v>
      </c>
      <c r="BI997">
        <v>13</v>
      </c>
      <c r="BJ997" t="s">
        <v>1108</v>
      </c>
      <c r="BK997" t="s">
        <v>128</v>
      </c>
      <c r="BL997" t="s">
        <v>1109</v>
      </c>
      <c r="BM997" t="s">
        <v>19172</v>
      </c>
      <c r="BN997">
        <v>34066868</v>
      </c>
      <c r="BO997" t="s">
        <v>311</v>
      </c>
      <c r="BP997" t="s">
        <v>74</v>
      </c>
      <c r="BQ997" t="s">
        <v>74</v>
      </c>
      <c r="BR997" t="s">
        <v>102</v>
      </c>
      <c r="BS997" t="s">
        <v>19173</v>
      </c>
      <c r="BT997" t="str">
        <f>HYPERLINK("https%3A%2F%2Fwww.webofscience.com%2Fwos%2Fwoscc%2Ffull-record%2FWOS:000654431300001","View Full Record in Web of Science")</f>
        <v>View Full Record in Web of Science</v>
      </c>
    </row>
    <row r="998" spans="1:72" x14ac:dyDescent="0.15">
      <c r="A998" t="s">
        <v>72</v>
      </c>
      <c r="B998" t="s">
        <v>19174</v>
      </c>
      <c r="C998" t="s">
        <v>74</v>
      </c>
      <c r="D998" t="s">
        <v>74</v>
      </c>
      <c r="E998" t="s">
        <v>74</v>
      </c>
      <c r="F998" t="s">
        <v>19175</v>
      </c>
      <c r="G998" t="s">
        <v>74</v>
      </c>
      <c r="H998" t="s">
        <v>74</v>
      </c>
      <c r="I998" t="s">
        <v>19176</v>
      </c>
      <c r="J998" t="s">
        <v>13609</v>
      </c>
      <c r="K998" t="s">
        <v>74</v>
      </c>
      <c r="L998" t="s">
        <v>74</v>
      </c>
      <c r="M998" t="s">
        <v>78</v>
      </c>
      <c r="N998" t="s">
        <v>79</v>
      </c>
      <c r="O998" t="s">
        <v>74</v>
      </c>
      <c r="P998" t="s">
        <v>74</v>
      </c>
      <c r="Q998" t="s">
        <v>74</v>
      </c>
      <c r="R998" t="s">
        <v>74</v>
      </c>
      <c r="S998" t="s">
        <v>74</v>
      </c>
      <c r="T998" t="s">
        <v>19177</v>
      </c>
      <c r="U998" t="s">
        <v>74</v>
      </c>
      <c r="V998" t="s">
        <v>19178</v>
      </c>
      <c r="W998" t="s">
        <v>19179</v>
      </c>
      <c r="X998" t="s">
        <v>19180</v>
      </c>
      <c r="Y998" t="s">
        <v>19181</v>
      </c>
      <c r="Z998" t="s">
        <v>19182</v>
      </c>
      <c r="AA998" t="s">
        <v>19183</v>
      </c>
      <c r="AB998" t="s">
        <v>19184</v>
      </c>
      <c r="AC998" t="s">
        <v>19185</v>
      </c>
      <c r="AD998" t="s">
        <v>19186</v>
      </c>
      <c r="AE998" t="s">
        <v>19187</v>
      </c>
      <c r="AF998" t="s">
        <v>74</v>
      </c>
      <c r="AG998">
        <v>24</v>
      </c>
      <c r="AH998">
        <v>2</v>
      </c>
      <c r="AI998">
        <v>2</v>
      </c>
      <c r="AJ998">
        <v>3</v>
      </c>
      <c r="AK998">
        <v>28</v>
      </c>
      <c r="AL998" t="s">
        <v>1101</v>
      </c>
      <c r="AM998" t="s">
        <v>1102</v>
      </c>
      <c r="AN998" t="s">
        <v>1103</v>
      </c>
      <c r="AO998" t="s">
        <v>74</v>
      </c>
      <c r="AP998" t="s">
        <v>13622</v>
      </c>
      <c r="AQ998" t="s">
        <v>74</v>
      </c>
      <c r="AR998" t="s">
        <v>13609</v>
      </c>
      <c r="AS998" t="s">
        <v>13623</v>
      </c>
      <c r="AT998" t="s">
        <v>10878</v>
      </c>
      <c r="AU998">
        <v>2021</v>
      </c>
      <c r="AV998">
        <v>26</v>
      </c>
      <c r="AW998">
        <v>9</v>
      </c>
      <c r="AX998" t="s">
        <v>74</v>
      </c>
      <c r="AY998" t="s">
        <v>74</v>
      </c>
      <c r="AZ998" t="s">
        <v>74</v>
      </c>
      <c r="BA998" t="s">
        <v>74</v>
      </c>
      <c r="BB998" t="s">
        <v>74</v>
      </c>
      <c r="BC998" t="s">
        <v>74</v>
      </c>
      <c r="BD998">
        <v>2636</v>
      </c>
      <c r="BE998" t="s">
        <v>19188</v>
      </c>
      <c r="BF998" t="str">
        <f>HYPERLINK("http://dx.doi.org/10.3390/molecules26092636","http://dx.doi.org/10.3390/molecules26092636")</f>
        <v>http://dx.doi.org/10.3390/molecules26092636</v>
      </c>
      <c r="BG998" t="s">
        <v>74</v>
      </c>
      <c r="BH998" t="s">
        <v>74</v>
      </c>
      <c r="BI998">
        <v>7</v>
      </c>
      <c r="BJ998" t="s">
        <v>7498</v>
      </c>
      <c r="BK998" t="s">
        <v>128</v>
      </c>
      <c r="BL998" t="s">
        <v>7499</v>
      </c>
      <c r="BM998" t="s">
        <v>19189</v>
      </c>
      <c r="BN998">
        <v>33946466</v>
      </c>
      <c r="BO998" t="s">
        <v>1377</v>
      </c>
      <c r="BP998" t="s">
        <v>74</v>
      </c>
      <c r="BQ998" t="s">
        <v>74</v>
      </c>
      <c r="BR998" t="s">
        <v>102</v>
      </c>
      <c r="BS998" t="s">
        <v>19190</v>
      </c>
      <c r="BT998" t="str">
        <f>HYPERLINK("https%3A%2F%2Fwww.webofscience.com%2Fwos%2Fwoscc%2Ffull-record%2FWOS:000650654300001","View Full Record in Web of Science")</f>
        <v>View Full Record in Web of Science</v>
      </c>
    </row>
    <row r="999" spans="1:72" x14ac:dyDescent="0.15">
      <c r="A999" t="s">
        <v>72</v>
      </c>
      <c r="B999" t="s">
        <v>19191</v>
      </c>
      <c r="C999" t="s">
        <v>74</v>
      </c>
      <c r="D999" t="s">
        <v>74</v>
      </c>
      <c r="E999" t="s">
        <v>74</v>
      </c>
      <c r="F999" t="s">
        <v>19192</v>
      </c>
      <c r="G999" t="s">
        <v>74</v>
      </c>
      <c r="H999" t="s">
        <v>74</v>
      </c>
      <c r="I999" t="s">
        <v>19193</v>
      </c>
      <c r="J999" t="s">
        <v>7755</v>
      </c>
      <c r="K999" t="s">
        <v>74</v>
      </c>
      <c r="L999" t="s">
        <v>74</v>
      </c>
      <c r="M999" t="s">
        <v>78</v>
      </c>
      <c r="N999" t="s">
        <v>79</v>
      </c>
      <c r="O999" t="s">
        <v>74</v>
      </c>
      <c r="P999" t="s">
        <v>74</v>
      </c>
      <c r="Q999" t="s">
        <v>74</v>
      </c>
      <c r="R999" t="s">
        <v>74</v>
      </c>
      <c r="S999" t="s">
        <v>74</v>
      </c>
      <c r="T999" t="s">
        <v>74</v>
      </c>
      <c r="U999" t="s">
        <v>19194</v>
      </c>
      <c r="V999" t="s">
        <v>19195</v>
      </c>
      <c r="W999" t="s">
        <v>19196</v>
      </c>
      <c r="X999" t="s">
        <v>19197</v>
      </c>
      <c r="Y999" t="s">
        <v>19198</v>
      </c>
      <c r="Z999" t="s">
        <v>19199</v>
      </c>
      <c r="AA999" t="s">
        <v>74</v>
      </c>
      <c r="AB999" t="s">
        <v>74</v>
      </c>
      <c r="AC999" t="s">
        <v>19200</v>
      </c>
      <c r="AD999" t="s">
        <v>19201</v>
      </c>
      <c r="AE999" t="s">
        <v>19202</v>
      </c>
      <c r="AF999" t="s">
        <v>74</v>
      </c>
      <c r="AG999">
        <v>74</v>
      </c>
      <c r="AH999">
        <v>13</v>
      </c>
      <c r="AI999">
        <v>13</v>
      </c>
      <c r="AJ999">
        <v>1</v>
      </c>
      <c r="AK999">
        <v>20</v>
      </c>
      <c r="AL999" t="s">
        <v>7767</v>
      </c>
      <c r="AM999" t="s">
        <v>865</v>
      </c>
      <c r="AN999" t="s">
        <v>7768</v>
      </c>
      <c r="AO999" t="s">
        <v>7769</v>
      </c>
      <c r="AP999" t="s">
        <v>74</v>
      </c>
      <c r="AQ999" t="s">
        <v>74</v>
      </c>
      <c r="AR999" t="s">
        <v>7770</v>
      </c>
      <c r="AS999" t="s">
        <v>7771</v>
      </c>
      <c r="AT999" t="s">
        <v>10878</v>
      </c>
      <c r="AU999">
        <v>2021</v>
      </c>
      <c r="AV999">
        <v>7</v>
      </c>
      <c r="AW999">
        <v>21</v>
      </c>
      <c r="AX999" t="s">
        <v>74</v>
      </c>
      <c r="AY999" t="s">
        <v>74</v>
      </c>
      <c r="AZ999" t="s">
        <v>74</v>
      </c>
      <c r="BA999" t="s">
        <v>74</v>
      </c>
      <c r="BB999" t="s">
        <v>74</v>
      </c>
      <c r="BC999" t="s">
        <v>74</v>
      </c>
      <c r="BD999" t="s">
        <v>19203</v>
      </c>
      <c r="BE999" t="s">
        <v>19204</v>
      </c>
      <c r="BF999" t="str">
        <f>HYPERLINK("http://dx.doi.org/10.1126/sciadv.abf5478","http://dx.doi.org/10.1126/sciadv.abf5478")</f>
        <v>http://dx.doi.org/10.1126/sciadv.abf5478</v>
      </c>
      <c r="BG999" t="s">
        <v>74</v>
      </c>
      <c r="BH999" t="s">
        <v>74</v>
      </c>
      <c r="BI999">
        <v>11</v>
      </c>
      <c r="BJ999" t="s">
        <v>2609</v>
      </c>
      <c r="BK999" t="s">
        <v>128</v>
      </c>
      <c r="BL999" t="s">
        <v>2610</v>
      </c>
      <c r="BM999" t="s">
        <v>19205</v>
      </c>
      <c r="BN999">
        <v>34020953</v>
      </c>
      <c r="BO999" t="s">
        <v>74</v>
      </c>
      <c r="BP999" t="s">
        <v>74</v>
      </c>
      <c r="BQ999" t="s">
        <v>74</v>
      </c>
      <c r="BR999" t="s">
        <v>102</v>
      </c>
      <c r="BS999" t="s">
        <v>19206</v>
      </c>
      <c r="BT999" t="str">
        <f>HYPERLINK("https%3A%2F%2Fwww.webofscience.com%2Fwos%2Fwoscc%2Ffull-record%2FWOS:000654198900024","View Full Record in Web of Science")</f>
        <v>View Full Record in Web of Science</v>
      </c>
    </row>
    <row r="1000" spans="1:72" x14ac:dyDescent="0.15">
      <c r="A1000" t="s">
        <v>72</v>
      </c>
      <c r="B1000" t="s">
        <v>19207</v>
      </c>
      <c r="C1000" t="s">
        <v>74</v>
      </c>
      <c r="D1000" t="s">
        <v>74</v>
      </c>
      <c r="E1000" t="s">
        <v>74</v>
      </c>
      <c r="F1000" t="s">
        <v>19208</v>
      </c>
      <c r="G1000" t="s">
        <v>74</v>
      </c>
      <c r="H1000" t="s">
        <v>74</v>
      </c>
      <c r="I1000" t="s">
        <v>19209</v>
      </c>
      <c r="J1000" t="s">
        <v>19210</v>
      </c>
      <c r="K1000" t="s">
        <v>74</v>
      </c>
      <c r="L1000" t="s">
        <v>74</v>
      </c>
      <c r="M1000" t="s">
        <v>78</v>
      </c>
      <c r="N1000" t="s">
        <v>52</v>
      </c>
      <c r="O1000" t="s">
        <v>74</v>
      </c>
      <c r="P1000" t="s">
        <v>74</v>
      </c>
      <c r="Q1000" t="s">
        <v>74</v>
      </c>
      <c r="R1000" t="s">
        <v>74</v>
      </c>
      <c r="S1000" t="s">
        <v>74</v>
      </c>
      <c r="T1000" t="s">
        <v>74</v>
      </c>
      <c r="U1000" t="s">
        <v>74</v>
      </c>
      <c r="V1000" t="s">
        <v>74</v>
      </c>
      <c r="W1000" t="s">
        <v>19211</v>
      </c>
      <c r="X1000" t="s">
        <v>13406</v>
      </c>
      <c r="Y1000" t="s">
        <v>74</v>
      </c>
      <c r="Z1000" t="s">
        <v>74</v>
      </c>
      <c r="AA1000" t="s">
        <v>74</v>
      </c>
      <c r="AB1000" t="s">
        <v>74</v>
      </c>
      <c r="AC1000" t="s">
        <v>74</v>
      </c>
      <c r="AD1000" t="s">
        <v>74</v>
      </c>
      <c r="AE1000" t="s">
        <v>74</v>
      </c>
      <c r="AF1000" t="s">
        <v>74</v>
      </c>
      <c r="AG1000">
        <v>0</v>
      </c>
      <c r="AH1000">
        <v>0</v>
      </c>
      <c r="AI1000">
        <v>0</v>
      </c>
      <c r="AJ1000">
        <v>0</v>
      </c>
      <c r="AK1000">
        <v>1</v>
      </c>
      <c r="AL1000" t="s">
        <v>197</v>
      </c>
      <c r="AM1000" t="s">
        <v>198</v>
      </c>
      <c r="AN1000" t="s">
        <v>199</v>
      </c>
      <c r="AO1000" t="s">
        <v>19212</v>
      </c>
      <c r="AP1000" t="s">
        <v>19213</v>
      </c>
      <c r="AQ1000" t="s">
        <v>74</v>
      </c>
      <c r="AR1000" t="s">
        <v>19214</v>
      </c>
      <c r="AS1000" t="s">
        <v>19215</v>
      </c>
      <c r="AT1000" t="s">
        <v>10878</v>
      </c>
      <c r="AU1000">
        <v>2021</v>
      </c>
      <c r="AV1000">
        <v>61</v>
      </c>
      <c r="AW1000" t="s">
        <v>74</v>
      </c>
      <c r="AX1000" t="s">
        <v>74</v>
      </c>
      <c r="AY1000">
        <v>1</v>
      </c>
      <c r="AZ1000" t="s">
        <v>431</v>
      </c>
      <c r="BA1000" t="s">
        <v>74</v>
      </c>
      <c r="BB1000">
        <v>145</v>
      </c>
      <c r="BC1000">
        <v>146</v>
      </c>
      <c r="BD1000" t="s">
        <v>74</v>
      </c>
      <c r="BE1000" t="s">
        <v>74</v>
      </c>
      <c r="BF1000" t="s">
        <v>74</v>
      </c>
      <c r="BG1000" t="s">
        <v>74</v>
      </c>
      <c r="BH1000" t="s">
        <v>74</v>
      </c>
      <c r="BI1000">
        <v>2</v>
      </c>
      <c r="BJ1000" t="s">
        <v>19216</v>
      </c>
      <c r="BK1000" t="s">
        <v>128</v>
      </c>
      <c r="BL1000" t="s">
        <v>19216</v>
      </c>
      <c r="BM1000" t="s">
        <v>19217</v>
      </c>
      <c r="BN1000" t="s">
        <v>74</v>
      </c>
      <c r="BO1000" t="s">
        <v>74</v>
      </c>
      <c r="BP1000" t="s">
        <v>74</v>
      </c>
      <c r="BQ1000" t="s">
        <v>74</v>
      </c>
      <c r="BR1000" t="s">
        <v>102</v>
      </c>
      <c r="BS1000" t="s">
        <v>19218</v>
      </c>
      <c r="BT1000" t="str">
        <f>HYPERLINK("https%3A%2F%2Fwww.webofscience.com%2Fwos%2Fwoscc%2Ffull-record%2FWOS:000651190000354","View Full Record in Web of Science")</f>
        <v>View Full Record in Web of Science</v>
      </c>
    </row>
    <row r="1001" spans="1:72" x14ac:dyDescent="0.15">
      <c r="A1001" t="s">
        <v>72</v>
      </c>
      <c r="B1001" t="s">
        <v>19219</v>
      </c>
      <c r="C1001" t="s">
        <v>74</v>
      </c>
      <c r="D1001" t="s">
        <v>74</v>
      </c>
      <c r="E1001" t="s">
        <v>74</v>
      </c>
      <c r="F1001" t="s">
        <v>19220</v>
      </c>
      <c r="G1001" t="s">
        <v>74</v>
      </c>
      <c r="H1001" t="s">
        <v>74</v>
      </c>
      <c r="I1001" t="s">
        <v>19221</v>
      </c>
      <c r="J1001" t="s">
        <v>1707</v>
      </c>
      <c r="K1001" t="s">
        <v>74</v>
      </c>
      <c r="L1001" t="s">
        <v>74</v>
      </c>
      <c r="M1001" t="s">
        <v>78</v>
      </c>
      <c r="N1001" t="s">
        <v>79</v>
      </c>
      <c r="O1001" t="s">
        <v>74</v>
      </c>
      <c r="P1001" t="s">
        <v>74</v>
      </c>
      <c r="Q1001" t="s">
        <v>74</v>
      </c>
      <c r="R1001" t="s">
        <v>74</v>
      </c>
      <c r="S1001" t="s">
        <v>74</v>
      </c>
      <c r="T1001" t="s">
        <v>19222</v>
      </c>
      <c r="U1001" t="s">
        <v>19223</v>
      </c>
      <c r="V1001" t="s">
        <v>19224</v>
      </c>
      <c r="W1001" t="s">
        <v>19225</v>
      </c>
      <c r="X1001" t="s">
        <v>19226</v>
      </c>
      <c r="Y1001" t="s">
        <v>19227</v>
      </c>
      <c r="Z1001" t="s">
        <v>19228</v>
      </c>
      <c r="AA1001" t="s">
        <v>19229</v>
      </c>
      <c r="AB1001" t="s">
        <v>19230</v>
      </c>
      <c r="AC1001" t="s">
        <v>19231</v>
      </c>
      <c r="AD1001" t="s">
        <v>19232</v>
      </c>
      <c r="AE1001" t="s">
        <v>19233</v>
      </c>
      <c r="AF1001" t="s">
        <v>74</v>
      </c>
      <c r="AG1001">
        <v>33</v>
      </c>
      <c r="AH1001">
        <v>7</v>
      </c>
      <c r="AI1001">
        <v>8</v>
      </c>
      <c r="AJ1001">
        <v>3</v>
      </c>
      <c r="AK1001">
        <v>15</v>
      </c>
      <c r="AL1001" t="s">
        <v>1101</v>
      </c>
      <c r="AM1001" t="s">
        <v>1102</v>
      </c>
      <c r="AN1001" t="s">
        <v>1103</v>
      </c>
      <c r="AO1001" t="s">
        <v>74</v>
      </c>
      <c r="AP1001" t="s">
        <v>1720</v>
      </c>
      <c r="AQ1001" t="s">
        <v>74</v>
      </c>
      <c r="AR1001" t="s">
        <v>1707</v>
      </c>
      <c r="AS1001" t="s">
        <v>1721</v>
      </c>
      <c r="AT1001" t="s">
        <v>10878</v>
      </c>
      <c r="AU1001">
        <v>2021</v>
      </c>
      <c r="AV1001">
        <v>11</v>
      </c>
      <c r="AW1001">
        <v>5</v>
      </c>
      <c r="AX1001" t="s">
        <v>74</v>
      </c>
      <c r="AY1001" t="s">
        <v>74</v>
      </c>
      <c r="AZ1001" t="s">
        <v>74</v>
      </c>
      <c r="BA1001" t="s">
        <v>74</v>
      </c>
      <c r="BB1001" t="s">
        <v>74</v>
      </c>
      <c r="BC1001" t="s">
        <v>74</v>
      </c>
      <c r="BD1001">
        <v>680</v>
      </c>
      <c r="BE1001" t="s">
        <v>19234</v>
      </c>
      <c r="BF1001" t="str">
        <f>HYPERLINK("http://dx.doi.org/10.3390/biom11050680","http://dx.doi.org/10.3390/biom11050680")</f>
        <v>http://dx.doi.org/10.3390/biom11050680</v>
      </c>
      <c r="BG1001" t="s">
        <v>74</v>
      </c>
      <c r="BH1001" t="s">
        <v>74</v>
      </c>
      <c r="BI1001">
        <v>16</v>
      </c>
      <c r="BJ1001" t="s">
        <v>1723</v>
      </c>
      <c r="BK1001" t="s">
        <v>128</v>
      </c>
      <c r="BL1001" t="s">
        <v>1723</v>
      </c>
      <c r="BM1001" t="s">
        <v>19235</v>
      </c>
      <c r="BN1001">
        <v>33946575</v>
      </c>
      <c r="BO1001" t="s">
        <v>311</v>
      </c>
      <c r="BP1001" t="s">
        <v>74</v>
      </c>
      <c r="BQ1001" t="s">
        <v>74</v>
      </c>
      <c r="BR1001" t="s">
        <v>102</v>
      </c>
      <c r="BS1001" t="s">
        <v>19236</v>
      </c>
      <c r="BT1001" t="str">
        <f>HYPERLINK("https%3A%2F%2Fwww.webofscience.com%2Fwos%2Fwoscc%2Ffull-record%2FWOS:000653422800001","View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2024-07-28T15:23:37Z</dcterms:created>
  <dcterms:modified xsi:type="dcterms:W3CDTF">2024-07-28T15:23:38Z</dcterms:modified>
</cp:coreProperties>
</file>